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 yWindow="36" windowWidth="11388" windowHeight="9468"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D地块"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Sheet0" sheetId="79" r:id="rId23"/>
    <sheet name="假设开发法" sheetId="12" r:id="rId24"/>
    <sheet name="收益法" sheetId="15"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方信地块" sheetId="78" r:id="rId47"/>
  </sheets>
  <externalReferences>
    <externalReference r:id="rId48"/>
    <externalReference r:id="rId49"/>
    <externalReference r:id="rId50"/>
    <externalReference r:id="rId51"/>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9" i="12" l="1"/>
  <c r="M11" i="12"/>
  <c r="C6" i="12" s="1"/>
  <c r="P7" i="12"/>
  <c r="O7" i="12"/>
  <c r="N7" i="12"/>
  <c r="M7" i="12"/>
  <c r="K33" i="77"/>
  <c r="K32" i="77"/>
  <c r="K31" i="77"/>
  <c r="K34" i="77"/>
  <c r="P3" i="79" l="1"/>
  <c r="P4" i="79"/>
  <c r="P5" i="79"/>
  <c r="P6" i="79"/>
  <c r="P7" i="79"/>
  <c r="P8" i="79"/>
  <c r="P9" i="79"/>
  <c r="P10" i="79"/>
  <c r="P11" i="79"/>
  <c r="P12" i="79"/>
  <c r="P13" i="79"/>
  <c r="P14" i="79"/>
  <c r="P15" i="79"/>
  <c r="P16" i="79"/>
  <c r="P17" i="79"/>
  <c r="P18" i="79"/>
  <c r="P19" i="79"/>
  <c r="P20" i="79"/>
  <c r="P21" i="79"/>
  <c r="P22" i="79"/>
  <c r="P23" i="79"/>
  <c r="P24" i="79"/>
  <c r="P25" i="79"/>
  <c r="P26" i="79"/>
  <c r="P27" i="79"/>
  <c r="P28" i="79"/>
  <c r="P29" i="79"/>
  <c r="P30" i="79"/>
  <c r="P31" i="79"/>
  <c r="P32" i="79"/>
  <c r="P33" i="79"/>
  <c r="P34" i="79"/>
  <c r="P35" i="79"/>
  <c r="P36" i="79"/>
  <c r="P37" i="79"/>
  <c r="P38" i="79"/>
  <c r="P39" i="79"/>
  <c r="P40" i="79"/>
  <c r="P41" i="79"/>
  <c r="P42" i="79"/>
  <c r="P43" i="79"/>
  <c r="P44" i="79"/>
  <c r="P45" i="79"/>
  <c r="P46" i="79"/>
  <c r="P47" i="79"/>
  <c r="P48" i="79"/>
  <c r="P49" i="79"/>
  <c r="P50" i="79"/>
  <c r="P51" i="79"/>
  <c r="P2" i="79"/>
  <c r="O3" i="79"/>
  <c r="O4" i="79"/>
  <c r="O5" i="79"/>
  <c r="O6" i="79"/>
  <c r="O7" i="79"/>
  <c r="O8" i="79"/>
  <c r="O9" i="79"/>
  <c r="O10" i="79"/>
  <c r="O11" i="79"/>
  <c r="O12" i="79"/>
  <c r="O13" i="79"/>
  <c r="O14" i="79"/>
  <c r="O15" i="79"/>
  <c r="O16" i="79"/>
  <c r="O17" i="79"/>
  <c r="O18" i="79"/>
  <c r="O19" i="79"/>
  <c r="O20" i="79"/>
  <c r="O21" i="79"/>
  <c r="O22" i="79"/>
  <c r="O23" i="79"/>
  <c r="O24" i="79"/>
  <c r="O25" i="79"/>
  <c r="O26" i="79"/>
  <c r="O27" i="79"/>
  <c r="O28" i="79"/>
  <c r="O29" i="79"/>
  <c r="O30" i="79"/>
  <c r="O31" i="79"/>
  <c r="O32" i="79"/>
  <c r="O33" i="79"/>
  <c r="O34" i="79"/>
  <c r="O35" i="79"/>
  <c r="O36" i="79"/>
  <c r="O37" i="79"/>
  <c r="O38" i="79"/>
  <c r="O39" i="79"/>
  <c r="O40" i="79"/>
  <c r="O41" i="79"/>
  <c r="O42" i="79"/>
  <c r="O43" i="79"/>
  <c r="O44" i="79"/>
  <c r="O45" i="79"/>
  <c r="O46" i="79"/>
  <c r="O47" i="79"/>
  <c r="O48" i="79"/>
  <c r="O49" i="79"/>
  <c r="O50" i="79"/>
  <c r="O51" i="79"/>
  <c r="O2" i="79"/>
  <c r="C18" i="74"/>
  <c r="B18" i="74"/>
  <c r="C17" i="74"/>
  <c r="B17" i="74"/>
  <c r="C16" i="74"/>
  <c r="B16" i="74"/>
  <c r="C15" i="74"/>
  <c r="B15" i="74"/>
  <c r="I7" i="39"/>
  <c r="G7" i="39"/>
  <c r="E7" i="39"/>
  <c r="D51" i="77"/>
  <c r="D50" i="77"/>
  <c r="D49" i="77"/>
  <c r="D48" i="77"/>
  <c r="D47" i="77"/>
  <c r="C47" i="77"/>
  <c r="D46" i="77"/>
  <c r="C46" i="77"/>
  <c r="D45" i="77"/>
  <c r="C45" i="77"/>
  <c r="D44" i="77"/>
  <c r="C44" i="77"/>
  <c r="D43" i="77"/>
  <c r="C43" i="77"/>
  <c r="D42" i="77"/>
  <c r="D41" i="77"/>
  <c r="D40" i="77"/>
  <c r="D39" i="77"/>
  <c r="D38" i="77"/>
  <c r="C38" i="77"/>
  <c r="D37" i="77"/>
  <c r="D36" i="77"/>
  <c r="D35" i="77"/>
  <c r="D34" i="77"/>
  <c r="D33" i="77"/>
  <c r="C33" i="77"/>
  <c r="D32" i="77"/>
  <c r="C32" i="77"/>
  <c r="D31" i="77"/>
  <c r="C31" i="77"/>
  <c r="D18" i="74" l="1"/>
  <c r="G18" i="74" s="1"/>
  <c r="D16" i="74" l="1"/>
  <c r="G16" i="74" s="1"/>
  <c r="G22" i="6" l="1"/>
  <c r="F19" i="6"/>
  <c r="O13" i="3"/>
  <c r="I13" i="3"/>
  <c r="O14" i="3"/>
  <c r="I14" i="3"/>
  <c r="A19" i="3"/>
  <c r="D17" i="74" l="1"/>
  <c r="G17" i="74" s="1"/>
  <c r="B19" i="74" l="1"/>
  <c r="C19" i="74" l="1"/>
  <c r="D19" i="74" l="1"/>
  <c r="G19" i="74" s="1"/>
  <c r="G21" i="6" l="1"/>
  <c r="F20" i="6"/>
  <c r="AD13" i="3"/>
  <c r="M13" i="3"/>
  <c r="I25" i="77" l="1"/>
  <c r="J25" i="77"/>
  <c r="K25" i="77"/>
  <c r="L17" i="78"/>
  <c r="M17" i="78"/>
  <c r="N17" i="78"/>
  <c r="G17" i="78"/>
  <c r="I17" i="78"/>
  <c r="J17" i="78"/>
  <c r="F17" i="78"/>
  <c r="K5" i="78"/>
  <c r="K6" i="78"/>
  <c r="K7" i="78"/>
  <c r="K8" i="78"/>
  <c r="K9" i="78"/>
  <c r="K10" i="78"/>
  <c r="K11" i="78"/>
  <c r="K12" i="78"/>
  <c r="K13" i="78"/>
  <c r="K14" i="78"/>
  <c r="K15" i="78"/>
  <c r="K16" i="78"/>
  <c r="H4" i="78"/>
  <c r="K4" i="78" s="1"/>
  <c r="K17" i="78" s="1"/>
  <c r="H4" i="77"/>
  <c r="H5" i="77"/>
  <c r="H6" i="77"/>
  <c r="H7" i="77"/>
  <c r="H8" i="77"/>
  <c r="H9" i="77"/>
  <c r="H10" i="77"/>
  <c r="H11" i="77"/>
  <c r="H12" i="77"/>
  <c r="H13" i="77"/>
  <c r="H14" i="77"/>
  <c r="H15" i="77"/>
  <c r="H16" i="77"/>
  <c r="H17" i="77"/>
  <c r="H18" i="77"/>
  <c r="H19" i="77"/>
  <c r="H20" i="77"/>
  <c r="H21" i="77"/>
  <c r="H22" i="77"/>
  <c r="H23" i="77"/>
  <c r="H24" i="77"/>
  <c r="H3" i="77"/>
  <c r="H25" i="77" s="1"/>
  <c r="G25" i="77"/>
  <c r="F23" i="77"/>
  <c r="F25" i="77" s="1"/>
  <c r="H17" i="78" l="1"/>
  <c r="AB7" i="71"/>
  <c r="AB6" i="71"/>
  <c r="AB5" i="71"/>
  <c r="AA6" i="71"/>
  <c r="AA5" i="71"/>
  <c r="Y5" i="71"/>
  <c r="Y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Z6"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5" i="71"/>
  <c r="P15" i="71"/>
  <c r="O15" i="71"/>
  <c r="N15"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D52" i="37" s="1"/>
  <c r="F15" i="4"/>
  <c r="F10" i="1"/>
  <c r="F11" i="1"/>
  <c r="G11" i="1" s="1"/>
  <c r="F12" i="1"/>
  <c r="G12" i="1" s="1"/>
  <c r="F13" i="1"/>
  <c r="D6" i="1"/>
  <c r="D9" i="1"/>
  <c r="D10" i="1"/>
  <c r="D11" i="1"/>
  <c r="D12" i="1"/>
  <c r="D13" i="1"/>
  <c r="D7" i="1"/>
  <c r="D8" i="1"/>
  <c r="A7" i="1"/>
  <c r="B7" i="1" s="1"/>
  <c r="E7" i="1" s="1"/>
  <c r="A8" i="1"/>
  <c r="B8" i="1"/>
  <c r="E8" i="1" s="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I15" i="4"/>
  <c r="H15" i="4"/>
  <c r="F9" i="1" s="1"/>
  <c r="G9" i="1" s="1"/>
  <c r="G15" i="4"/>
  <c r="F8" i="1" s="1"/>
  <c r="G8" i="1" s="1"/>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s="1"/>
  <c r="BQ13" i="3"/>
  <c r="BQ14" i="3"/>
  <c r="BQ5" i="3" s="1"/>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C7" i="12" s="1"/>
  <c r="C8" i="12" s="1"/>
  <c r="E20" i="6"/>
  <c r="E21" i="6"/>
  <c r="K8" i="1"/>
  <c r="M8" i="1" s="1"/>
  <c r="F23" i="15"/>
  <c r="D24" i="15" s="1"/>
  <c r="E22" i="6"/>
  <c r="E23" i="6"/>
  <c r="E24" i="6"/>
  <c r="E25" i="6"/>
  <c r="E26" i="6"/>
  <c r="BB13" i="3"/>
  <c r="BB5" i="3" s="1"/>
  <c r="BC13" i="3"/>
  <c r="BD13" i="3"/>
  <c r="BE13" i="3"/>
  <c r="BF13" i="3"/>
  <c r="BG13" i="3"/>
  <c r="BH13" i="3"/>
  <c r="BI13" i="3"/>
  <c r="BJ13" i="3"/>
  <c r="BK13" i="3"/>
  <c r="BB14" i="3"/>
  <c r="BC14" i="3"/>
  <c r="BD14" i="3"/>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I4" i="6" s="1"/>
  <c r="G3" i="43"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F8" i="12" s="1"/>
  <c r="D7" i="12"/>
  <c r="D8" i="12" s="1"/>
  <c r="E7" i="12"/>
  <c r="E8" i="12" s="1"/>
  <c r="L7" i="12" s="1"/>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7" i="36"/>
  <c r="C46" i="36" s="1"/>
  <c r="D46" i="36" s="1"/>
  <c r="W35" i="40"/>
  <c r="A118" i="9"/>
  <c r="A4" i="52"/>
  <c r="B41" i="72"/>
  <c r="J11" i="39"/>
  <c r="W11" i="39" s="1"/>
  <c r="F11" i="39"/>
  <c r="AA11" i="39" s="1"/>
  <c r="A12" i="52"/>
  <c r="B56" i="72"/>
  <c r="G4" i="4"/>
  <c r="I4" i="4"/>
  <c r="K5" i="4"/>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T12" i="1" s="1"/>
  <c r="R12" i="1"/>
  <c r="B12" i="1"/>
  <c r="E12" i="1"/>
  <c r="S10" i="1"/>
  <c r="AQ10" i="1" s="1"/>
  <c r="R10" i="1"/>
  <c r="B10" i="1"/>
  <c r="E10" i="1"/>
  <c r="D1" i="66"/>
  <c r="E10" i="66"/>
  <c r="AZ80" i="3"/>
  <c r="AZ84" i="3"/>
  <c r="AZ88" i="3"/>
  <c r="AZ107" i="3"/>
  <c r="AZ111" i="3"/>
  <c r="K12" i="1"/>
  <c r="M12" i="1" s="1"/>
  <c r="S13" i="1"/>
  <c r="R13" i="1"/>
  <c r="S11" i="1"/>
  <c r="AQ11" i="1" s="1"/>
  <c r="R11"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c r="G13" i="3"/>
  <c r="BL17" i="3"/>
  <c r="AZ17" i="3"/>
  <c r="BL13" i="3"/>
  <c r="J56" i="9"/>
  <c r="J57" i="9"/>
  <c r="A24" i="51"/>
  <c r="B18" i="72"/>
  <c r="U29" i="34"/>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s="1"/>
  <c r="C7" i="33"/>
  <c r="C58" i="33" s="1"/>
  <c r="D58" i="33" s="1"/>
  <c r="E58" i="33" s="1"/>
  <c r="F58" i="33" s="1"/>
  <c r="G58" i="33" s="1"/>
  <c r="H58" i="33" s="1"/>
  <c r="I58" i="33" s="1"/>
  <c r="J58" i="33" s="1"/>
  <c r="K58" i="33" s="1"/>
  <c r="L58" i="33" s="1"/>
  <c r="M58" i="33" s="1"/>
  <c r="N58" i="33" s="1"/>
  <c r="O58" i="33" s="1"/>
  <c r="C7" i="21"/>
  <c r="C58" i="21" s="1"/>
  <c r="C7" i="40"/>
  <c r="C63" i="40" s="1"/>
  <c r="C65" i="40" s="1"/>
  <c r="G19" i="43"/>
  <c r="P22" i="43" s="1"/>
  <c r="O19" i="43"/>
  <c r="C19" i="43" s="1"/>
  <c r="T35" i="4"/>
  <c r="A19" i="51"/>
  <c r="B14" i="72" s="1"/>
  <c r="C59" i="34"/>
  <c r="D59" i="34" s="1"/>
  <c r="E59" i="34" s="1"/>
  <c r="F59" i="34" s="1"/>
  <c r="G59" i="34" s="1"/>
  <c r="H59" i="34" s="1"/>
  <c r="I59" i="34" s="1"/>
  <c r="A4" i="51"/>
  <c r="B6" i="72"/>
  <c r="H66" i="43"/>
  <c r="H65" i="43"/>
  <c r="H64" i="43"/>
  <c r="H63" i="43"/>
  <c r="H55" i="43"/>
  <c r="H56" i="43"/>
  <c r="H72" i="43"/>
  <c r="L20" i="6"/>
  <c r="B6" i="1"/>
  <c r="E6" i="1"/>
  <c r="K11" i="1"/>
  <c r="M11" i="1" s="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J59" i="9"/>
  <c r="J61" i="9"/>
  <c r="R22" i="31"/>
  <c r="B21" i="31"/>
  <c r="B5" i="62"/>
  <c r="B73" i="72"/>
  <c r="AP7" i="1"/>
  <c r="AB45" i="21"/>
  <c r="AC33" i="21"/>
  <c r="W33" i="21"/>
  <c r="S33" i="21"/>
  <c r="AA33" i="21"/>
  <c r="W32" i="21"/>
  <c r="AC32" i="21"/>
  <c r="AB9" i="21"/>
  <c r="U9" i="21"/>
  <c r="AA32" i="21"/>
  <c r="S32" i="21"/>
  <c r="W9" i="21"/>
  <c r="AC9" i="21"/>
  <c r="AB32" i="21"/>
  <c r="U32" i="21"/>
  <c r="AA10" i="21"/>
  <c r="S10" i="2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7" i="33"/>
  <c r="H112" i="9"/>
  <c r="D21" i="53"/>
  <c r="B39" i="72"/>
  <c r="H111" i="9"/>
  <c r="D126" i="9"/>
  <c r="D19" i="53"/>
  <c r="D59" i="9"/>
  <c r="M55" i="9"/>
  <c r="B38" i="72"/>
  <c r="D20" i="53"/>
  <c r="B40" i="72"/>
  <c r="I14" i="74"/>
  <c r="B8" i="74"/>
  <c r="D127" i="9"/>
  <c r="D13" i="52"/>
  <c r="D12" i="52"/>
  <c r="AD3" i="71"/>
  <c r="D63" i="40"/>
  <c r="E63" i="40" s="1"/>
  <c r="F63" i="40" s="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58" i="21"/>
  <c r="E58" i="21" s="1"/>
  <c r="F58" i="21" s="1"/>
  <c r="G58" i="21" s="1"/>
  <c r="H58" i="21" s="1"/>
  <c r="I58" i="21" s="1"/>
  <c r="J58" i="21" s="1"/>
  <c r="K58" i="21" s="1"/>
  <c r="L58" i="21" s="1"/>
  <c r="M58" i="21" s="1"/>
  <c r="N58" i="21" s="1"/>
  <c r="O58" i="21" s="1"/>
  <c r="C11" i="71"/>
  <c r="D11" i="71"/>
  <c r="D12" i="71"/>
  <c r="D13" i="71"/>
  <c r="U13" i="71"/>
  <c r="S13" i="71"/>
  <c r="T13" i="71"/>
  <c r="AB11" i="71"/>
  <c r="X9" i="71"/>
  <c r="X8" i="71"/>
  <c r="AA9" i="71"/>
  <c r="AA8" i="71"/>
  <c r="X12" i="71"/>
  <c r="Z7" i="71"/>
  <c r="Y8" i="71"/>
  <c r="Z8" i="71"/>
  <c r="AB9" i="71"/>
  <c r="AB8" i="71"/>
  <c r="S9" i="71"/>
  <c r="F10" i="71"/>
  <c r="F9" i="71"/>
  <c r="Y9" i="71"/>
  <c r="Z9" i="71"/>
  <c r="AB3" i="71"/>
  <c r="X3" i="71"/>
  <c r="C10" i="71"/>
  <c r="E10" i="71"/>
  <c r="E9" i="71"/>
  <c r="AF3" i="71"/>
  <c r="P21" i="43"/>
  <c r="G20" i="43"/>
  <c r="D65" i="40"/>
  <c r="G17" i="43"/>
  <c r="C16" i="43" s="1"/>
  <c r="V9" i="71"/>
  <c r="C9" i="71"/>
  <c r="D10" i="71"/>
  <c r="E65" i="40"/>
  <c r="E41" i="43"/>
  <c r="C41" i="43"/>
  <c r="C20" i="43"/>
  <c r="D7" i="71"/>
  <c r="T9" i="71"/>
  <c r="D8" i="71"/>
  <c r="D9" i="71"/>
  <c r="F65" i="40"/>
  <c r="G63" i="40"/>
  <c r="G65" i="40" s="1"/>
  <c r="M20" i="43"/>
  <c r="U9" i="71"/>
  <c r="H63" i="40"/>
  <c r="I63" i="40" s="1"/>
  <c r="I65" i="40" s="1"/>
  <c r="E2" i="68"/>
  <c r="M23" i="67"/>
  <c r="D2" i="33"/>
  <c r="L47" i="15"/>
  <c r="F26" i="15"/>
  <c r="B12" i="76"/>
  <c r="D5" i="73"/>
  <c r="M21" i="15"/>
  <c r="B9" i="76"/>
  <c r="AO8" i="1"/>
  <c r="D2" i="35"/>
  <c r="F13" i="15"/>
  <c r="AO7" i="1"/>
  <c r="F40" i="67"/>
  <c r="M24" i="67"/>
  <c r="E10" i="76"/>
  <c r="M8" i="67"/>
  <c r="F16" i="67"/>
  <c r="F20" i="31"/>
  <c r="B11" i="76"/>
  <c r="F6" i="15"/>
  <c r="F41" i="67"/>
  <c r="F7" i="67"/>
  <c r="E8" i="76"/>
  <c r="M9" i="15"/>
  <c r="B13" i="76"/>
  <c r="E2" i="69"/>
  <c r="L47" i="67"/>
  <c r="D7" i="73"/>
  <c r="F3" i="73"/>
  <c r="F35" i="15"/>
  <c r="F7" i="73"/>
  <c r="F42" i="15"/>
  <c r="M26" i="67"/>
  <c r="B7" i="76"/>
  <c r="L48" i="15"/>
  <c r="C76" i="67"/>
  <c r="F26" i="67"/>
  <c r="D2" i="36"/>
  <c r="E9" i="76"/>
  <c r="E13" i="76"/>
  <c r="D6" i="73"/>
  <c r="D2" i="34"/>
  <c r="F43" i="67"/>
  <c r="F9" i="15"/>
  <c r="F43" i="15"/>
  <c r="M24" i="15"/>
  <c r="M28" i="67"/>
  <c r="F37" i="67"/>
  <c r="AO10" i="1"/>
  <c r="F6" i="73"/>
  <c r="F38" i="15"/>
  <c r="F36" i="15"/>
  <c r="F8" i="67"/>
  <c r="D2" i="37"/>
  <c r="F35" i="67"/>
  <c r="J15" i="15"/>
  <c r="F41" i="15"/>
  <c r="AO9" i="1"/>
  <c r="D2" i="21"/>
  <c r="AO11" i="1"/>
  <c r="D4" i="73"/>
  <c r="F4" i="73"/>
  <c r="B8" i="76"/>
  <c r="AO12" i="1"/>
  <c r="M23" i="15"/>
  <c r="AO6" i="1"/>
  <c r="B10" i="76"/>
  <c r="F40" i="15"/>
  <c r="F6" i="67"/>
  <c r="L48" i="67"/>
  <c r="M22" i="15"/>
  <c r="F36" i="67"/>
  <c r="F8" i="15"/>
  <c r="M29" i="15"/>
  <c r="E12" i="76"/>
  <c r="AO13" i="1"/>
  <c r="M9" i="67"/>
  <c r="M27" i="67"/>
  <c r="M28" i="15"/>
  <c r="M26" i="15"/>
  <c r="M6" i="67"/>
  <c r="E7" i="76"/>
  <c r="M27" i="15"/>
  <c r="C76" i="15"/>
  <c r="F7" i="15"/>
  <c r="D3" i="73"/>
  <c r="F9" i="67"/>
  <c r="F16" i="15"/>
  <c r="M29" i="67"/>
  <c r="F37" i="15"/>
  <c r="F38" i="67"/>
  <c r="F13" i="67"/>
  <c r="M8" i="15"/>
  <c r="E11" i="76"/>
  <c r="M21" i="67"/>
  <c r="M6" i="15"/>
  <c r="F42" i="67"/>
  <c r="F5" i="73"/>
  <c r="M22" i="67"/>
  <c r="J15" i="67"/>
  <c r="S11" i="39" l="1"/>
  <c r="AC11" i="39"/>
  <c r="B11" i="49"/>
  <c r="B14" i="49"/>
  <c r="G29" i="6"/>
  <c r="G28" i="6"/>
  <c r="G30" i="6" s="1"/>
  <c r="G31" i="6" s="1"/>
  <c r="F28" i="6"/>
  <c r="E11" i="49"/>
  <c r="C70" i="39"/>
  <c r="D68" i="39"/>
  <c r="P24" i="43"/>
  <c r="B66" i="40" s="1"/>
  <c r="H65" i="40"/>
  <c r="P25" i="43"/>
  <c r="P23" i="43"/>
  <c r="B71" i="39" s="1"/>
  <c r="B9" i="49"/>
  <c r="F7" i="33"/>
  <c r="M47" i="9"/>
  <c r="C7" i="35"/>
  <c r="C48" i="35" s="1"/>
  <c r="D48" i="35" s="1"/>
  <c r="J63" i="40"/>
  <c r="J7" i="33"/>
  <c r="K6" i="1"/>
  <c r="AP6" i="1" s="1"/>
  <c r="C36" i="69" s="1"/>
  <c r="E8" i="6"/>
  <c r="E5" i="6"/>
  <c r="D9" i="11" s="1"/>
  <c r="C9" i="11" s="1"/>
  <c r="E32" i="6"/>
  <c r="BA13" i="3"/>
  <c r="AZ13" i="3" s="1"/>
  <c r="BA14" i="3"/>
  <c r="F22" i="43"/>
  <c r="F101" i="43"/>
  <c r="F106" i="43" s="1"/>
  <c r="E22" i="43"/>
  <c r="L101" i="43"/>
  <c r="L103" i="43" s="1"/>
  <c r="J22" i="43"/>
  <c r="H101" i="43"/>
  <c r="H103" i="43" s="1"/>
  <c r="G22" i="43"/>
  <c r="AQ12" i="1"/>
  <c r="AR12" i="1"/>
  <c r="AR13" i="1"/>
  <c r="T13" i="1"/>
  <c r="G14" i="3"/>
  <c r="G5" i="3" s="1"/>
  <c r="B3" i="3" s="1"/>
  <c r="H5" i="3"/>
  <c r="C4" i="12"/>
  <c r="T10" i="1"/>
  <c r="E12" i="6"/>
  <c r="E57" i="40" s="1"/>
  <c r="E15" i="6"/>
  <c r="E14" i="6"/>
  <c r="E11" i="6"/>
  <c r="E61" i="39" s="1"/>
  <c r="AZ14" i="3"/>
  <c r="AZ5" i="3" s="1"/>
  <c r="E3" i="6" s="1"/>
  <c r="F30" i="6"/>
  <c r="E28" i="6"/>
  <c r="AR11" i="1"/>
  <c r="AQ13" i="1"/>
  <c r="AR10" i="1"/>
  <c r="F105" i="43"/>
  <c r="E10" i="6"/>
  <c r="E13" i="6"/>
  <c r="E58" i="40" s="1"/>
  <c r="T11" i="1"/>
  <c r="E29" i="6"/>
  <c r="K15" i="1" s="1"/>
  <c r="B4" i="49"/>
  <c r="E8" i="49"/>
  <c r="E9" i="49"/>
  <c r="B8" i="49"/>
  <c r="E14" i="49"/>
  <c r="D23" i="67"/>
  <c r="C5" i="43"/>
  <c r="T10" i="43" s="1"/>
  <c r="V10" i="43" s="1"/>
  <c r="D5" i="43"/>
  <c r="C36" i="43" s="1"/>
  <c r="E36" i="43" s="1"/>
  <c r="T8" i="43"/>
  <c r="V8" i="43" s="1"/>
  <c r="B4" i="62"/>
  <c r="B71" i="72" s="1"/>
  <c r="C92" i="9"/>
  <c r="C94" i="9"/>
  <c r="D68" i="9"/>
  <c r="F28" i="15"/>
  <c r="C28" i="15" s="1"/>
  <c r="F31" i="12"/>
  <c r="M18" i="67"/>
  <c r="F30" i="68"/>
  <c r="C77" i="9"/>
  <c r="C74" i="9" s="1"/>
  <c r="F54" i="9"/>
  <c r="M18" i="15"/>
  <c r="F32" i="15"/>
  <c r="F60" i="15" s="1"/>
  <c r="F30" i="69"/>
  <c r="F32" i="67"/>
  <c r="F60" i="67" s="1"/>
  <c r="F52" i="9"/>
  <c r="F28" i="67"/>
  <c r="C28" i="67" s="1"/>
  <c r="F30" i="11"/>
  <c r="C40" i="68"/>
  <c r="B6" i="49"/>
  <c r="E22" i="49"/>
  <c r="B10" i="49"/>
  <c r="E21" i="49"/>
  <c r="E13" i="49"/>
  <c r="B22" i="49"/>
  <c r="E4" i="49"/>
  <c r="E6" i="49"/>
  <c r="B13" i="49"/>
  <c r="E10" i="49"/>
  <c r="E7" i="49"/>
  <c r="T16" i="43"/>
  <c r="V16" i="43" s="1"/>
  <c r="C35" i="43"/>
  <c r="E35" i="43" s="1"/>
  <c r="G36" i="43"/>
  <c r="I36" i="43" s="1"/>
  <c r="C34" i="43"/>
  <c r="E34" i="43" s="1"/>
  <c r="C33" i="43"/>
  <c r="T13" i="43"/>
  <c r="V13" i="43" s="1"/>
  <c r="E2" i="70"/>
  <c r="H16" i="1"/>
  <c r="F27" i="6"/>
  <c r="E56" i="39"/>
  <c r="E51" i="40"/>
  <c r="O11" i="1"/>
  <c r="P11" i="1" s="1"/>
  <c r="O12" i="1"/>
  <c r="P12" i="1" s="1"/>
  <c r="O9" i="1"/>
  <c r="P9" i="1" s="1"/>
  <c r="O8" i="1"/>
  <c r="H107" i="43"/>
  <c r="N101" i="43"/>
  <c r="K101"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34" i="43"/>
  <c r="I34" i="43" s="1"/>
  <c r="J59" i="34"/>
  <c r="K59" i="34" s="1"/>
  <c r="L59" i="34" s="1"/>
  <c r="M59" i="34" s="1"/>
  <c r="N59" i="34" s="1"/>
  <c r="O59" i="34" s="1"/>
  <c r="J7" i="34"/>
  <c r="T14" i="43"/>
  <c r="V14" i="43" s="1"/>
  <c r="C39" i="43"/>
  <c r="C38" i="43"/>
  <c r="C37" i="43"/>
  <c r="E37" i="43" s="1"/>
  <c r="T15" i="43"/>
  <c r="V15" i="43" s="1"/>
  <c r="T9" i="43"/>
  <c r="V9" i="43" s="1"/>
  <c r="T12" i="43"/>
  <c r="V12" i="43" s="1"/>
  <c r="T11" i="43"/>
  <c r="V11" i="43" s="1"/>
  <c r="AB7" i="33"/>
  <c r="T48" i="33" s="1"/>
  <c r="G48" i="33" s="1"/>
  <c r="U7" i="33"/>
  <c r="E52" i="37"/>
  <c r="H7" i="34"/>
  <c r="F7" i="34"/>
  <c r="H7" i="21"/>
  <c r="E48" i="35"/>
  <c r="E46" i="36"/>
  <c r="F7" i="21"/>
  <c r="J7" i="21"/>
  <c r="G16" i="1"/>
  <c r="F10" i="40" s="1"/>
  <c r="F71" i="67"/>
  <c r="C27" i="15"/>
  <c r="F65" i="15"/>
  <c r="B9" i="70"/>
  <c r="M59" i="67"/>
  <c r="N59" i="67"/>
  <c r="L59" i="67"/>
  <c r="L58" i="67"/>
  <c r="I1" i="73"/>
  <c r="B39" i="1" s="1"/>
  <c r="F51" i="67"/>
  <c r="F69" i="15"/>
  <c r="F65" i="67"/>
  <c r="K1" i="73"/>
  <c r="C6" i="15"/>
  <c r="F69" i="67"/>
  <c r="E20" i="43"/>
  <c r="F66" i="67"/>
  <c r="B10" i="70"/>
  <c r="B11" i="70"/>
  <c r="N59" i="15"/>
  <c r="L59" i="15"/>
  <c r="L58" i="15"/>
  <c r="M59" i="15"/>
  <c r="B8" i="70"/>
  <c r="F66" i="15"/>
  <c r="Q71" i="67"/>
  <c r="Q71" i="15"/>
  <c r="F64" i="15"/>
  <c r="F70" i="67"/>
  <c r="C6" i="67"/>
  <c r="C34" i="15"/>
  <c r="F63" i="15"/>
  <c r="C62" i="15" s="1"/>
  <c r="B6" i="70"/>
  <c r="B20" i="31"/>
  <c r="C27" i="67"/>
  <c r="J53" i="15"/>
  <c r="L56" i="15" s="1"/>
  <c r="J57" i="15"/>
  <c r="J55" i="15" s="1"/>
  <c r="J58" i="15" s="1"/>
  <c r="Q50" i="15" s="1"/>
  <c r="I54" i="15"/>
  <c r="F50" i="15"/>
  <c r="M7" i="15"/>
  <c r="B13" i="70"/>
  <c r="M7" i="67"/>
  <c r="F50" i="67"/>
  <c r="F63" i="67"/>
  <c r="C62" i="67" s="1"/>
  <c r="C34" i="67"/>
  <c r="J20" i="67"/>
  <c r="F68" i="67"/>
  <c r="F51" i="15"/>
  <c r="B12" i="70"/>
  <c r="F64" i="67"/>
  <c r="F71" i="15"/>
  <c r="J20" i="15"/>
  <c r="B7" i="70"/>
  <c r="F68" i="15"/>
  <c r="J57" i="67"/>
  <c r="J55" i="67" s="1"/>
  <c r="J58" i="67" s="1"/>
  <c r="Q50" i="67" s="1"/>
  <c r="L56" i="67"/>
  <c r="J53" i="67"/>
  <c r="I54" i="67"/>
  <c r="F31" i="15"/>
  <c r="M17" i="67"/>
  <c r="F59" i="67"/>
  <c r="C16" i="67"/>
  <c r="C14" i="67"/>
  <c r="M17" i="15"/>
  <c r="C16" i="15"/>
  <c r="C14" i="15"/>
  <c r="C17" i="67"/>
  <c r="F31" i="67"/>
  <c r="F59" i="15"/>
  <c r="C17" i="15"/>
  <c r="G1" i="73"/>
  <c r="F103" i="43" l="1"/>
  <c r="C31" i="12"/>
  <c r="F107" i="43"/>
  <c r="H105" i="43"/>
  <c r="H102" i="43"/>
  <c r="F104" i="43"/>
  <c r="H106" i="43"/>
  <c r="H109" i="43"/>
  <c r="Q16" i="1"/>
  <c r="H104" i="43"/>
  <c r="M6" i="1"/>
  <c r="O6" i="1" s="1"/>
  <c r="L19" i="6"/>
  <c r="L27" i="6" s="1"/>
  <c r="W7" i="33"/>
  <c r="AC7" i="33"/>
  <c r="V48" i="33" s="1"/>
  <c r="I48" i="33" s="1"/>
  <c r="S7" i="33"/>
  <c r="AA7" i="33"/>
  <c r="R48" i="33" s="1"/>
  <c r="K63" i="40"/>
  <c r="J65" i="40"/>
  <c r="E68" i="39"/>
  <c r="D70" i="39"/>
  <c r="D9" i="69"/>
  <c r="C9" i="69" s="1"/>
  <c r="D9" i="68"/>
  <c r="C9" i="68" s="1"/>
  <c r="D19" i="12"/>
  <c r="C19" i="12" s="1"/>
  <c r="BA5" i="3"/>
  <c r="E16" i="6"/>
  <c r="L105" i="43"/>
  <c r="D3" i="33"/>
  <c r="D3" i="21"/>
  <c r="E6" i="6"/>
  <c r="D10" i="11" s="1"/>
  <c r="C10" i="11" s="1"/>
  <c r="L18" i="9"/>
  <c r="D37" i="11"/>
  <c r="D22" i="43"/>
  <c r="L104" i="43"/>
  <c r="E159" i="3"/>
  <c r="E212" i="3"/>
  <c r="AD6" i="3"/>
  <c r="E464" i="3"/>
  <c r="E459" i="3"/>
  <c r="E69" i="3"/>
  <c r="E445" i="3"/>
  <c r="E431" i="3"/>
  <c r="E514" i="3"/>
  <c r="E387" i="3"/>
  <c r="E134" i="3"/>
  <c r="E322" i="3"/>
  <c r="E461" i="3"/>
  <c r="E495" i="3"/>
  <c r="E188" i="3"/>
  <c r="E167" i="3"/>
  <c r="E542" i="3"/>
  <c r="E487" i="3"/>
  <c r="E374" i="3"/>
  <c r="E278" i="3"/>
  <c r="E535" i="3"/>
  <c r="E247" i="3"/>
  <c r="E570" i="3"/>
  <c r="E335" i="3"/>
  <c r="E217" i="3"/>
  <c r="AJ6" i="3"/>
  <c r="E227" i="3"/>
  <c r="AN6" i="3"/>
  <c r="E303" i="3"/>
  <c r="E149" i="3"/>
  <c r="E312" i="3"/>
  <c r="E421" i="3"/>
  <c r="E416" i="3"/>
  <c r="E172" i="3"/>
  <c r="E579" i="3"/>
  <c r="E311" i="3"/>
  <c r="AB6" i="3"/>
  <c r="E189" i="3"/>
  <c r="E268" i="3"/>
  <c r="E567" i="3"/>
  <c r="E353" i="3"/>
  <c r="E402" i="3"/>
  <c r="E181" i="3"/>
  <c r="E141" i="3"/>
  <c r="E552" i="3"/>
  <c r="E398" i="3"/>
  <c r="E566" i="3"/>
  <c r="E563" i="3"/>
  <c r="E509" i="3"/>
  <c r="E201" i="3"/>
  <c r="M6" i="3"/>
  <c r="E215" i="3"/>
  <c r="E526" i="3"/>
  <c r="E539" i="3"/>
  <c r="E165" i="3"/>
  <c r="E586" i="3"/>
  <c r="E62" i="39"/>
  <c r="L109" i="43"/>
  <c r="L106" i="43"/>
  <c r="L107" i="43"/>
  <c r="L102" i="43"/>
  <c r="E63" i="39"/>
  <c r="F109" i="43"/>
  <c r="F102" i="43"/>
  <c r="C18" i="15"/>
  <c r="C15" i="15"/>
  <c r="E453" i="3"/>
  <c r="E244" i="3"/>
  <c r="E156" i="3"/>
  <c r="E91" i="3"/>
  <c r="E180" i="3"/>
  <c r="E140" i="3"/>
  <c r="E223" i="3"/>
  <c r="E197" i="3"/>
  <c r="E173" i="3"/>
  <c r="E369" i="3"/>
  <c r="E525" i="3"/>
  <c r="E534" i="3"/>
  <c r="T6" i="3"/>
  <c r="E405" i="3"/>
  <c r="E456" i="3"/>
  <c r="E469" i="3"/>
  <c r="E512" i="3"/>
  <c r="E408" i="3"/>
  <c r="E451" i="3"/>
  <c r="E360" i="3"/>
  <c r="E55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306" i="3"/>
  <c r="E196" i="3"/>
  <c r="E135" i="3"/>
  <c r="E117" i="3"/>
  <c r="E85" i="3"/>
  <c r="E224" i="3"/>
  <c r="E133" i="3"/>
  <c r="E393" i="3"/>
  <c r="E532" i="3"/>
  <c r="E560" i="3"/>
  <c r="E427" i="3"/>
  <c r="E474" i="3"/>
  <c r="E406" i="3"/>
  <c r="E440" i="3"/>
  <c r="E288" i="3"/>
  <c r="E587" i="3"/>
  <c r="E557" i="3"/>
  <c r="J6" i="3"/>
  <c r="E577" i="3"/>
  <c r="E531" i="3"/>
  <c r="E419" i="3"/>
  <c r="E468" i="3"/>
  <c r="E489" i="3"/>
  <c r="E401" i="3"/>
  <c r="E454" i="3"/>
  <c r="E28" i="3"/>
  <c r="E40" i="3"/>
  <c r="E106" i="3"/>
  <c r="E70" i="3"/>
  <c r="E108" i="3"/>
  <c r="E146" i="3"/>
  <c r="E182" i="3"/>
  <c r="E119" i="3"/>
  <c r="E171" i="3"/>
  <c r="E211" i="3"/>
  <c r="E242" i="3"/>
  <c r="E214" i="3"/>
  <c r="E273" i="3"/>
  <c r="E276" i="3"/>
  <c r="E315" i="3"/>
  <c r="E377" i="3"/>
  <c r="E333" i="3"/>
  <c r="E362" i="3"/>
  <c r="E572" i="3"/>
  <c r="L6" i="3"/>
  <c r="E74" i="3"/>
  <c r="E109" i="3"/>
  <c r="E43" i="3"/>
  <c r="E409" i="3"/>
  <c r="E484" i="3"/>
  <c r="E412" i="3"/>
  <c r="E79" i="3"/>
  <c r="E46" i="3"/>
  <c r="E129" i="3"/>
  <c r="E137" i="3"/>
  <c r="E200" i="3"/>
  <c r="E275" i="3"/>
  <c r="E299" i="3"/>
  <c r="E371" i="3"/>
  <c r="E342" i="3"/>
  <c r="AQ6" i="3"/>
  <c r="E52" i="3"/>
  <c r="E36" i="3"/>
  <c r="E112" i="3"/>
  <c r="E123" i="3"/>
  <c r="E147" i="3"/>
  <c r="E289" i="3"/>
  <c r="E340" i="3"/>
  <c r="E364" i="3"/>
  <c r="E50" i="3"/>
  <c r="E20" i="3"/>
  <c r="E62" i="3"/>
  <c r="E176" i="3"/>
  <c r="E218" i="3"/>
  <c r="E265" i="3"/>
  <c r="E365" i="3"/>
  <c r="E524" i="3"/>
  <c r="E101" i="3"/>
  <c r="E549" i="3"/>
  <c r="E296" i="3"/>
  <c r="E61" i="3"/>
  <c r="E221" i="3"/>
  <c r="E277" i="3"/>
  <c r="E116" i="3"/>
  <c r="E313" i="3"/>
  <c r="K6" i="3"/>
  <c r="E564" i="3"/>
  <c r="E529" i="3"/>
  <c r="E472" i="3"/>
  <c r="E507" i="3"/>
  <c r="E465" i="3"/>
  <c r="E376" i="3"/>
  <c r="AH6" i="3"/>
  <c r="AE6" i="3"/>
  <c r="E581" i="3"/>
  <c r="E498" i="3"/>
  <c r="E429" i="3"/>
  <c r="E444" i="3"/>
  <c r="E483" i="3"/>
  <c r="E496" i="3"/>
  <c r="E404" i="3"/>
  <c r="E463" i="3"/>
  <c r="E55" i="3"/>
  <c r="E88" i="3"/>
  <c r="E25" i="3"/>
  <c r="E73" i="3"/>
  <c r="E121" i="3"/>
  <c r="E178" i="3"/>
  <c r="E203" i="3"/>
  <c r="E166" i="3"/>
  <c r="E202" i="3"/>
  <c r="E256" i="3"/>
  <c r="E295" i="3"/>
  <c r="E226" i="3"/>
  <c r="E274" i="3"/>
  <c r="E316" i="3"/>
  <c r="E346" i="3"/>
  <c r="E394" i="3"/>
  <c r="E334" i="3"/>
  <c r="E372" i="3"/>
  <c r="E580" i="3"/>
  <c r="E30" i="3"/>
  <c r="E60" i="3"/>
  <c r="E32" i="3"/>
  <c r="E480" i="3"/>
  <c r="E428" i="3"/>
  <c r="E15" i="3"/>
  <c r="E467" i="3"/>
  <c r="E96" i="3"/>
  <c r="E100" i="3"/>
  <c r="E160" i="3"/>
  <c r="E174" i="3"/>
  <c r="E234" i="3"/>
  <c r="E249" i="3"/>
  <c r="E324" i="3"/>
  <c r="E325" i="3"/>
  <c r="E492" i="3"/>
  <c r="E35" i="3"/>
  <c r="E86" i="3"/>
  <c r="E34" i="3"/>
  <c r="E49" i="3"/>
  <c r="E206" i="3"/>
  <c r="E232" i="3"/>
  <c r="E251" i="3"/>
  <c r="E370" i="3"/>
  <c r="E102" i="3"/>
  <c r="E80" i="3"/>
  <c r="E113" i="3"/>
  <c r="E158" i="3"/>
  <c r="E287" i="3"/>
  <c r="E308" i="3"/>
  <c r="E22" i="3"/>
  <c r="E83" i="3"/>
  <c r="E368" i="3"/>
  <c r="E136" i="3"/>
  <c r="E290" i="3"/>
  <c r="E45" i="3"/>
  <c r="E177" i="3"/>
  <c r="E105" i="3"/>
  <c r="E519" i="3"/>
  <c r="Q6" i="3"/>
  <c r="E543" i="3"/>
  <c r="E458" i="3"/>
  <c r="E481" i="3"/>
  <c r="E422" i="3"/>
  <c r="E457" i="3"/>
  <c r="E344" i="3"/>
  <c r="E505" i="3"/>
  <c r="E497" i="3"/>
  <c r="E571" i="3"/>
  <c r="AS6" i="3"/>
  <c r="E494" i="3"/>
  <c r="E450" i="3"/>
  <c r="E476" i="3"/>
  <c r="E470" i="3"/>
  <c r="E433" i="3"/>
  <c r="E447" i="3"/>
  <c r="E26" i="3"/>
  <c r="E72" i="3"/>
  <c r="E27" i="3"/>
  <c r="E41" i="3"/>
  <c r="E111" i="3"/>
  <c r="E162" i="3"/>
  <c r="E198" i="3"/>
  <c r="E150" i="3"/>
  <c r="E186" i="3"/>
  <c r="E225" i="3"/>
  <c r="E279" i="3"/>
  <c r="E210" i="3"/>
  <c r="E243" i="3"/>
  <c r="E351" i="3"/>
  <c r="E331" i="3"/>
  <c r="E391" i="3"/>
  <c r="E318" i="3"/>
  <c r="E384" i="3"/>
  <c r="AL6" i="3"/>
  <c r="E31" i="3"/>
  <c r="E44" i="3"/>
  <c r="E94" i="3"/>
  <c r="E75" i="3"/>
  <c r="E441" i="3"/>
  <c r="E482" i="3"/>
  <c r="E455" i="3"/>
  <c r="E64" i="3"/>
  <c r="E78" i="3"/>
  <c r="E170" i="3"/>
  <c r="E142" i="3"/>
  <c r="E220" i="3"/>
  <c r="E219" i="3"/>
  <c r="E300" i="3"/>
  <c r="E383" i="3"/>
  <c r="E392" i="3"/>
  <c r="E23" i="3"/>
  <c r="E84" i="3"/>
  <c r="E67" i="3"/>
  <c r="E33" i="3"/>
  <c r="E144" i="3"/>
  <c r="E184" i="3"/>
  <c r="E233" i="3"/>
  <c r="E355" i="3"/>
  <c r="E381" i="3"/>
  <c r="E68" i="3"/>
  <c r="E63" i="3"/>
  <c r="E81" i="3"/>
  <c r="E118" i="3"/>
  <c r="E264" i="3"/>
  <c r="E283" i="3"/>
  <c r="E309" i="3"/>
  <c r="E513" i="3"/>
  <c r="E21" i="3"/>
  <c r="E438" i="3"/>
  <c r="AF6" i="3"/>
  <c r="E326" i="3"/>
  <c r="E434" i="3"/>
  <c r="E262" i="3"/>
  <c r="E330" i="3"/>
  <c r="E486" i="3"/>
  <c r="E562" i="3"/>
  <c r="E537" i="3"/>
  <c r="E546" i="3"/>
  <c r="E104" i="3"/>
  <c r="E168" i="3"/>
  <c r="E272" i="3"/>
  <c r="E332" i="3"/>
  <c r="E29" i="3"/>
  <c r="E18" i="3"/>
  <c r="E194" i="3"/>
  <c r="E310" i="3"/>
  <c r="E48" i="3"/>
  <c r="E284" i="3"/>
  <c r="E19" i="3"/>
  <c r="E323" i="3"/>
  <c r="E87" i="3"/>
  <c r="E373" i="3"/>
  <c r="E573" i="3"/>
  <c r="E92" i="3"/>
  <c r="E317" i="3"/>
  <c r="E66" i="3"/>
  <c r="E179" i="3"/>
  <c r="E254" i="3"/>
  <c r="E120" i="3"/>
  <c r="E493" i="3"/>
  <c r="E527" i="3"/>
  <c r="W6" i="3"/>
  <c r="E403" i="3"/>
  <c r="E420" i="3"/>
  <c r="E54" i="3"/>
  <c r="E126" i="3"/>
  <c r="E281" i="3"/>
  <c r="E357" i="3"/>
  <c r="AM6" i="3"/>
  <c r="E488" i="3"/>
  <c r="E38" i="3"/>
  <c r="E267" i="3"/>
  <c r="E522" i="3"/>
  <c r="E341" i="3"/>
  <c r="E154" i="3"/>
  <c r="E238" i="3"/>
  <c r="E547" i="3"/>
  <c r="E452" i="3"/>
  <c r="E139" i="3"/>
  <c r="E473" i="3"/>
  <c r="E235" i="3"/>
  <c r="Y6" i="3"/>
  <c r="E437" i="3"/>
  <c r="E13" i="3"/>
  <c r="E71" i="3"/>
  <c r="E208" i="3"/>
  <c r="E356" i="3"/>
  <c r="E425" i="3"/>
  <c r="E339" i="3"/>
  <c r="E250" i="3"/>
  <c r="E222" i="3"/>
  <c r="E161" i="3"/>
  <c r="E424" i="3"/>
  <c r="E475" i="3"/>
  <c r="E257" i="3"/>
  <c r="E42" i="3"/>
  <c r="E103" i="3"/>
  <c r="E127" i="3"/>
  <c r="E82" i="3"/>
  <c r="E193" i="3"/>
  <c r="E490" i="3"/>
  <c r="E471" i="3"/>
  <c r="E115" i="3"/>
  <c r="E291" i="3"/>
  <c r="E93" i="3"/>
  <c r="E190" i="3"/>
  <c r="E24" i="3"/>
  <c r="E51" i="3"/>
  <c r="E536" i="3"/>
  <c r="I6" i="3"/>
  <c r="E568" i="3"/>
  <c r="E397" i="3"/>
  <c r="E124" i="3"/>
  <c r="E280" i="3"/>
  <c r="E399" i="3"/>
  <c r="AA6" i="3"/>
  <c r="E347" i="3"/>
  <c r="E508" i="3"/>
  <c r="E305" i="3"/>
  <c r="E343" i="3"/>
  <c r="E530" i="3"/>
  <c r="E175" i="3"/>
  <c r="E185" i="3"/>
  <c r="E216" i="3"/>
  <c r="E231" i="3"/>
  <c r="E380" i="3"/>
  <c r="E439" i="3"/>
  <c r="E538" i="3"/>
  <c r="E561" i="3"/>
  <c r="AR6" i="3"/>
  <c r="E533" i="3"/>
  <c r="E270" i="3"/>
  <c r="E143" i="3"/>
  <c r="E337" i="3"/>
  <c r="E410" i="3"/>
  <c r="E555" i="3"/>
  <c r="E388" i="3"/>
  <c r="E503" i="3"/>
  <c r="E361" i="3"/>
  <c r="E183" i="3"/>
  <c r="E528" i="3"/>
  <c r="E261" i="3"/>
  <c r="E558" i="3"/>
  <c r="E345" i="3"/>
  <c r="E443" i="3"/>
  <c r="E400" i="3"/>
  <c r="P6" i="3"/>
  <c r="E485" i="3"/>
  <c r="E448" i="3"/>
  <c r="AO6" i="3"/>
  <c r="AG6" i="3"/>
  <c r="Z6" i="3"/>
  <c r="E576" i="3"/>
  <c r="E327" i="3"/>
  <c r="E164" i="3"/>
  <c r="E204" i="3"/>
  <c r="E252" i="3"/>
  <c r="E89" i="3"/>
  <c r="E269" i="3"/>
  <c r="E236" i="3"/>
  <c r="E245" i="3"/>
  <c r="E382" i="3"/>
  <c r="E578" i="3"/>
  <c r="E14" i="3"/>
  <c r="E56" i="40"/>
  <c r="AI6" i="3"/>
  <c r="E518" i="3"/>
  <c r="E385" i="3"/>
  <c r="E128" i="3"/>
  <c r="E205" i="3"/>
  <c r="E352" i="3"/>
  <c r="E510" i="3"/>
  <c r="E545" i="3"/>
  <c r="E329" i="3"/>
  <c r="N6" i="3"/>
  <c r="E282" i="3"/>
  <c r="E553" i="3"/>
  <c r="E366" i="3"/>
  <c r="E125" i="3"/>
  <c r="E130" i="3"/>
  <c r="E230" i="3"/>
  <c r="E294" i="3"/>
  <c r="E320" i="3"/>
  <c r="E407" i="3"/>
  <c r="V6" i="3"/>
  <c r="E551" i="3"/>
  <c r="E559" i="3"/>
  <c r="E358" i="3"/>
  <c r="E151" i="3"/>
  <c r="E229" i="3"/>
  <c r="E396" i="3"/>
  <c r="E569" i="3"/>
  <c r="E516" i="3"/>
  <c r="E239" i="3"/>
  <c r="E550" i="3"/>
  <c r="E260" i="3"/>
  <c r="E395" i="3"/>
  <c r="E415" i="3"/>
  <c r="E114" i="3"/>
  <c r="I3" i="6"/>
  <c r="E255" i="3"/>
  <c r="E449" i="3"/>
  <c r="E430" i="3"/>
  <c r="E541" i="3"/>
  <c r="E466" i="3"/>
  <c r="E442" i="3"/>
  <c r="E502" i="3"/>
  <c r="R6" i="3"/>
  <c r="E499" i="3"/>
  <c r="E575" i="3"/>
  <c r="E286" i="3"/>
  <c r="E199" i="3"/>
  <c r="E253" i="3"/>
  <c r="E77" i="3"/>
  <c r="E157" i="3"/>
  <c r="E228" i="3"/>
  <c r="E99" i="3"/>
  <c r="E301" i="3"/>
  <c r="E350" i="3"/>
  <c r="AY6" i="3"/>
  <c r="AY82" i="3" s="1"/>
  <c r="AK6" i="3"/>
  <c r="E16" i="3"/>
  <c r="E511" i="3"/>
  <c r="E314" i="3"/>
  <c r="E293" i="3"/>
  <c r="E246" i="3"/>
  <c r="E336" i="3"/>
  <c r="X6" i="3"/>
  <c r="E583" i="3"/>
  <c r="E328" i="3"/>
  <c r="E426" i="3"/>
  <c r="E153" i="3"/>
  <c r="E501" i="3"/>
  <c r="E319" i="3"/>
  <c r="E53" i="3"/>
  <c r="E169" i="3"/>
  <c r="E298" i="3"/>
  <c r="E321" i="3"/>
  <c r="E338" i="3"/>
  <c r="E418" i="3"/>
  <c r="E506" i="3"/>
  <c r="E523" i="3"/>
  <c r="S6" i="3"/>
  <c r="E390" i="3"/>
  <c r="E97" i="3"/>
  <c r="E285" i="3"/>
  <c r="E359" i="3"/>
  <c r="E574" i="3"/>
  <c r="O6" i="3"/>
  <c r="E302" i="3"/>
  <c r="E17" i="3"/>
  <c r="E213" i="3"/>
  <c r="E565" i="3"/>
  <c r="E304" i="3"/>
  <c r="E237" i="3"/>
  <c r="D14" i="12"/>
  <c r="D17" i="12" s="1"/>
  <c r="C17" i="12" s="1"/>
  <c r="D3" i="34"/>
  <c r="E367" i="3"/>
  <c r="E477" i="3"/>
  <c r="E432" i="3"/>
  <c r="E414" i="3"/>
  <c r="E548" i="3"/>
  <c r="E478" i="3"/>
  <c r="E411" i="3"/>
  <c r="E515" i="3"/>
  <c r="U6" i="3"/>
  <c r="E585" i="3"/>
  <c r="E379" i="3"/>
  <c r="E107" i="3"/>
  <c r="E145" i="3"/>
  <c r="E271" i="3"/>
  <c r="E207" i="3"/>
  <c r="E122" i="3"/>
  <c r="E148" i="3"/>
  <c r="E191" i="3"/>
  <c r="E263" i="3"/>
  <c r="E423" i="3"/>
  <c r="D19" i="11"/>
  <c r="C19" i="11" s="1"/>
  <c r="C20" i="11" s="1"/>
  <c r="C17" i="4"/>
  <c r="B4" i="52" s="1"/>
  <c r="B43" i="72" s="1"/>
  <c r="E27" i="6"/>
  <c r="K26" i="6" s="1"/>
  <c r="M26" i="6" s="1"/>
  <c r="I26" i="6" s="1"/>
  <c r="S26" i="6" s="1"/>
  <c r="E64" i="39"/>
  <c r="E59" i="40"/>
  <c r="M18" i="9"/>
  <c r="B118" i="9" s="1"/>
  <c r="B14" i="74" s="1"/>
  <c r="B1" i="74" s="1"/>
  <c r="D3" i="37"/>
  <c r="E30" i="6"/>
  <c r="K14" i="1"/>
  <c r="E60" i="40"/>
  <c r="E65" i="39"/>
  <c r="F27" i="69"/>
  <c r="C47" i="69" s="1"/>
  <c r="D45" i="69" s="1"/>
  <c r="Q17" i="1"/>
  <c r="G35" i="43"/>
  <c r="I35" i="43" s="1"/>
  <c r="C48" i="68"/>
  <c r="C30" i="68"/>
  <c r="C30" i="11"/>
  <c r="C48" i="11"/>
  <c r="C48" i="69"/>
  <c r="C30" i="69"/>
  <c r="G37" i="43"/>
  <c r="I37" i="43" s="1"/>
  <c r="E33" i="43"/>
  <c r="G33" i="43"/>
  <c r="I33" i="43" s="1"/>
  <c r="F28" i="12"/>
  <c r="C29" i="12" s="1"/>
  <c r="D28" i="12" s="1"/>
  <c r="F27" i="11"/>
  <c r="C29" i="11" s="1"/>
  <c r="D27" i="11" s="1"/>
  <c r="F27" i="68"/>
  <c r="D20" i="12"/>
  <c r="C20" i="12" s="1"/>
  <c r="H10" i="40"/>
  <c r="AB10" i="40" s="1"/>
  <c r="F31" i="6"/>
  <c r="AY138" i="3"/>
  <c r="J10" i="39"/>
  <c r="W10" i="39" s="1"/>
  <c r="F10" i="39"/>
  <c r="AA10" i="39" s="1"/>
  <c r="P8" i="1"/>
  <c r="C106" i="43"/>
  <c r="C105" i="43"/>
  <c r="C102" i="43"/>
  <c r="C109" i="43"/>
  <c r="C104" i="43"/>
  <c r="C103" i="43"/>
  <c r="C107"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B116" i="43"/>
  <c r="C116" i="43" s="1"/>
  <c r="I117" i="43"/>
  <c r="J117" i="43" s="1"/>
  <c r="K117" i="43" s="1"/>
  <c r="L117" i="43" s="1"/>
  <c r="M117" i="43" s="1"/>
  <c r="B117" i="43"/>
  <c r="C117" i="43" s="1"/>
  <c r="K103" i="43"/>
  <c r="K107" i="43"/>
  <c r="K104" i="43"/>
  <c r="K106" i="43"/>
  <c r="K105" i="43"/>
  <c r="K102" i="43"/>
  <c r="K109" i="43"/>
  <c r="I109" i="43"/>
  <c r="I104" i="43"/>
  <c r="I107" i="43"/>
  <c r="I105" i="43"/>
  <c r="I102" i="43"/>
  <c r="I106" i="43"/>
  <c r="I103" i="43"/>
  <c r="D109" i="43"/>
  <c r="D105" i="43"/>
  <c r="D106" i="43"/>
  <c r="D102" i="43"/>
  <c r="D103" i="43"/>
  <c r="D104" i="43"/>
  <c r="D107" i="43"/>
  <c r="E104" i="43"/>
  <c r="E107" i="43"/>
  <c r="E105" i="43"/>
  <c r="E109" i="43"/>
  <c r="E102" i="43"/>
  <c r="E103" i="43"/>
  <c r="E106" i="43"/>
  <c r="M104" i="43"/>
  <c r="M107" i="43"/>
  <c r="M105" i="43"/>
  <c r="M106" i="43"/>
  <c r="M109" i="43"/>
  <c r="M102" i="43"/>
  <c r="M103" i="43"/>
  <c r="J105" i="43"/>
  <c r="J103" i="43"/>
  <c r="J106" i="43"/>
  <c r="J107" i="43"/>
  <c r="J104" i="43"/>
  <c r="J102" i="43"/>
  <c r="J109" i="43"/>
  <c r="G102" i="43"/>
  <c r="G103" i="43"/>
  <c r="G109" i="43"/>
  <c r="G107" i="43"/>
  <c r="G105" i="43"/>
  <c r="G104" i="43"/>
  <c r="G106" i="43"/>
  <c r="N102" i="43"/>
  <c r="N103" i="43"/>
  <c r="N106" i="43"/>
  <c r="N107" i="43"/>
  <c r="N105" i="43"/>
  <c r="N104" i="43"/>
  <c r="N109" i="43"/>
  <c r="AA7" i="21"/>
  <c r="R48" i="21" s="1"/>
  <c r="S7" i="21"/>
  <c r="F46" i="36"/>
  <c r="G46" i="36" s="1"/>
  <c r="H46" i="36" s="1"/>
  <c r="I46" i="36" s="1"/>
  <c r="J46" i="36" s="1"/>
  <c r="K46" i="36" s="1"/>
  <c r="L46" i="36" s="1"/>
  <c r="M46" i="36" s="1"/>
  <c r="N46" i="36" s="1"/>
  <c r="O46" i="36" s="1"/>
  <c r="F7" i="36"/>
  <c r="U7" i="21"/>
  <c r="AB7" i="21"/>
  <c r="T48" i="21" s="1"/>
  <c r="G48" i="21" s="1"/>
  <c r="U7" i="34"/>
  <c r="AB7" i="34"/>
  <c r="T49" i="34" s="1"/>
  <c r="G49" i="34" s="1"/>
  <c r="F52" i="37"/>
  <c r="E38" i="43"/>
  <c r="G38" i="43"/>
  <c r="I38" i="43" s="1"/>
  <c r="G39" i="43"/>
  <c r="I39" i="43" s="1"/>
  <c r="E39" i="43"/>
  <c r="H10" i="39"/>
  <c r="U10" i="39" s="1"/>
  <c r="J10" i="40"/>
  <c r="W10" i="40" s="1"/>
  <c r="AC7" i="21"/>
  <c r="V48" i="21" s="1"/>
  <c r="I48" i="21" s="1"/>
  <c r="W7" i="21"/>
  <c r="H7" i="36"/>
  <c r="F48" i="35"/>
  <c r="AA7" i="34"/>
  <c r="R49" i="34" s="1"/>
  <c r="S7" i="34"/>
  <c r="G52" i="33"/>
  <c r="H52" i="33" s="1"/>
  <c r="G53" i="33"/>
  <c r="H53" i="33" s="1"/>
  <c r="AC7" i="34"/>
  <c r="V49" i="34" s="1"/>
  <c r="I49" i="34" s="1"/>
  <c r="W7" i="34"/>
  <c r="S10" i="40"/>
  <c r="AA10" i="40"/>
  <c r="C18" i="67"/>
  <c r="C15" i="67"/>
  <c r="B40" i="1"/>
  <c r="Q52" i="67"/>
  <c r="F1" i="67"/>
  <c r="C49" i="15"/>
  <c r="J6" i="67"/>
  <c r="Q73" i="15"/>
  <c r="Q60" i="15"/>
  <c r="C32" i="15"/>
  <c r="J6" i="15"/>
  <c r="F11" i="67"/>
  <c r="F11" i="15"/>
  <c r="M11" i="15"/>
  <c r="M11" i="67"/>
  <c r="J10" i="67" s="1"/>
  <c r="Q73" i="67"/>
  <c r="Q60" i="67"/>
  <c r="Q52" i="15"/>
  <c r="F1" i="15"/>
  <c r="B2" i="70"/>
  <c r="B3" i="70" s="1"/>
  <c r="C32" i="67"/>
  <c r="Q61" i="15"/>
  <c r="Q74" i="15"/>
  <c r="O28" i="43"/>
  <c r="N28" i="43"/>
  <c r="P28" i="43"/>
  <c r="M28" i="43"/>
  <c r="C49" i="67"/>
  <c r="Q74" i="67"/>
  <c r="Q61" i="67"/>
  <c r="P6" i="1" l="1"/>
  <c r="C13" i="12" s="1"/>
  <c r="D10" i="69"/>
  <c r="C10" i="69" s="1"/>
  <c r="C8" i="69" s="1"/>
  <c r="C5" i="69" s="1"/>
  <c r="R49" i="33"/>
  <c r="E48" i="33"/>
  <c r="F68" i="39"/>
  <c r="E70" i="39"/>
  <c r="I52" i="33"/>
  <c r="J52" i="33" s="1"/>
  <c r="I53" i="33"/>
  <c r="J53" i="33" s="1"/>
  <c r="L63" i="40"/>
  <c r="K65" i="40"/>
  <c r="AY15" i="3"/>
  <c r="AY282" i="3"/>
  <c r="AC10" i="39"/>
  <c r="AY500" i="3"/>
  <c r="K24" i="6"/>
  <c r="M24" i="6" s="1"/>
  <c r="I24" i="6" s="1"/>
  <c r="S24" i="6" s="1"/>
  <c r="AY272" i="3"/>
  <c r="AY354" i="3"/>
  <c r="BP6" i="3"/>
  <c r="BQ6" i="3"/>
  <c r="AY314" i="3"/>
  <c r="BL6" i="3"/>
  <c r="AY361" i="3"/>
  <c r="AY33" i="3"/>
  <c r="C18" i="12"/>
  <c r="AY502" i="3"/>
  <c r="AY14" i="3"/>
  <c r="AY572" i="3"/>
  <c r="AY157" i="3"/>
  <c r="AY245" i="3"/>
  <c r="AY322" i="3"/>
  <c r="AY70" i="3"/>
  <c r="AY187" i="3"/>
  <c r="AY484" i="3"/>
  <c r="AY429" i="3"/>
  <c r="AY277" i="3"/>
  <c r="AY378" i="3"/>
  <c r="AY143" i="3"/>
  <c r="AY265" i="3"/>
  <c r="AY402" i="3"/>
  <c r="AY64" i="3"/>
  <c r="AY210" i="3"/>
  <c r="AY80" i="3"/>
  <c r="AY166" i="3"/>
  <c r="AY186" i="3"/>
  <c r="AY209" i="3"/>
  <c r="AY42" i="3"/>
  <c r="AY443" i="3"/>
  <c r="AY159" i="3"/>
  <c r="AY280" i="3"/>
  <c r="AY410" i="3"/>
  <c r="BC6" i="3"/>
  <c r="AY256" i="3"/>
  <c r="AY469" i="3"/>
  <c r="AY364" i="3"/>
  <c r="AY383" i="3"/>
  <c r="AY17" i="3"/>
  <c r="AY142" i="3"/>
  <c r="AY467" i="3"/>
  <c r="AY137" i="3"/>
  <c r="AY333" i="3"/>
  <c r="AY215" i="3"/>
  <c r="AY436" i="3"/>
  <c r="AY252" i="3"/>
  <c r="AY124" i="3"/>
  <c r="K22" i="6"/>
  <c r="S9" i="1" s="1"/>
  <c r="BT6" i="3"/>
  <c r="AY386" i="3"/>
  <c r="AY405" i="3"/>
  <c r="AY531" i="3"/>
  <c r="AY369" i="3"/>
  <c r="AY306" i="3"/>
  <c r="AY38" i="3"/>
  <c r="AY578" i="3"/>
  <c r="AY576" i="3"/>
  <c r="AY47" i="3"/>
  <c r="AY336" i="3"/>
  <c r="AY559" i="3"/>
  <c r="AY246" i="3"/>
  <c r="AY571" i="3"/>
  <c r="AY283" i="3"/>
  <c r="AY270" i="3"/>
  <c r="AY180" i="3"/>
  <c r="AY76" i="3"/>
  <c r="C19" i="15"/>
  <c r="C20" i="15" s="1"/>
  <c r="C47" i="11"/>
  <c r="D45" i="11" s="1"/>
  <c r="K23" i="6"/>
  <c r="M23" i="6" s="1"/>
  <c r="I23" i="6" s="1"/>
  <c r="S23" i="6" s="1"/>
  <c r="AY521" i="3"/>
  <c r="AY307" i="3"/>
  <c r="AY257" i="3"/>
  <c r="AY86" i="3"/>
  <c r="AY331" i="3"/>
  <c r="AY35" i="3"/>
  <c r="D3" i="6"/>
  <c r="H26" i="6" s="1"/>
  <c r="AY487" i="3"/>
  <c r="AY498" i="3"/>
  <c r="AY416" i="3"/>
  <c r="AY367" i="3"/>
  <c r="AY119" i="3"/>
  <c r="AY560" i="3"/>
  <c r="AY249" i="3"/>
  <c r="AY439" i="3"/>
  <c r="AY195" i="3"/>
  <c r="AY440" i="3"/>
  <c r="AY120" i="3"/>
  <c r="AY530" i="3"/>
  <c r="AY450" i="3"/>
  <c r="AY218" i="3"/>
  <c r="AY112" i="3"/>
  <c r="AY503" i="3"/>
  <c r="AY177" i="3"/>
  <c r="AY28" i="3"/>
  <c r="AY519" i="3"/>
  <c r="AY398" i="3"/>
  <c r="AY109" i="3"/>
  <c r="BO6" i="3"/>
  <c r="AY88" i="3"/>
  <c r="AY193" i="3"/>
  <c r="AY115" i="3"/>
  <c r="AY45" i="3"/>
  <c r="AY61" i="3"/>
  <c r="E31" i="6"/>
  <c r="AY567" i="3"/>
  <c r="AY432" i="3"/>
  <c r="AY375" i="3"/>
  <c r="AY136" i="3"/>
  <c r="AY517" i="3"/>
  <c r="AY264" i="3"/>
  <c r="BA6" i="3"/>
  <c r="AY423" i="3"/>
  <c r="AY345" i="3"/>
  <c r="AY511" i="3"/>
  <c r="AY490" i="3"/>
  <c r="AY224" i="3"/>
  <c r="AY184" i="3"/>
  <c r="AY456" i="3"/>
  <c r="AY46" i="3"/>
  <c r="AY312" i="3"/>
  <c r="AY71" i="3"/>
  <c r="AY315" i="3"/>
  <c r="AY19" i="3"/>
  <c r="AY522" i="3"/>
  <c r="AY479" i="3"/>
  <c r="AY113" i="3"/>
  <c r="AY532" i="3"/>
  <c r="AY454" i="3"/>
  <c r="AY357" i="3"/>
  <c r="AY447" i="3"/>
  <c r="BG6" i="3"/>
  <c r="AY488" i="3"/>
  <c r="AY230" i="3"/>
  <c r="AY325" i="3"/>
  <c r="AY211" i="3"/>
  <c r="AY539" i="3"/>
  <c r="AY59" i="3"/>
  <c r="AY60" i="3"/>
  <c r="BE6" i="3"/>
  <c r="AY460" i="3"/>
  <c r="AY34" i="3"/>
  <c r="AY292" i="3"/>
  <c r="AY97" i="3"/>
  <c r="AY310" i="3"/>
  <c r="AY441" i="3"/>
  <c r="AY168" i="3"/>
  <c r="AY207" i="3"/>
  <c r="AY444" i="3"/>
  <c r="AY75" i="3"/>
  <c r="AY18" i="3"/>
  <c r="AY77" i="3"/>
  <c r="AY569" i="3"/>
  <c r="AY452" i="3"/>
  <c r="AY395" i="3"/>
  <c r="AY106" i="3"/>
  <c r="AY318" i="3"/>
  <c r="AY268" i="3"/>
  <c r="AY131" i="3"/>
  <c r="AY155" i="3"/>
  <c r="AY83" i="3"/>
  <c r="AY497" i="3"/>
  <c r="AY319" i="3"/>
  <c r="AY284" i="3"/>
  <c r="AY183" i="3"/>
  <c r="AY160" i="3"/>
  <c r="AY326" i="3"/>
  <c r="AY557" i="3"/>
  <c r="AY105" i="3"/>
  <c r="AY52" i="3"/>
  <c r="AY198" i="3"/>
  <c r="AY162" i="3"/>
  <c r="AY141" i="3"/>
  <c r="AY291" i="3"/>
  <c r="AY255" i="3"/>
  <c r="AY238" i="3"/>
  <c r="AY384" i="3"/>
  <c r="AY368" i="3"/>
  <c r="BB6" i="3"/>
  <c r="AY72" i="3"/>
  <c r="AY181" i="3"/>
  <c r="AY121" i="3"/>
  <c r="AY258" i="3"/>
  <c r="AY370" i="3"/>
  <c r="AY309" i="3"/>
  <c r="AY483" i="3"/>
  <c r="AY404" i="3"/>
  <c r="AY53" i="3"/>
  <c r="AY185" i="3"/>
  <c r="AY125" i="3"/>
  <c r="AY262" i="3"/>
  <c r="AY374" i="3"/>
  <c r="AY73" i="3"/>
  <c r="AY145" i="3"/>
  <c r="AY388" i="3"/>
  <c r="AY316" i="3"/>
  <c r="AY457" i="3"/>
  <c r="AY414" i="3"/>
  <c r="AY581" i="3"/>
  <c r="AY561" i="3"/>
  <c r="AY546" i="3"/>
  <c r="AY16" i="3"/>
  <c r="AY514" i="3"/>
  <c r="AY96" i="3"/>
  <c r="AY37" i="3"/>
  <c r="AY169" i="3"/>
  <c r="AY311" i="3"/>
  <c r="AY555" i="3"/>
  <c r="AY206" i="3"/>
  <c r="AY149" i="3"/>
  <c r="AY263" i="3"/>
  <c r="AY392" i="3"/>
  <c r="BJ6" i="3"/>
  <c r="AY197" i="3"/>
  <c r="AY274" i="3"/>
  <c r="AY317" i="3"/>
  <c r="AY480" i="3"/>
  <c r="AY438" i="3"/>
  <c r="AY419" i="3"/>
  <c r="AY580" i="3"/>
  <c r="AY536" i="3"/>
  <c r="AY552" i="3"/>
  <c r="AY401" i="3"/>
  <c r="AY382" i="3"/>
  <c r="AY199" i="3"/>
  <c r="AY132" i="3"/>
  <c r="AY533" i="3"/>
  <c r="AY372" i="3"/>
  <c r="AY473" i="3"/>
  <c r="AY281" i="3"/>
  <c r="AY51" i="3"/>
  <c r="AY334" i="3"/>
  <c r="AY163" i="3"/>
  <c r="AY98" i="3"/>
  <c r="AY108" i="3"/>
  <c r="BK6" i="3"/>
  <c r="AY465" i="3"/>
  <c r="AY228" i="3"/>
  <c r="AY409" i="3"/>
  <c r="AY335" i="3"/>
  <c r="AY297" i="3"/>
  <c r="AY188" i="3"/>
  <c r="AY176" i="3"/>
  <c r="AY229" i="3"/>
  <c r="AY412" i="3"/>
  <c r="AY363" i="3"/>
  <c r="AY204" i="3"/>
  <c r="AY74" i="3"/>
  <c r="AY196" i="3"/>
  <c r="AY212" i="3"/>
  <c r="AY478" i="3"/>
  <c r="AY573" i="3"/>
  <c r="AY100" i="3"/>
  <c r="AY36" i="3"/>
  <c r="AY182" i="3"/>
  <c r="AY146" i="3"/>
  <c r="AY126" i="3"/>
  <c r="AY302" i="3"/>
  <c r="AY239" i="3"/>
  <c r="AY222" i="3"/>
  <c r="AY389" i="3"/>
  <c r="BS6" i="3"/>
  <c r="AY93" i="3"/>
  <c r="AY40" i="3"/>
  <c r="AY150" i="3"/>
  <c r="AY279" i="3"/>
  <c r="AY226" i="3"/>
  <c r="AY356" i="3"/>
  <c r="AY340" i="3"/>
  <c r="AY244" i="3"/>
  <c r="AY562" i="3"/>
  <c r="AY327" i="3"/>
  <c r="AY486" i="3"/>
  <c r="AY549" i="3"/>
  <c r="AY366" i="3"/>
  <c r="AY269" i="3"/>
  <c r="AY90" i="3"/>
  <c r="AY553" i="3"/>
  <c r="AY342" i="3"/>
  <c r="AY428" i="3"/>
  <c r="AY58" i="3"/>
  <c r="AY23" i="3"/>
  <c r="AY455" i="3"/>
  <c r="AY261" i="3"/>
  <c r="AY50" i="3"/>
  <c r="AY417" i="3"/>
  <c r="AY84" i="3"/>
  <c r="AY178" i="3"/>
  <c r="AY117" i="3"/>
  <c r="AY254" i="3"/>
  <c r="AY365" i="3"/>
  <c r="AY57" i="3"/>
  <c r="AY130" i="3"/>
  <c r="AY393" i="3"/>
  <c r="AY308" i="3"/>
  <c r="AY89" i="3"/>
  <c r="AY154" i="3"/>
  <c r="AY278" i="3"/>
  <c r="AY397" i="3"/>
  <c r="AY56" i="3"/>
  <c r="AY259" i="3"/>
  <c r="AY348" i="3"/>
  <c r="AY462" i="3"/>
  <c r="AY427" i="3"/>
  <c r="AY585" i="3"/>
  <c r="AY495" i="3"/>
  <c r="AY584" i="3"/>
  <c r="AY101" i="3"/>
  <c r="AY194" i="3"/>
  <c r="AY129" i="3"/>
  <c r="AY574" i="3"/>
  <c r="AY201" i="3"/>
  <c r="AY299" i="3"/>
  <c r="AY214" i="3"/>
  <c r="AY104" i="3"/>
  <c r="AY114" i="3"/>
  <c r="AY349" i="3"/>
  <c r="AY464" i="3"/>
  <c r="AY406" i="3"/>
  <c r="AY525" i="3"/>
  <c r="AY527"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51" i="3"/>
  <c r="AY329" i="3"/>
  <c r="AY468" i="3"/>
  <c r="AY407" i="3"/>
  <c r="AY565" i="3"/>
  <c r="AY99" i="3"/>
  <c r="AY156" i="3"/>
  <c r="AY232" i="3"/>
  <c r="AY300" i="3"/>
  <c r="AY220" i="3"/>
  <c r="AY420" i="3"/>
  <c r="AY236" i="3"/>
  <c r="AY526" i="3"/>
  <c r="AY171" i="3"/>
  <c r="AY541" i="3"/>
  <c r="AY358" i="3"/>
  <c r="AY470" i="3"/>
  <c r="AY276" i="3"/>
  <c r="AY66" i="3"/>
  <c r="AY489" i="3"/>
  <c r="AY123" i="3"/>
  <c r="AY67" i="3"/>
  <c r="AY379" i="3"/>
  <c r="AY540" i="3"/>
  <c r="AY20" i="3"/>
  <c r="AY173" i="3"/>
  <c r="AY286" i="3"/>
  <c r="AY227" i="3"/>
  <c r="AY507" i="3"/>
  <c r="AY29" i="3"/>
  <c r="AY275" i="3"/>
  <c r="AY341" i="3"/>
  <c r="AY355" i="3"/>
  <c r="AY44" i="3"/>
  <c r="AY165" i="3"/>
  <c r="AY247" i="3"/>
  <c r="AY360" i="3"/>
  <c r="AY202" i="3"/>
  <c r="AY242" i="3"/>
  <c r="AY475" i="3"/>
  <c r="AY446" i="3"/>
  <c r="AY411" i="3"/>
  <c r="AY534" i="3"/>
  <c r="AY510" i="3"/>
  <c r="AY494" i="3"/>
  <c r="AY65" i="3"/>
  <c r="AY189" i="3"/>
  <c r="AY390" i="3"/>
  <c r="AY85" i="3"/>
  <c r="AY170" i="3"/>
  <c r="AY294" i="3"/>
  <c r="AY381" i="3"/>
  <c r="AY41" i="3"/>
  <c r="AY290" i="3"/>
  <c r="AY332" i="3"/>
  <c r="AY449" i="3"/>
  <c r="AY435" i="3"/>
  <c r="AY516" i="3"/>
  <c r="AY520"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34" i="3"/>
  <c r="AY344" i="3"/>
  <c r="AY458" i="3"/>
  <c r="AY506" i="3"/>
  <c r="AY542" i="3"/>
  <c r="AY63" i="3"/>
  <c r="AY135" i="3"/>
  <c r="K25" i="6"/>
  <c r="M25" i="6" s="1"/>
  <c r="I25" i="6" s="1"/>
  <c r="S25" i="6" s="1"/>
  <c r="K21" i="6"/>
  <c r="AY583" i="3"/>
  <c r="AY413" i="3"/>
  <c r="AY474" i="3"/>
  <c r="AY339" i="3"/>
  <c r="AY208" i="3"/>
  <c r="AY288" i="3"/>
  <c r="AY179" i="3"/>
  <c r="AY587" i="3"/>
  <c r="AY424" i="3"/>
  <c r="AY376" i="3"/>
  <c r="AY127" i="3"/>
  <c r="AY78" i="3"/>
  <c r="BR6" i="3"/>
  <c r="AY499" i="3"/>
  <c r="AY442" i="3"/>
  <c r="AY328" i="3"/>
  <c r="AY223" i="3"/>
  <c r="AY586" i="3"/>
  <c r="BD6" i="3"/>
  <c r="AY448" i="3"/>
  <c r="AY338" i="3"/>
  <c r="AY391" i="3"/>
  <c r="AY241" i="3"/>
  <c r="AY128" i="3"/>
  <c r="AY55" i="3"/>
  <c r="AY558" i="3"/>
  <c r="AY346" i="3"/>
  <c r="AY285" i="3"/>
  <c r="AY570" i="3"/>
  <c r="AY426" i="3"/>
  <c r="AY380" i="3"/>
  <c r="AY200" i="3"/>
  <c r="AY568" i="3"/>
  <c r="AY451" i="3"/>
  <c r="AY394" i="3"/>
  <c r="AY151" i="3"/>
  <c r="AY79" i="3"/>
  <c r="AY551" i="3"/>
  <c r="AY505" i="3"/>
  <c r="AY445" i="3"/>
  <c r="AY305" i="3"/>
  <c r="AY250" i="3"/>
  <c r="AY174" i="3"/>
  <c r="AY523" i="3"/>
  <c r="AY518" i="3"/>
  <c r="AY403" i="3"/>
  <c r="AY491" i="3"/>
  <c r="AY24" i="3"/>
  <c r="AY231" i="3"/>
  <c r="AY68" i="3"/>
  <c r="AY158" i="3"/>
  <c r="AY582" i="3"/>
  <c r="BF6" i="3"/>
  <c r="AY430" i="3"/>
  <c r="AY353" i="3"/>
  <c r="BH6" i="3"/>
  <c r="AY133" i="3"/>
  <c r="AY481" i="3"/>
  <c r="AY243" i="3"/>
  <c r="BI6" i="3"/>
  <c r="AY271" i="3"/>
  <c r="AY25" i="3"/>
  <c r="AY343" i="3"/>
  <c r="AY139" i="3"/>
  <c r="AY43" i="3"/>
  <c r="AY225" i="3"/>
  <c r="AY433" i="3"/>
  <c r="AY237" i="3"/>
  <c r="AY26" i="3"/>
  <c r="AY95" i="3"/>
  <c r="C7" i="74"/>
  <c r="C8" i="74"/>
  <c r="K19" i="6"/>
  <c r="S6" i="1" s="1"/>
  <c r="T6" i="1" s="1"/>
  <c r="K20" i="6"/>
  <c r="M20" i="6" s="1"/>
  <c r="I20" i="6" s="1"/>
  <c r="S20" i="6" s="1"/>
  <c r="AY566" i="3"/>
  <c r="AY400" i="3"/>
  <c r="AY477" i="3"/>
  <c r="AY351" i="3"/>
  <c r="AY240" i="3"/>
  <c r="AY293" i="3"/>
  <c r="AY27" i="3"/>
  <c r="AY512" i="3"/>
  <c r="AY466" i="3"/>
  <c r="AY221" i="3"/>
  <c r="AY167" i="3"/>
  <c r="AY94" i="3"/>
  <c r="AY509" i="3"/>
  <c r="AY579" i="3"/>
  <c r="AY453" i="3"/>
  <c r="AY313" i="3"/>
  <c r="AY266" i="3"/>
  <c r="AY504" i="3"/>
  <c r="AY550" i="3"/>
  <c r="AY459" i="3"/>
  <c r="AY323" i="3"/>
  <c r="AY213" i="3"/>
  <c r="AY273" i="3"/>
  <c r="AY148" i="3"/>
  <c r="AY91" i="3"/>
  <c r="AY437" i="3"/>
  <c r="AY362" i="3"/>
  <c r="AY192" i="3"/>
  <c r="AY524" i="3"/>
  <c r="AY471" i="3"/>
  <c r="AY287" i="3"/>
  <c r="AY39" i="3"/>
  <c r="AY13" i="3"/>
  <c r="AY330" i="3"/>
  <c r="AY233" i="3"/>
  <c r="AY203" i="3"/>
  <c r="AY563" i="3"/>
  <c r="AY575" i="3"/>
  <c r="AY431" i="3"/>
  <c r="AY492" i="3"/>
  <c r="AY352" i="3"/>
  <c r="AY298" i="3"/>
  <c r="AY32" i="3"/>
  <c r="AY556" i="3"/>
  <c r="BN6" i="3"/>
  <c r="AY422" i="3"/>
  <c r="AY377" i="3"/>
  <c r="AY554" i="3"/>
  <c r="AY118" i="3"/>
  <c r="AY535" i="3"/>
  <c r="AY48" i="3"/>
  <c r="AY501" i="3"/>
  <c r="BM6" i="3"/>
  <c r="AY472" i="3"/>
  <c r="AY295" i="3"/>
  <c r="AY219" i="3"/>
  <c r="AY190" i="3"/>
  <c r="AY324" i="3"/>
  <c r="AY161" i="3"/>
  <c r="AY373" i="3"/>
  <c r="AY134" i="3"/>
  <c r="AY69" i="3"/>
  <c r="AY289" i="3"/>
  <c r="AY116" i="3"/>
  <c r="AY371" i="3"/>
  <c r="AY513" i="3"/>
  <c r="AY387" i="3"/>
  <c r="AY260" i="3"/>
  <c r="AY111" i="3"/>
  <c r="E66" i="39"/>
  <c r="D10" i="68"/>
  <c r="D19" i="68" s="1"/>
  <c r="AC6" i="3"/>
  <c r="H6" i="3"/>
  <c r="U10" i="40"/>
  <c r="AY103" i="3"/>
  <c r="AY350" i="3"/>
  <c r="AY152" i="3"/>
  <c r="AY217" i="3"/>
  <c r="AY147" i="3"/>
  <c r="AY529" i="3"/>
  <c r="AY92" i="3"/>
  <c r="AY191" i="3"/>
  <c r="AY425" i="3"/>
  <c r="AY253" i="3"/>
  <c r="AY463" i="3"/>
  <c r="AY31" i="3"/>
  <c r="AY87" i="3"/>
  <c r="AY303" i="3"/>
  <c r="AY544" i="3"/>
  <c r="AY144" i="3"/>
  <c r="M14" i="1"/>
  <c r="K16" i="1"/>
  <c r="C34" i="69"/>
  <c r="C29" i="69"/>
  <c r="D27" i="69" s="1"/>
  <c r="C28" i="11"/>
  <c r="C27" i="11" s="1"/>
  <c r="S10" i="39"/>
  <c r="C29" i="68"/>
  <c r="D27" i="68" s="1"/>
  <c r="C47" i="68"/>
  <c r="D45" i="68" s="1"/>
  <c r="M22" i="6"/>
  <c r="I22" i="6" s="1"/>
  <c r="S22" i="6" s="1"/>
  <c r="AC10" i="40"/>
  <c r="AB10" i="39"/>
  <c r="F50" i="11"/>
  <c r="F50" i="68"/>
  <c r="F50" i="69"/>
  <c r="C115" i="43"/>
  <c r="D113" i="43" s="1"/>
  <c r="S5" i="43"/>
  <c r="T5" i="43" s="1"/>
  <c r="V5" i="43" s="1"/>
  <c r="S2" i="43"/>
  <c r="T2" i="43" s="1"/>
  <c r="V2" i="43" s="1"/>
  <c r="S6" i="43"/>
  <c r="T6" i="43" s="1"/>
  <c r="V6" i="43" s="1"/>
  <c r="S3" i="43"/>
  <c r="T3" i="43" s="1"/>
  <c r="V3" i="43" s="1"/>
  <c r="C23" i="43"/>
  <c r="C21" i="43" s="1"/>
  <c r="S7" i="43"/>
  <c r="T7" i="43" s="1"/>
  <c r="V7" i="43" s="1"/>
  <c r="S4" i="43"/>
  <c r="T4" i="43" s="1"/>
  <c r="V4" i="43" s="1"/>
  <c r="I53" i="34"/>
  <c r="J53" i="34" s="1"/>
  <c r="G48" i="35"/>
  <c r="U7" i="36"/>
  <c r="AB7" i="36"/>
  <c r="T36" i="36" s="1"/>
  <c r="G36" i="36" s="1"/>
  <c r="I52" i="21"/>
  <c r="J52" i="21" s="1"/>
  <c r="G52" i="37"/>
  <c r="J7" i="36"/>
  <c r="R50" i="34"/>
  <c r="E49" i="34"/>
  <c r="G53" i="34"/>
  <c r="H53" i="34" s="1"/>
  <c r="G54" i="34"/>
  <c r="H54" i="34" s="1"/>
  <c r="G52" i="21"/>
  <c r="H52" i="21" s="1"/>
  <c r="G53" i="21"/>
  <c r="H53" i="21" s="1"/>
  <c r="AA7" i="36"/>
  <c r="R36" i="36" s="1"/>
  <c r="S7" i="36"/>
  <c r="R49" i="21"/>
  <c r="E48" i="21"/>
  <c r="C19" i="67"/>
  <c r="C20" i="67" s="1"/>
  <c r="C26" i="67" s="1"/>
  <c r="C10" i="67"/>
  <c r="C5" i="67" s="1"/>
  <c r="C53" i="67"/>
  <c r="C48" i="67" s="1"/>
  <c r="C53" i="15"/>
  <c r="C48" i="15" s="1"/>
  <c r="C10" i="15"/>
  <c r="C5" i="15" s="1"/>
  <c r="J18" i="15"/>
  <c r="J10" i="15"/>
  <c r="J5" i="15" s="1"/>
  <c r="J18" i="67"/>
  <c r="J5" i="67"/>
  <c r="F22" i="68"/>
  <c r="F24" i="67"/>
  <c r="C24" i="67" s="1"/>
  <c r="F24" i="15"/>
  <c r="C24" i="15" s="1"/>
  <c r="F22" i="69"/>
  <c r="F25" i="12"/>
  <c r="F22" i="11"/>
  <c r="D19" i="69" l="1"/>
  <c r="C19" i="69" s="1"/>
  <c r="C20" i="69" s="1"/>
  <c r="C28" i="69" s="1"/>
  <c r="C27" i="69" s="1"/>
  <c r="M63" i="40"/>
  <c r="L65" i="40"/>
  <c r="E52" i="33"/>
  <c r="F52" i="33" s="1"/>
  <c r="E53" i="33"/>
  <c r="F53" i="33" s="1"/>
  <c r="C49" i="33"/>
  <c r="B2" i="33" s="1"/>
  <c r="B3" i="33" s="1"/>
  <c r="C48" i="33"/>
  <c r="G68" i="39"/>
  <c r="F70" i="39"/>
  <c r="D20" i="6"/>
  <c r="D19" i="6"/>
  <c r="D6" i="6"/>
  <c r="D13" i="6"/>
  <c r="D15" i="6"/>
  <c r="C10" i="68"/>
  <c r="L19" i="9"/>
  <c r="D23" i="6"/>
  <c r="AR6" i="1"/>
  <c r="E6" i="3"/>
  <c r="D8" i="6"/>
  <c r="H23" i="6"/>
  <c r="R23" i="6" s="1"/>
  <c r="D9" i="6"/>
  <c r="D21" i="6"/>
  <c r="E61" i="40"/>
  <c r="D12" i="6"/>
  <c r="C18" i="4"/>
  <c r="A10" i="51" s="1"/>
  <c r="B9" i="72" s="1"/>
  <c r="M19" i="6"/>
  <c r="I19" i="6" s="1"/>
  <c r="S7" i="1"/>
  <c r="AR7" i="1" s="1"/>
  <c r="K27" i="6"/>
  <c r="H25" i="6"/>
  <c r="D10" i="6"/>
  <c r="D24" i="6"/>
  <c r="D25" i="6"/>
  <c r="D11" i="6"/>
  <c r="M19" i="9"/>
  <c r="C118" i="9" s="1"/>
  <c r="C14" i="74" s="1"/>
  <c r="B2" i="74" s="1"/>
  <c r="D7" i="74" s="1"/>
  <c r="AQ6" i="1"/>
  <c r="H24" i="6"/>
  <c r="D29" i="6"/>
  <c r="D5" i="6"/>
  <c r="D22" i="6"/>
  <c r="D28" i="6"/>
  <c r="D14" i="6"/>
  <c r="D26" i="6"/>
  <c r="R26" i="6" s="1"/>
  <c r="S8" i="1"/>
  <c r="M21" i="6"/>
  <c r="I21" i="6" s="1"/>
  <c r="S21" i="6" s="1"/>
  <c r="H22" i="6"/>
  <c r="C35" i="69"/>
  <c r="C38" i="69"/>
  <c r="O14" i="1"/>
  <c r="M16" i="1"/>
  <c r="H20" i="6"/>
  <c r="R20" i="6" s="1"/>
  <c r="R7" i="1" s="1"/>
  <c r="AR9" i="1"/>
  <c r="T9" i="1"/>
  <c r="AQ9" i="1"/>
  <c r="C19" i="68"/>
  <c r="D37" i="68"/>
  <c r="A7" i="51"/>
  <c r="B7" i="72" s="1"/>
  <c r="C4" i="52"/>
  <c r="B45" i="72" s="1"/>
  <c r="C29" i="43"/>
  <c r="E52" i="21"/>
  <c r="F52" i="21" s="1"/>
  <c r="E53" i="21"/>
  <c r="F53" i="21" s="1"/>
  <c r="C49" i="34"/>
  <c r="C50" i="34"/>
  <c r="B2" i="34" s="1"/>
  <c r="B3" i="34" s="1"/>
  <c r="C48" i="21"/>
  <c r="C49" i="21"/>
  <c r="B2" i="21" s="1"/>
  <c r="B3" i="21" s="1"/>
  <c r="E36" i="36"/>
  <c r="R37" i="36"/>
  <c r="E54" i="34"/>
  <c r="F54" i="34" s="1"/>
  <c r="E53" i="34"/>
  <c r="F53" i="34" s="1"/>
  <c r="W7" i="36"/>
  <c r="AC7" i="36"/>
  <c r="V36" i="36" s="1"/>
  <c r="I36" i="36" s="1"/>
  <c r="G41" i="36" s="1"/>
  <c r="H41" i="36" s="1"/>
  <c r="H52" i="37"/>
  <c r="I54" i="34"/>
  <c r="J54" i="34" s="1"/>
  <c r="I53" i="21"/>
  <c r="J53" i="21" s="1"/>
  <c r="G40" i="36"/>
  <c r="H40" i="36" s="1"/>
  <c r="H48" i="35"/>
  <c r="C66" i="15"/>
  <c r="C60" i="15"/>
  <c r="J26" i="15"/>
  <c r="J29" i="15" s="1"/>
  <c r="J24" i="15"/>
  <c r="C38" i="15"/>
  <c r="C66" i="67"/>
  <c r="C60" i="67"/>
  <c r="C26" i="12"/>
  <c r="D25" i="12" s="1"/>
  <c r="C44" i="68"/>
  <c r="D41" i="68" s="1"/>
  <c r="C26" i="68"/>
  <c r="D22" i="68" s="1"/>
  <c r="C24" i="68"/>
  <c r="C26" i="15"/>
  <c r="C23" i="15"/>
  <c r="C25" i="11"/>
  <c r="C44" i="11"/>
  <c r="D41" i="11" s="1"/>
  <c r="C26" i="11"/>
  <c r="D22" i="11" s="1"/>
  <c r="C23" i="11"/>
  <c r="C24" i="11"/>
  <c r="C44" i="69"/>
  <c r="D41" i="69" s="1"/>
  <c r="C26" i="69"/>
  <c r="D22" i="69" s="1"/>
  <c r="C23" i="69"/>
  <c r="J26" i="67"/>
  <c r="J29" i="67" s="1"/>
  <c r="J24" i="67"/>
  <c r="C23" i="67"/>
  <c r="C29" i="67" s="1"/>
  <c r="C38" i="67"/>
  <c r="D37" i="69" l="1"/>
  <c r="C37" i="69" s="1"/>
  <c r="C33" i="69" s="1"/>
  <c r="C42" i="69" s="1"/>
  <c r="C24" i="69"/>
  <c r="C25" i="69"/>
  <c r="S16" i="1"/>
  <c r="AQ7" i="1"/>
  <c r="R24" i="6"/>
  <c r="G70" i="39"/>
  <c r="H68" i="39"/>
  <c r="N63" i="40"/>
  <c r="M65" i="40"/>
  <c r="T7" i="1"/>
  <c r="D8" i="74"/>
  <c r="R25" i="6"/>
  <c r="R22" i="6"/>
  <c r="R9" i="1" s="1"/>
  <c r="D27" i="6"/>
  <c r="AR8" i="1"/>
  <c r="T8" i="1"/>
  <c r="D30" i="6"/>
  <c r="D16" i="6"/>
  <c r="M27" i="6"/>
  <c r="H21" i="6"/>
  <c r="R21" i="6" s="1"/>
  <c r="R8" i="1" s="1"/>
  <c r="AQ8" i="1"/>
  <c r="P14" i="1"/>
  <c r="P16" i="1" s="1"/>
  <c r="C11" i="12" s="1"/>
  <c r="O16" i="1"/>
  <c r="L16" i="1"/>
  <c r="N16" i="1"/>
  <c r="I27" i="6"/>
  <c r="S19" i="6"/>
  <c r="S27" i="6" s="1"/>
  <c r="H19" i="6"/>
  <c r="C30" i="43"/>
  <c r="E30" i="43" s="1"/>
  <c r="C27" i="43" s="1"/>
  <c r="E29" i="43"/>
  <c r="C26" i="43" s="1"/>
  <c r="I48" i="35"/>
  <c r="J48" i="35" s="1"/>
  <c r="K48" i="35" s="1"/>
  <c r="L48" i="35" s="1"/>
  <c r="M48" i="35" s="1"/>
  <c r="N48" i="35" s="1"/>
  <c r="O48" i="35" s="1"/>
  <c r="H7" i="35"/>
  <c r="I52" i="37"/>
  <c r="E40" i="36"/>
  <c r="F40" i="36" s="1"/>
  <c r="E41" i="36"/>
  <c r="F41" i="36" s="1"/>
  <c r="I40" i="36"/>
  <c r="J40" i="36" s="1"/>
  <c r="I41" i="36"/>
  <c r="J41" i="36" s="1"/>
  <c r="C36" i="36"/>
  <c r="C37" i="36"/>
  <c r="B2" i="36" s="1"/>
  <c r="B3" i="36" s="1"/>
  <c r="F7" i="35"/>
  <c r="C29" i="15"/>
  <c r="Q49" i="15" s="1"/>
  <c r="J19" i="67"/>
  <c r="J17" i="67" s="1"/>
  <c r="C33" i="67"/>
  <c r="C31" i="67" s="1"/>
  <c r="C13" i="67"/>
  <c r="Q49" i="67"/>
  <c r="J14" i="67"/>
  <c r="C57" i="67"/>
  <c r="C36" i="67"/>
  <c r="J59" i="67"/>
  <c r="J60" i="67" s="1"/>
  <c r="C22" i="11"/>
  <c r="C31" i="11" s="1"/>
  <c r="E6" i="76"/>
  <c r="C22" i="69" l="1"/>
  <c r="C31" i="69" s="1"/>
  <c r="C39" i="69"/>
  <c r="C43" i="69" s="1"/>
  <c r="C41" i="69" s="1"/>
  <c r="T16" i="1"/>
  <c r="I68" i="39"/>
  <c r="H70" i="39"/>
  <c r="O63" i="40"/>
  <c r="O65" i="40" s="1"/>
  <c r="H7" i="40" s="1"/>
  <c r="N65" i="40"/>
  <c r="F7" i="40" s="1"/>
  <c r="D31" i="6"/>
  <c r="I5" i="6" s="1"/>
  <c r="F34" i="68"/>
  <c r="F11" i="12"/>
  <c r="F34" i="11"/>
  <c r="C15" i="12"/>
  <c r="C12" i="12"/>
  <c r="I6" i="6"/>
  <c r="H27" i="6"/>
  <c r="R19" i="6"/>
  <c r="E2" i="76"/>
  <c r="B2" i="43"/>
  <c r="AA7" i="35"/>
  <c r="R38" i="35" s="1"/>
  <c r="S7" i="35"/>
  <c r="J7" i="35"/>
  <c r="J52" i="37"/>
  <c r="K52" i="37" s="1"/>
  <c r="L52" i="37" s="1"/>
  <c r="M52" i="37" s="1"/>
  <c r="N52" i="37" s="1"/>
  <c r="O52" i="37" s="1"/>
  <c r="F7" i="37"/>
  <c r="AB7" i="35"/>
  <c r="T38" i="35" s="1"/>
  <c r="G38" i="35" s="1"/>
  <c r="U7" i="35"/>
  <c r="J59" i="15"/>
  <c r="J60" i="15" s="1"/>
  <c r="Q48" i="15" s="1"/>
  <c r="C13" i="15"/>
  <c r="C56" i="15" s="1"/>
  <c r="C65" i="15" s="1"/>
  <c r="C33" i="15"/>
  <c r="C31" i="15" s="1"/>
  <c r="C36" i="15"/>
  <c r="C57" i="15"/>
  <c r="C61" i="15" s="1"/>
  <c r="C59" i="15" s="1"/>
  <c r="J14" i="15"/>
  <c r="J13" i="15" s="1"/>
  <c r="J23" i="15" s="1"/>
  <c r="J19" i="15"/>
  <c r="J17" i="15" s="1"/>
  <c r="Q48" i="67"/>
  <c r="L46" i="67"/>
  <c r="C64" i="67"/>
  <c r="C61" i="67"/>
  <c r="C59" i="67" s="1"/>
  <c r="J13" i="67"/>
  <c r="J23" i="67" s="1"/>
  <c r="J22" i="67"/>
  <c r="C75" i="67"/>
  <c r="Q70" i="67"/>
  <c r="C56" i="67"/>
  <c r="C65" i="67" s="1"/>
  <c r="C37" i="67"/>
  <c r="C30" i="67" s="1"/>
  <c r="C39" i="67" s="1"/>
  <c r="B6" i="76"/>
  <c r="C46" i="69" l="1"/>
  <c r="C45" i="69" s="1"/>
  <c r="C49" i="69" s="1"/>
  <c r="C51" i="69" s="1"/>
  <c r="C52" i="69" s="1"/>
  <c r="B2" i="69" s="1"/>
  <c r="B3" i="69" s="1"/>
  <c r="S7" i="40"/>
  <c r="AA7" i="40"/>
  <c r="R42" i="40" s="1"/>
  <c r="J7" i="40"/>
  <c r="U7" i="40"/>
  <c r="AB7" i="40"/>
  <c r="T42" i="40" s="1"/>
  <c r="G42" i="40" s="1"/>
  <c r="J68" i="39"/>
  <c r="I70" i="39"/>
  <c r="C36" i="68"/>
  <c r="C34" i="68"/>
  <c r="C37" i="68"/>
  <c r="C36" i="11"/>
  <c r="C37" i="11"/>
  <c r="C34" i="11"/>
  <c r="C23" i="12"/>
  <c r="C14" i="12"/>
  <c r="C16" i="12" s="1"/>
  <c r="C21" i="12" s="1"/>
  <c r="Q70" i="15"/>
  <c r="R27" i="6"/>
  <c r="R6" i="1"/>
  <c r="R16" i="1" s="1"/>
  <c r="B2" i="76"/>
  <c r="B3" i="76" s="1"/>
  <c r="B3" i="43"/>
  <c r="L46" i="15"/>
  <c r="S7" i="37"/>
  <c r="AA7" i="37"/>
  <c r="R42" i="37" s="1"/>
  <c r="C64" i="15"/>
  <c r="C58" i="15" s="1"/>
  <c r="C67" i="15" s="1"/>
  <c r="C68" i="15" s="1"/>
  <c r="C71" i="15" s="1"/>
  <c r="G42" i="35"/>
  <c r="H42" i="35" s="1"/>
  <c r="J7" i="37"/>
  <c r="AC7" i="35"/>
  <c r="V38" i="35" s="1"/>
  <c r="I38" i="35" s="1"/>
  <c r="W7" i="35"/>
  <c r="R39" i="35"/>
  <c r="E38" i="35"/>
  <c r="H7" i="37"/>
  <c r="J16" i="67"/>
  <c r="J25" i="67" s="1"/>
  <c r="J22" i="15"/>
  <c r="J16" i="15" s="1"/>
  <c r="J25" i="15" s="1"/>
  <c r="C37" i="15"/>
  <c r="C30" i="15" s="1"/>
  <c r="C39" i="15" s="1"/>
  <c r="Q69" i="15" s="1"/>
  <c r="C75" i="15"/>
  <c r="C58" i="67"/>
  <c r="C67" i="67" s="1"/>
  <c r="C68" i="67" s="1"/>
  <c r="C71" i="67" s="1"/>
  <c r="Q69" i="67"/>
  <c r="Q68" i="67" s="1"/>
  <c r="C40" i="67"/>
  <c r="C80" i="67"/>
  <c r="C79" i="67" s="1"/>
  <c r="L51" i="67"/>
  <c r="W7" i="40" l="1"/>
  <c r="AC7" i="40"/>
  <c r="V42" i="40" s="1"/>
  <c r="I42" i="40" s="1"/>
  <c r="I46" i="40" s="1"/>
  <c r="J46" i="40" s="1"/>
  <c r="K68" i="39"/>
  <c r="J70" i="39"/>
  <c r="R43" i="40"/>
  <c r="E42" i="40"/>
  <c r="G46" i="40"/>
  <c r="H46" i="40" s="1"/>
  <c r="C57" i="69"/>
  <c r="C56" i="69" s="1"/>
  <c r="C22" i="12"/>
  <c r="C27" i="12" s="1"/>
  <c r="C25" i="12" s="1"/>
  <c r="C35" i="11"/>
  <c r="C38" i="11"/>
  <c r="C35" i="68"/>
  <c r="C38" i="68"/>
  <c r="Q68" i="15"/>
  <c r="E43" i="35"/>
  <c r="F43" i="35" s="1"/>
  <c r="E42" i="35"/>
  <c r="F42" i="35" s="1"/>
  <c r="W7" i="37"/>
  <c r="AC7" i="37"/>
  <c r="V42" i="37" s="1"/>
  <c r="I42" i="37" s="1"/>
  <c r="E42" i="37"/>
  <c r="R43" i="37"/>
  <c r="U7" i="37"/>
  <c r="AB7" i="37"/>
  <c r="T42" i="37" s="1"/>
  <c r="G42" i="37" s="1"/>
  <c r="C39" i="35"/>
  <c r="B2" i="35" s="1"/>
  <c r="B3" i="35" s="1"/>
  <c r="C38" i="35"/>
  <c r="I42" i="35"/>
  <c r="J42" i="35" s="1"/>
  <c r="I43" i="35"/>
  <c r="J43" i="35" s="1"/>
  <c r="G43" i="35"/>
  <c r="H43" i="35" s="1"/>
  <c r="C45" i="67"/>
  <c r="C46" i="67" s="1"/>
  <c r="C80" i="15"/>
  <c r="C79" i="15" s="1"/>
  <c r="C40" i="15"/>
  <c r="C46" i="15" s="1"/>
  <c r="Q67" i="67"/>
  <c r="L57" i="67"/>
  <c r="L60" i="67" s="1"/>
  <c r="C43" i="67"/>
  <c r="D2" i="67"/>
  <c r="Q47" i="67"/>
  <c r="Q53" i="67" s="1"/>
  <c r="Q65" i="67"/>
  <c r="Q56" i="67"/>
  <c r="C83" i="67"/>
  <c r="C82" i="67" s="1"/>
  <c r="L51" i="15"/>
  <c r="G47" i="40" l="1"/>
  <c r="H47" i="40" s="1"/>
  <c r="L68" i="39"/>
  <c r="K70" i="39"/>
  <c r="I47" i="40"/>
  <c r="J47" i="40" s="1"/>
  <c r="E47" i="40"/>
  <c r="F47" i="40" s="1"/>
  <c r="E46" i="40"/>
  <c r="F46" i="40" s="1"/>
  <c r="C42" i="40"/>
  <c r="C43" i="40"/>
  <c r="C33" i="68"/>
  <c r="C39" i="68" s="1"/>
  <c r="C43" i="68" s="1"/>
  <c r="C30" i="12"/>
  <c r="C28" i="12" s="1"/>
  <c r="C32" i="12" s="1"/>
  <c r="B2" i="12" s="1"/>
  <c r="C33" i="11"/>
  <c r="Q67" i="15"/>
  <c r="L57" i="15"/>
  <c r="L60" i="15" s="1"/>
  <c r="Q57" i="15" s="1"/>
  <c r="B2" i="15"/>
  <c r="B3" i="15" s="1"/>
  <c r="E47" i="37"/>
  <c r="F47" i="37" s="1"/>
  <c r="E46" i="37"/>
  <c r="F46" i="37" s="1"/>
  <c r="G46" i="37"/>
  <c r="H46" i="37" s="1"/>
  <c r="G47" i="37"/>
  <c r="H47" i="37" s="1"/>
  <c r="C42" i="37"/>
  <c r="C43" i="37"/>
  <c r="B2" i="37" s="1"/>
  <c r="B3" i="37" s="1"/>
  <c r="I47" i="37"/>
  <c r="J47" i="37" s="1"/>
  <c r="I46" i="37"/>
  <c r="J46" i="37" s="1"/>
  <c r="Q56" i="15"/>
  <c r="C43" i="15"/>
  <c r="C83" i="15"/>
  <c r="C82" i="15" s="1"/>
  <c r="Q47" i="15"/>
  <c r="Q53" i="15" s="1"/>
  <c r="Q65" i="15"/>
  <c r="Q66" i="67"/>
  <c r="Q75" i="67" s="1"/>
  <c r="Q57" i="67"/>
  <c r="Q62" i="67" s="1"/>
  <c r="B2" i="67"/>
  <c r="B3" i="67"/>
  <c r="D19" i="9"/>
  <c r="C42" i="68" l="1"/>
  <c r="C41" i="68" s="1"/>
  <c r="B58" i="40"/>
  <c r="F58" i="40" s="1"/>
  <c r="B53" i="40"/>
  <c r="F53" i="40" s="1"/>
  <c r="B57" i="40"/>
  <c r="F57" i="40" s="1"/>
  <c r="B60" i="40"/>
  <c r="F60" i="40" s="1"/>
  <c r="B54" i="40"/>
  <c r="F54" i="40" s="1"/>
  <c r="F61" i="40"/>
  <c r="B2" i="40" s="1"/>
  <c r="B3" i="40" s="1"/>
  <c r="B52" i="40"/>
  <c r="F52" i="40" s="1"/>
  <c r="B55" i="40"/>
  <c r="F55" i="40" s="1"/>
  <c r="B59" i="40"/>
  <c r="F59" i="40" s="1"/>
  <c r="B51" i="40"/>
  <c r="F51" i="40" s="1"/>
  <c r="B56" i="40"/>
  <c r="F56" i="40" s="1"/>
  <c r="M68" i="39"/>
  <c r="L70" i="39"/>
  <c r="C46" i="68"/>
  <c r="C45" i="68" s="1"/>
  <c r="D102" i="9"/>
  <c r="D21" i="9"/>
  <c r="B3" i="12"/>
  <c r="C39" i="11"/>
  <c r="C43" i="11" s="1"/>
  <c r="C42" i="11"/>
  <c r="Q66" i="15"/>
  <c r="Q75" i="15" s="1"/>
  <c r="Q62" i="15"/>
  <c r="D20" i="9"/>
  <c r="N68" i="39" l="1"/>
  <c r="M70" i="39"/>
  <c r="C49" i="68"/>
  <c r="C51" i="68" s="1"/>
  <c r="C46" i="11"/>
  <c r="C45" i="11" s="1"/>
  <c r="C41" i="11"/>
  <c r="D103" i="9"/>
  <c r="F7" i="39" l="1"/>
  <c r="H7" i="39"/>
  <c r="N70" i="39"/>
  <c r="O68" i="39"/>
  <c r="O70" i="39" s="1"/>
  <c r="J7" i="39" s="1"/>
  <c r="C49" i="11"/>
  <c r="C51" i="11" s="1"/>
  <c r="C52" i="11" s="1"/>
  <c r="B2" i="11" s="1"/>
  <c r="B3" i="11" s="1"/>
  <c r="AC7" i="39" l="1"/>
  <c r="V47" i="39" s="1"/>
  <c r="I47" i="39" s="1"/>
  <c r="W7" i="39"/>
  <c r="AB7" i="39"/>
  <c r="T47" i="39" s="1"/>
  <c r="G47" i="39" s="1"/>
  <c r="U7" i="39"/>
  <c r="AA7" i="39"/>
  <c r="R47" i="39" s="1"/>
  <c r="S7" i="39"/>
  <c r="C56" i="11"/>
  <c r="C57" i="11" s="1"/>
  <c r="E47" i="39" l="1"/>
  <c r="I52" i="39" s="1"/>
  <c r="J52" i="39" s="1"/>
  <c r="R48" i="39"/>
  <c r="G51" i="39"/>
  <c r="H51" i="39" s="1"/>
  <c r="G52" i="39"/>
  <c r="H52" i="39" s="1"/>
  <c r="I51" i="39"/>
  <c r="J51" i="39" s="1"/>
  <c r="C48" i="39" l="1"/>
  <c r="C47" i="39"/>
  <c r="E51" i="39"/>
  <c r="F51" i="39" s="1"/>
  <c r="E52" i="39"/>
  <c r="F52" i="39" s="1"/>
  <c r="B56" i="39" l="1"/>
  <c r="F56" i="39" s="1"/>
  <c r="B58" i="39"/>
  <c r="F58" i="39" s="1"/>
  <c r="B57" i="39"/>
  <c r="F57" i="39" s="1"/>
  <c r="B64" i="39"/>
  <c r="F64" i="39" s="1"/>
  <c r="B59" i="39"/>
  <c r="F59" i="39" s="1"/>
  <c r="B62" i="39"/>
  <c r="F62" i="39" s="1"/>
  <c r="B63" i="39"/>
  <c r="F63" i="39" s="1"/>
  <c r="B65" i="39"/>
  <c r="F65" i="39" s="1"/>
  <c r="B61" i="39"/>
  <c r="F61" i="39" s="1"/>
  <c r="B60" i="39"/>
  <c r="F60" i="39" s="1"/>
  <c r="F66" i="39" l="1"/>
  <c r="B2" i="39" s="1"/>
  <c r="B3" i="39" l="1"/>
  <c r="C6" i="68"/>
  <c r="C7" i="68" s="1"/>
  <c r="C5" i="68" s="1"/>
  <c r="C23" i="68" l="1"/>
  <c r="C20" i="68"/>
  <c r="C28" i="68" l="1"/>
  <c r="C27" i="68" s="1"/>
  <c r="C25" i="68"/>
  <c r="C22" i="68" s="1"/>
  <c r="C31" i="68" l="1"/>
  <c r="C52" i="68" s="1"/>
  <c r="C57" i="68" s="1"/>
  <c r="C56" i="68" s="1"/>
  <c r="B2" i="68" l="1"/>
  <c r="C19" i="9"/>
  <c r="G19" i="9" l="1"/>
  <c r="C32" i="9" s="1"/>
  <c r="C21" i="9"/>
  <c r="D22" i="9"/>
  <c r="C102" i="9"/>
  <c r="B3" i="68"/>
  <c r="D35" i="9"/>
  <c r="C20" i="9"/>
  <c r="D34" i="9"/>
  <c r="G21" i="9" l="1"/>
  <c r="G20" i="9"/>
  <c r="C103" i="9"/>
  <c r="C35" i="9"/>
  <c r="F118" i="9" s="1"/>
  <c r="H118" i="9"/>
  <c r="C34" i="9" l="1"/>
  <c r="D118" i="9" s="1"/>
  <c r="D4" i="52" s="1"/>
  <c r="B47" i="72" s="1"/>
  <c r="F4" i="52"/>
  <c r="B51" i="72" s="1"/>
  <c r="F119" i="9"/>
  <c r="F5" i="52" s="1"/>
  <c r="B53" i="72" s="1"/>
  <c r="G118" i="9"/>
  <c r="G4" i="52" s="1"/>
  <c r="B52" i="72" s="1"/>
  <c r="D14" i="74"/>
  <c r="H119" i="9"/>
  <c r="H5" i="52" s="1"/>
  <c r="H101" i="9"/>
  <c r="C104" i="9"/>
  <c r="H4" i="52"/>
  <c r="I118" i="9"/>
  <c r="D119" i="9" l="1"/>
  <c r="D5" i="52" s="1"/>
  <c r="B49" i="72" s="1"/>
  <c r="D5" i="53"/>
  <c r="H107" i="9"/>
  <c r="D45" i="9"/>
  <c r="M48" i="9"/>
  <c r="I4" i="52"/>
  <c r="H102" i="9"/>
  <c r="D7" i="53" s="1"/>
  <c r="B21" i="72" s="1"/>
  <c r="C105" i="9"/>
  <c r="E118" i="9"/>
  <c r="E4" i="52" s="1"/>
  <c r="B48" i="72" s="1"/>
  <c r="F14" i="74"/>
  <c r="E14" i="74"/>
  <c r="C64" i="9" l="1"/>
  <c r="C63" i="9" s="1"/>
  <c r="C67" i="9" s="1"/>
  <c r="C68" i="9" s="1"/>
  <c r="D54" i="9" s="1"/>
  <c r="C72" i="9"/>
  <c r="C78" i="9"/>
  <c r="C73" i="9" s="1"/>
  <c r="D55" i="9"/>
  <c r="M53" i="9" s="1"/>
  <c r="D53" i="9"/>
  <c r="C85" i="9"/>
  <c r="C93" i="9"/>
  <c r="C86" i="9" s="1"/>
  <c r="D52" i="9"/>
  <c r="D122" i="9"/>
  <c r="H108" i="9"/>
  <c r="D15" i="53" s="1"/>
  <c r="B31" i="72" s="1"/>
  <c r="D13" i="53"/>
  <c r="B20" i="72"/>
  <c r="D6" i="53"/>
  <c r="B22" i="72" s="1"/>
  <c r="C95" i="9" l="1"/>
  <c r="C96" i="9" s="1"/>
  <c r="C79" i="9"/>
  <c r="C80" i="9" s="1"/>
  <c r="E80" i="9" s="1"/>
  <c r="E81" i="9" s="1"/>
  <c r="D14" i="53"/>
  <c r="B32" i="72" s="1"/>
  <c r="B30" i="72"/>
  <c r="G14" i="74"/>
  <c r="D123" i="9"/>
  <c r="D9" i="52" s="1"/>
  <c r="D8" i="52"/>
  <c r="E96" i="9" l="1"/>
  <c r="E97" i="9" s="1"/>
  <c r="C97" i="9"/>
  <c r="D58" i="9" s="1"/>
  <c r="D56" i="9" s="1"/>
  <c r="M54" i="9" s="1"/>
  <c r="N57" i="9" s="1"/>
  <c r="N58" i="9" s="1"/>
  <c r="C81" i="9"/>
  <c r="P57" i="9" l="1"/>
  <c r="N59" i="9"/>
  <c r="N60" i="9" s="1"/>
  <c r="N61" i="9" l="1"/>
  <c r="D15" i="74" l="1"/>
  <c r="G15" i="74" l="1"/>
  <c r="B6" i="74" s="1"/>
  <c r="E15" i="74"/>
  <c r="F15" i="74"/>
  <c r="B5" i="74"/>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<sst xmlns="http://schemas.openxmlformats.org/spreadsheetml/2006/main" count="7874" uniqueCount="3314">
  <si>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</si>
  <si>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</si>
  <si>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</si>
  <si>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</si>
  <si>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</si>
  <si>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</si>
  <si>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</si>
  <si>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</si>
  <si>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</si>
  <si>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</si>
  <si>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</si>
  <si>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</si>
  <si>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</si>
  <si>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</si>
  <si>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</si>
  <si>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</si>
  <si>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</si>
  <si>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</si>
  <si>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</si>
  <si>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</si>
  <si>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</si>
  <si>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</si>
  <si>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</si>
  <si>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</si>
  <si>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</si>
  <si>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</si>
  <si>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</si>
  <si>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</si>
  <si>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</si>
  <si>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</si>
  <si>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</si>
  <si>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</si>
  <si>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</si>
  <si>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</si>
  <si>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</si>
  <si>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</si>
  <si>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</si>
  <si>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</si>
  <si>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</si>
  <si>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</si>
  <si>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</si>
  <si>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</si>
  <si>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</si>
  <si>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</si>
  <si>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</si>
  <si>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</si>
  <si>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</si>
  <si>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</si>
  <si>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</si>
  <si>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</si>
  <si>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</si>
  <si>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</si>
  <si>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</si>
  <si>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</si>
  <si>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</si>
  <si>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</si>
  <si>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</si>
  <si>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</si>
  <si>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</si>
  <si>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</si>
  <si>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</si>
  <si>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</si>
  <si>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</si>
  <si>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</si>
  <si>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</si>
  <si>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</si>
  <si>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</si>
  <si>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</si>
  <si>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</si>
  <si>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</si>
  <si>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</si>
  <si>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</si>
  <si>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</si>
  <si>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</si>
  <si>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</si>
  <si>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</si>
  <si>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</si>
  <si>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</si>
  <si>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</si>
  <si>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</si>
  <si>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</si>
  <si>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</si>
  <si>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</si>
  <si>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</si>
  <si>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</si>
  <si>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</si>
  <si>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</si>
  <si>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</si>
  <si>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</si>
  <si>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</si>
  <si>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</si>
  <si>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</si>
  <si>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</si>
  <si>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</si>
  <si>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</si>
  <si>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</si>
  <si>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</si>
  <si>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</si>
  <si>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</si>
  <si>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</si>
  <si>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</si>
  <si>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</si>
  <si>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</si>
  <si>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</si>
  <si>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</si>
  <si>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</si>
  <si>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</si>
  <si>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</si>
  <si>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</si>
  <si>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</si>
  <si>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</si>
  <si>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</si>
  <si>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</si>
  <si>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</si>
  <si>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</si>
  <si>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</si>
  <si>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</si>
  <si>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</si>
  <si>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</si>
  <si>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</si>
  <si>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</si>
  <si>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</si>
  <si>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</si>
  <si>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</si>
  <si>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</si>
  <si>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</si>
  <si>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</si>
  <si>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</si>
  <si>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</si>
  <si>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</si>
  <si>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</si>
  <si>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</si>
  <si>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</si>
  <si>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</si>
  <si>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</si>
  <si>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</si>
  <si>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</si>
  <si>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</si>
  <si>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</si>
  <si>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</si>
  <si>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</si>
  <si>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</si>
  <si>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</si>
  <si>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</si>
  <si>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</si>
  <si>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</si>
  <si>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</si>
  <si>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</si>
  <si>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</si>
  <si>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</si>
  <si>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</si>
  <si>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</si>
  <si>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</si>
  <si>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</si>
  <si>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</si>
  <si>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</si>
  <si>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</si>
  <si>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</si>
  <si>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</si>
  <si>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</si>
  <si>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</si>
  <si>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</si>
  <si>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</si>
  <si>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</si>
  <si>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</si>
  <si>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</si>
  <si>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</si>
  <si>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</si>
  <si>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</si>
  <si>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</si>
  <si>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</si>
  <si>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</si>
  <si>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</si>
  <si>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</si>
  <si>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</si>
  <si>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</si>
  <si>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</si>
  <si>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</si>
  <si>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</si>
  <si>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</si>
  <si>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</si>
  <si>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</si>
  <si>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</si>
  <si>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</si>
  <si>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</si>
  <si>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</si>
  <si>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</si>
  <si>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</si>
  <si>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</si>
  <si>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</si>
  <si>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</si>
  <si>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</si>
  <si>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</si>
  <si>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</si>
  <si>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</si>
  <si>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</si>
  <si>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</si>
  <si>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</si>
  <si>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</si>
  <si>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</si>
  <si>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</si>
  <si>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</si>
  <si>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</si>
  <si>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</si>
  <si>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</si>
  <si>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</si>
  <si>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</si>
  <si>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</si>
  <si>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</si>
  <si>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</si>
  <si>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</si>
  <si>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</si>
  <si>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</si>
  <si>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</si>
  <si>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</si>
  <si>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</si>
  <si>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</si>
  <si>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</si>
  <si>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</si>
  <si>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</si>
  <si>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</si>
  <si>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</si>
  <si>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</si>
  <si>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</si>
  <si>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</si>
  <si>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</si>
  <si>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</si>
  <si>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</si>
  <si>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</si>
  <si>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</si>
  <si>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</si>
  <si>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</si>
  <si>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</si>
  <si>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</si>
  <si>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</si>
  <si>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</si>
  <si>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</si>
  <si>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</si>
  <si>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</si>
  <si>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</si>
  <si>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</si>
  <si>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</si>
  <si>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</si>
  <si>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</si>
  <si>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</si>
  <si>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</si>
  <si>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</si>
  <si>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</si>
  <si>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</si>
  <si>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</si>
  <si>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</si>
  <si>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</si>
  <si>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</si>
  <si>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</si>
  <si>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</si>
  <si>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</si>
  <si>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</si>
  <si>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</si>
  <si>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</si>
  <si>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</si>
  <si>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</si>
  <si>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</si>
  <si>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</si>
  <si>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</si>
  <si>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</si>
  <si>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</si>
  <si>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</si>
  <si>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</si>
  <si>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</si>
  <si>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</si>
  <si>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</si>
  <si>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</si>
  <si>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</si>
  <si>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</si>
  <si>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</si>
  <si>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</si>
  <si>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</si>
  <si>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</si>
  <si>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</si>
  <si>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</si>
  <si>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</si>
  <si>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</si>
  <si>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</si>
  <si>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</si>
  <si>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</si>
  <si>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</si>
  <si>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</si>
  <si>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</si>
  <si>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</si>
  <si>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</si>
  <si>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</si>
  <si>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</si>
  <si>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</si>
  <si>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</si>
  <si>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</si>
  <si>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</si>
  <si>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</si>
  <si>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</si>
  <si>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</si>
  <si>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</si>
  <si>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</si>
  <si>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</si>
  <si>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</si>
  <si>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</si>
  <si>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</si>
  <si>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</si>
  <si>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</si>
  <si>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</si>
  <si>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</si>
  <si>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</si>
  <si>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</si>
  <si>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</si>
  <si>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</si>
  <si>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</si>
  <si>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</si>
  <si>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</si>
  <si>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</si>
  <si>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</si>
  <si>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</si>
  <si>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</si>
  <si>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</si>
  <si>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</si>
  <si>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</si>
  <si>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</si>
  <si>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</si>
  <si>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</si>
  <si>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</si>
  <si>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</si>
  <si>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</si>
  <si>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</si>
  <si>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</si>
  <si>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</si>
  <si>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</si>
  <si>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</si>
  <si>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</si>
  <si>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</si>
  <si>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</si>
  <si>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</si>
  <si>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</si>
  <si>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</si>
  <si>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</si>
  <si>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</si>
  <si>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</si>
  <si>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</si>
  <si>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</si>
  <si>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</si>
  <si>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</si>
  <si>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</si>
  <si>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</si>
  <si>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</si>
  <si>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</si>
  <si>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</si>
  <si>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</si>
  <si>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</si>
  <si>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</si>
  <si>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</si>
  <si>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</si>
  <si>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</si>
  <si>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</si>
  <si>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</si>
  <si>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</si>
  <si>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</si>
  <si>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</si>
  <si>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</si>
  <si>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</si>
  <si>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</si>
  <si>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</si>
  <si>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</si>
  <si>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</si>
  <si>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</si>
  <si>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</si>
  <si>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</si>
  <si>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</si>
  <si>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</si>
  <si>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</si>
  <si>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</si>
  <si>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</si>
  <si>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</si>
  <si>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</si>
  <si>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</si>
  <si>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</si>
  <si>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</si>
  <si>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</si>
  <si>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</si>
  <si>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</si>
  <si>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</si>
  <si>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</si>
  <si>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</si>
  <si>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</si>
  <si>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</si>
  <si>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</si>
  <si>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</si>
  <si>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</si>
  <si>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</si>
  <si>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</si>
  <si>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</si>
  <si>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</si>
  <si>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</si>
  <si>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</si>
  <si>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</si>
  <si>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</si>
  <si>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</si>
  <si>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</si>
  <si>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</si>
  <si>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</si>
  <si>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</si>
  <si>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</si>
  <si>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</si>
  <si>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</si>
  <si>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</si>
  <si>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</si>
  <si>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</si>
  <si>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</si>
  <si>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</si>
  <si>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</si>
  <si>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</si>
  <si>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</si>
  <si>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</si>
  <si>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</si>
  <si>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</si>
  <si>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</si>
  <si>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</si>
  <si>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</si>
  <si>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</si>
  <si>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</si>
  <si>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</si>
  <si>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</si>
  <si>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</si>
  <si>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</si>
  <si>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</si>
  <si>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</si>
  <si>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</si>
  <si>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</si>
  <si>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</si>
  <si>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</si>
  <si>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</si>
  <si>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</si>
  <si>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</si>
  <si>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</si>
  <si>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</si>
  <si>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</si>
  <si>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</si>
  <si>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</si>
  <si>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</si>
  <si>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</si>
  <si>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</si>
  <si>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</si>
  <si>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</si>
  <si>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</si>
  <si>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</si>
  <si>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</si>
  <si>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</si>
  <si>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</si>
  <si>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</si>
  <si>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</si>
  <si>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</si>
  <si>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</si>
  <si>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</si>
  <si>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</si>
  <si>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</si>
  <si>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</si>
  <si>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</si>
  <si>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</si>
  <si>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</si>
  <si>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</si>
  <si>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</si>
  <si>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</si>
  <si>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</si>
  <si>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</si>
  <si>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</si>
  <si>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</si>
  <si>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</si>
  <si>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</si>
  <si>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</si>
  <si>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</si>
  <si>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</si>
  <si>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</si>
  <si>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</si>
  <si>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</si>
  <si>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</si>
  <si>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</si>
  <si>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</si>
  <si>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</si>
  <si>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</si>
  <si>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</si>
  <si>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</si>
  <si>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</si>
  <si>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</si>
  <si>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</si>
  <si>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</si>
  <si>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</si>
  <si>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</si>
  <si>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</si>
  <si>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</si>
  <si>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</si>
  <si>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</si>
  <si>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</si>
  <si>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</si>
  <si>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</si>
  <si>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</si>
  <si>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</si>
  <si>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</si>
  <si>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</si>
  <si>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</si>
  <si>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</si>
  <si>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</si>
  <si>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</si>
  <si>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</si>
  <si>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</si>
  <si>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</si>
  <si>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</si>
  <si>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</si>
  <si>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</si>
  <si>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</si>
  <si>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</si>
  <si>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</si>
  <si>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</si>
  <si>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</si>
  <si>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</si>
  <si>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</si>
  <si>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</si>
  <si>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</si>
  <si>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</si>
  <si>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</si>
  <si>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</si>
  <si>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</si>
  <si>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</si>
  <si>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</si>
  <si>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</si>
  <si>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</si>
  <si>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</si>
  <si>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</si>
  <si>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</si>
  <si>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</si>
  <si>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</si>
  <si>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</si>
  <si>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</si>
  <si>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</si>
  <si>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</si>
  <si>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</si>
  <si>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</si>
  <si>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</si>
  <si>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</si>
  <si>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</si>
  <si>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</si>
  <si>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</si>
  <si>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</si>
  <si>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</si>
  <si>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</si>
  <si>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</si>
  <si>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</si>
  <si>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</si>
  <si>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</si>
  <si>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</si>
  <si>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</si>
  <si>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</si>
  <si>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</si>
  <si>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</si>
  <si>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</si>
  <si>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</si>
  <si>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</si>
  <si>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</si>
  <si>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</si>
  <si>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</si>
  <si>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</si>
  <si>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</si>
  <si>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</si>
  <si>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</si>
  <si>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</si>
  <si>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</si>
  <si>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</si>
  <si>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</si>
  <si>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</si>
  <si>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</si>
  <si>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</si>
  <si>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</si>
  <si>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</si>
  <si>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</si>
  <si>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</si>
  <si>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</si>
  <si>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</si>
  <si>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</si>
  <si>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</si>
  <si>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</si>
  <si>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</si>
  <si>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</si>
  <si>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</si>
  <si>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</si>
  <si>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</si>
  <si>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</si>
  <si>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</si>
  <si>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</si>
  <si>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</si>
  <si>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</si>
  <si>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</si>
  <si>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</si>
  <si>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</si>
  <si>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</si>
  <si>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</si>
  <si>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</si>
  <si>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</si>
  <si>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</si>
  <si>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</si>
  <si>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</si>
  <si>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</si>
  <si>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</si>
  <si>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</si>
  <si>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</si>
  <si>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</si>
  <si>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</si>
  <si>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</si>
  <si>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</si>
  <si>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</si>
  <si>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</si>
  <si>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</si>
  <si>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</si>
  <si>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</si>
  <si>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</si>
  <si>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</si>
  <si>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</si>
  <si>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</si>
  <si>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</si>
  <si>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</si>
  <si>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</si>
  <si>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</si>
  <si>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</si>
  <si>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</si>
  <si>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</si>
  <si>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</si>
  <si>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</si>
  <si>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</si>
  <si>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</si>
  <si>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</si>
  <si>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</si>
  <si>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</si>
  <si>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</si>
  <si>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</si>
  <si>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</si>
  <si>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</si>
  <si>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</si>
  <si>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</si>
  <si>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</si>
  <si>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</si>
  <si>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</si>
  <si>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</si>
  <si>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</si>
  <si>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</si>
  <si>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</si>
  <si>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</si>
  <si>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</si>
  <si>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</si>
  <si>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</si>
  <si>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</si>
  <si>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</si>
  <si>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</si>
  <si>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</si>
  <si>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</si>
  <si>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</si>
  <si>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</si>
  <si>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</si>
  <si>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</si>
  <si>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</si>
  <si>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</si>
  <si>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</si>
  <si>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</si>
  <si>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</si>
  <si>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</si>
  <si>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</si>
  <si>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</si>
  <si>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</si>
  <si>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</si>
  <si>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</si>
  <si>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</si>
  <si>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</si>
  <si>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</si>
  <si>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</si>
  <si>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</si>
  <si>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</si>
  <si>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</si>
  <si>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</si>
  <si>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</si>
  <si>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</si>
  <si>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</si>
  <si>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</si>
  <si>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</si>
  <si>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</si>
  <si>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</si>
  <si>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</si>
  <si>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</si>
  <si>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</si>
  <si>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</si>
  <si>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</si>
  <si>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</si>
  <si>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</si>
  <si>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</si>
  <si>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</si>
  <si>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</si>
  <si>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</si>
  <si>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</si>
  <si>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</si>
  <si>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</si>
  <si>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</si>
  <si>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</si>
  <si>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</si>
  <si>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</si>
  <si>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</si>
  <si>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</si>
  <si>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</si>
  <si>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</si>
  <si>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</si>
  <si>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</si>
  <si>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</si>
  <si>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</si>
  <si>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</si>
  <si>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</si>
  <si>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</si>
  <si>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</si>
  <si>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</si>
  <si>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</si>
  <si>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</si>
  <si>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</si>
  <si>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</si>
  <si>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</si>
  <si>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</si>
  <si>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</si>
  <si>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</si>
  <si>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</si>
  <si>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</si>
  <si>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</si>
  <si>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</si>
  <si>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</si>
  <si>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</si>
  <si>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</si>
  <si>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</si>
  <si>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</si>
  <si>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</si>
  <si>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</si>
  <si>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</si>
  <si>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</si>
  <si>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</si>
  <si>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</si>
  <si>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</si>
  <si>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</si>
  <si>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</si>
  <si>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</si>
  <si>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</si>
  <si>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</si>
  <si>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</si>
  <si>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</si>
  <si>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</si>
  <si>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</si>
  <si>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</si>
  <si>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</si>
  <si>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</si>
  <si>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</si>
  <si>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</si>
  <si>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</si>
  <si>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</si>
  <si>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</si>
  <si>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</si>
  <si>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</si>
  <si>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</si>
  <si>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</si>
  <si>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</si>
  <si>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</si>
  <si>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</si>
  <si>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</si>
  <si>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</si>
  <si>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</si>
  <si>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</si>
  <si>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</si>
  <si>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</si>
  <si>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</si>
  <si>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</si>
  <si>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</si>
  <si>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</si>
  <si>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</si>
  <si>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</si>
  <si>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</si>
  <si>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</si>
  <si>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</si>
  <si>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</si>
  <si>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</si>
  <si>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</si>
  <si>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</si>
  <si>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</si>
  <si>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</si>
  <si>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</si>
  <si>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</si>
  <si>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</si>
  <si>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</si>
  <si>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</si>
  <si>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</si>
  <si>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</si>
  <si>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</si>
  <si>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</si>
  <si>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</si>
  <si>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</si>
  <si>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</si>
  <si>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</si>
  <si>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</si>
  <si>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</si>
  <si>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</si>
  <si>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</si>
  <si>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</si>
  <si>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</si>
  <si>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</si>
  <si>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</si>
  <si>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</si>
  <si>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</si>
  <si>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</si>
  <si>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</si>
  <si>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</si>
  <si>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</si>
  <si>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</si>
  <si>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</si>
  <si>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</si>
  <si>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</si>
  <si>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</si>
  <si>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</si>
  <si>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</si>
  <si>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</si>
  <si>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</si>
  <si>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</si>
  <si>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</si>
  <si>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</si>
  <si>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</si>
  <si>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</si>
  <si>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</si>
  <si>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</si>
  <si>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</si>
  <si>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</si>
  <si>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</si>
  <si>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</si>
  <si>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</si>
  <si>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</si>
  <si>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</si>
  <si>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</si>
  <si>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</si>
  <si>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</si>
  <si>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</si>
  <si>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</si>
  <si>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</si>
  <si>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</si>
  <si>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</si>
  <si>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</si>
  <si>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</si>
  <si>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</si>
  <si>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</si>
  <si>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</si>
  <si>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</si>
  <si>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</si>
  <si>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</si>
  <si>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</si>
  <si>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</si>
  <si>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</si>
  <si>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</si>
  <si>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</si>
  <si>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</si>
  <si>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</si>
  <si>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</si>
  <si>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</si>
  <si>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</si>
  <si>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</si>
  <si>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</si>
  <si>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</si>
  <si>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</si>
  <si>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</si>
  <si>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</si>
  <si>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</si>
  <si>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</si>
  <si>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</si>
  <si>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</si>
  <si>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</si>
  <si>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</si>
  <si>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</si>
  <si>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</si>
  <si>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</si>
  <si>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</si>
  <si>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</si>
  <si>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</si>
  <si>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</si>
  <si>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</si>
  <si>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</si>
  <si>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</si>
  <si>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</si>
  <si>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</si>
  <si>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</si>
  <si>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</si>
  <si>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</si>
  <si>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</si>
  <si>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</si>
  <si>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</si>
  <si>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</si>
  <si>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</si>
  <si>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</si>
  <si>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</si>
  <si>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</si>
  <si>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</si>
  <si>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</si>
  <si>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</si>
  <si>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</si>
  <si>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</si>
  <si>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</si>
  <si>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</si>
  <si>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</si>
  <si>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</si>
  <si>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</si>
  <si>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</si>
  <si>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</si>
  <si>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</si>
  <si>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</si>
  <si>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</si>
  <si>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</si>
  <si>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</si>
  <si>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</si>
  <si>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</si>
  <si>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</si>
  <si>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</si>
  <si>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</si>
  <si>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</si>
  <si>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</si>
  <si>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</si>
  <si>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</si>
  <si>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</si>
  <si>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</si>
  <si>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</si>
  <si>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</si>
  <si>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</si>
  <si>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</si>
  <si>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</si>
  <si>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</si>
  <si>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</si>
  <si>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</si>
  <si>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</si>
  <si>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</si>
  <si>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</si>
  <si>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</si>
  <si>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</si>
  <si>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</si>
  <si>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</si>
  <si>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</si>
  <si>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</si>
  <si>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</si>
  <si>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</si>
  <si>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</si>
  <si>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</si>
  <si>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</si>
  <si>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</si>
  <si>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</si>
  <si>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</si>
  <si>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</si>
  <si>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</si>
  <si>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</si>
  <si>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</si>
  <si>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</si>
  <si>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</si>
  <si>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</si>
  <si>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</si>
  <si>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</si>
  <si>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</si>
  <si>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</si>
  <si>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</si>
  <si>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</si>
  <si>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</si>
  <si>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</si>
  <si>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</si>
  <si>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</si>
  <si>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</si>
  <si>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</si>
  <si>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</si>
  <si>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</si>
  <si>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</si>
  <si>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</si>
  <si>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</si>
  <si>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</si>
  <si>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</si>
  <si>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</si>
  <si>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</si>
  <si>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</si>
  <si>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</si>
  <si>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</si>
  <si>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</si>
  <si>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</si>
  <si>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</si>
  <si>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</si>
  <si>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</si>
  <si>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</si>
  <si>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</si>
  <si>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</si>
  <si>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</si>
  <si>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</si>
  <si>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</si>
  <si>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</si>
  <si>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</si>
  <si>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</si>
  <si>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</si>
  <si>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</si>
  <si>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</si>
  <si>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</si>
  <si>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</si>
  <si>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</si>
  <si>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</si>
  <si>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</si>
  <si>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</si>
  <si>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</si>
  <si>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</si>
  <si>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</si>
  <si>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</si>
  <si>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</si>
  <si>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</si>
  <si>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</si>
  <si>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</si>
  <si>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</si>
  <si>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</si>
  <si>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</si>
  <si>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</si>
  <si>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</si>
  <si>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</si>
  <si>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</si>
  <si>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</si>
  <si>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</si>
  <si>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</si>
  <si>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</si>
  <si>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</si>
  <si>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</si>
  <si>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</si>
  <si>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</si>
  <si>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</si>
  <si>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</si>
  <si>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</si>
  <si>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</si>
  <si>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</si>
  <si>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</si>
  <si>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</si>
  <si>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</si>
  <si>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</si>
  <si>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</si>
  <si>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</si>
  <si>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</si>
  <si>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</si>
  <si>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</si>
  <si>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</si>
  <si>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</si>
  <si>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</si>
  <si>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</si>
  <si>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</si>
  <si>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</si>
  <si>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</si>
  <si>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</si>
  <si>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</si>
  <si>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</si>
  <si>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</si>
  <si>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</si>
  <si>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</si>
  <si>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</si>
  <si>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</si>
  <si>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</si>
  <si>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</si>
  <si>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</si>
  <si>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</si>
  <si>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</si>
  <si>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</si>
  <si>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</si>
  <si>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</si>
  <si>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</si>
  <si>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</si>
  <si>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</si>
  <si>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</si>
  <si>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</si>
  <si>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</si>
  <si>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</si>
  <si>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</si>
  <si>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</si>
  <si>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</si>
  <si>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</si>
  <si>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</si>
  <si>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</si>
  <si>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</si>
  <si>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</si>
  <si>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</si>
  <si>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</si>
  <si>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</si>
  <si>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</si>
  <si>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</si>
  <si>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</si>
  <si>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</si>
  <si>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</si>
  <si>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</si>
  <si>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</si>
  <si>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</si>
  <si>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</si>
  <si>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</si>
  <si>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</si>
  <si>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</si>
  <si>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</si>
  <si>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</si>
  <si>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</si>
  <si>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</si>
  <si>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</si>
  <si>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</si>
  <si>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</si>
  <si>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</si>
  <si>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</si>
  <si>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</si>
  <si>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</si>
  <si>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</si>
  <si>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</si>
  <si>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</si>
  <si>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</si>
  <si>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</si>
  <si>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</si>
  <si>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</si>
  <si>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</si>
  <si>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</si>
  <si>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</si>
  <si>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</si>
  <si>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</si>
  <si>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</si>
  <si>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</si>
  <si>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</si>
  <si>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</si>
  <si>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</si>
  <si>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</si>
  <si>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</si>
  <si>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</si>
  <si>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</si>
  <si>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</si>
  <si>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</si>
  <si>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</si>
  <si>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</si>
  <si>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</si>
  <si>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</si>
  <si>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</si>
  <si>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</si>
  <si>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</si>
  <si>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</si>
  <si>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</si>
  <si>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</si>
  <si>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</si>
  <si>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</si>
  <si>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</si>
  <si>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</si>
  <si>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</si>
  <si>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</si>
  <si>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</si>
  <si>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</si>
  <si>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</si>
  <si>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</si>
  <si>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</si>
  <si>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</si>
  <si>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</si>
  <si>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</si>
  <si>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</si>
  <si>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</si>
  <si>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</si>
  <si>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</si>
  <si>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</si>
  <si>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</si>
  <si>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</si>
  <si>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</si>
  <si>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</si>
  <si>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</si>
  <si>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</si>
  <si>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</si>
  <si>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</si>
  <si>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</si>
  <si>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</si>
  <si>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</si>
  <si>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</si>
  <si>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</si>
  <si>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</si>
  <si>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</si>
  <si>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</si>
  <si>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</si>
  <si>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</si>
  <si>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</si>
  <si>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</si>
  <si>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</si>
  <si>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</si>
  <si>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</si>
  <si>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</si>
  <si>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</si>
  <si>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</si>
  <si>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</si>
  <si>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</si>
  <si>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</si>
  <si>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</si>
  <si>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</si>
  <si>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</si>
  <si>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</si>
  <si>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</si>
  <si>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</si>
  <si>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</si>
  <si>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</si>
  <si>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</si>
  <si>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</si>
  <si>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</si>
  <si>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</si>
  <si>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</si>
  <si>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</si>
  <si>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</si>
  <si>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</si>
  <si>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</si>
  <si>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</si>
  <si>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</si>
  <si>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</si>
  <si>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</si>
  <si>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</si>
  <si>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</si>
  <si>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</si>
  <si>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</si>
  <si>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</si>
  <si>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</si>
  <si>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</si>
  <si>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</si>
  <si>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</si>
  <si>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</si>
  <si>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</si>
  <si>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</si>
  <si>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</si>
  <si>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</si>
  <si>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</si>
  <si>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</si>
  <si>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</si>
  <si>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</si>
  <si>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</si>
  <si>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</si>
  <si>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</si>
  <si>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</si>
  <si>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</si>
  <si>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</si>
  <si>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</si>
  <si>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</si>
  <si>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</si>
  <si>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</si>
  <si>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</si>
  <si>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</si>
  <si>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</si>
  <si>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</si>
  <si>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</si>
  <si>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</si>
  <si>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</si>
  <si>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</si>
  <si>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</si>
  <si>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</si>
  <si>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</si>
  <si>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</si>
  <si>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</si>
  <si>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</si>
  <si>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</si>
  <si>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</si>
  <si>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</si>
  <si>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</si>
  <si>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</si>
  <si>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</si>
  <si>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</si>
  <si>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</si>
  <si>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</si>
  <si>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</si>
  <si>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</si>
  <si>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</si>
  <si>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</si>
  <si>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</si>
  <si>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</si>
  <si>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</si>
  <si>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</si>
  <si>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</si>
  <si>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</si>
  <si>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</si>
  <si>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</si>
  <si>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</si>
  <si>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</si>
  <si>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</si>
  <si>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</si>
  <si>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</si>
  <si>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</si>
  <si>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</si>
  <si>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</si>
  <si>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</si>
  <si>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</si>
  <si>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</si>
  <si>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</si>
  <si>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</si>
  <si>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</si>
  <si>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</si>
  <si>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</si>
  <si>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</si>
  <si>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</si>
  <si>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</si>
  <si>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</si>
  <si>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</si>
  <si>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</si>
  <si>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</si>
  <si>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</si>
  <si>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</si>
  <si>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</si>
  <si>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</si>
  <si>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</si>
  <si>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</si>
  <si>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</si>
  <si>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</si>
  <si>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</si>
  <si>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</si>
  <si>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</si>
  <si>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</si>
  <si>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</si>
  <si>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</si>
  <si>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</si>
  <si>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</si>
  <si>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</si>
  <si>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</si>
  <si>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</si>
  <si>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</si>
  <si>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</si>
  <si>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</si>
  <si>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</si>
  <si>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</si>
  <si>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</si>
  <si>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</si>
  <si>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</si>
  <si>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</si>
  <si>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</si>
  <si>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</si>
  <si>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</si>
  <si>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</si>
  <si>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</si>
  <si>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</si>
  <si>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</si>
  <si>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</si>
  <si>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</si>
  <si>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</si>
  <si>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</si>
  <si>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</si>
  <si>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</si>
  <si>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</si>
  <si>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</si>
  <si>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</si>
  <si>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</si>
  <si>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</si>
  <si>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</si>
  <si>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</si>
  <si>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</si>
  <si>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</si>
  <si>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</si>
  <si>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</si>
  <si>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</si>
  <si>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</si>
  <si>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</si>
  <si>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</si>
  <si>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</si>
  <si>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</si>
  <si>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</si>
  <si>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</si>
  <si>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</si>
  <si>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</si>
  <si>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</si>
  <si>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</si>
  <si>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</si>
  <si>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</si>
  <si>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</si>
  <si>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</si>
  <si>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</si>
  <si>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</si>
  <si>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</si>
  <si>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</si>
  <si>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</si>
  <si>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</si>
  <si>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</si>
  <si>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</si>
  <si>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</si>
  <si>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</si>
  <si>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</si>
  <si>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</si>
  <si>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</si>
  <si>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</si>
  <si>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</si>
  <si>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</si>
  <si>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</si>
  <si>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</si>
  <si>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</si>
  <si>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</si>
  <si>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</si>
  <si>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</si>
  <si>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</si>
  <si>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</si>
  <si>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</si>
  <si>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</si>
  <si>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</si>
  <si>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</si>
  <si>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</si>
  <si>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</si>
  <si>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</si>
  <si>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</si>
  <si>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</si>
  <si>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</si>
  <si>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</si>
  <si>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</si>
  <si>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</si>
  <si>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</si>
  <si>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</si>
  <si>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</si>
  <si>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</si>
  <si>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</si>
  <si>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</si>
  <si>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</si>
  <si>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</si>
  <si>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</si>
  <si>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</si>
  <si>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</si>
  <si>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</si>
  <si>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</si>
  <si>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</si>
  <si>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</si>
  <si>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</si>
  <si>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</si>
  <si>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</si>
  <si>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</si>
  <si>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</si>
  <si>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</si>
  <si>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</si>
  <si>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</si>
  <si>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</si>
  <si>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</si>
  <si>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</si>
  <si>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</si>
  <si>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</si>
  <si>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</si>
  <si>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</si>
  <si>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</si>
  <si>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</si>
  <si>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</si>
  <si>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</si>
  <si>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</si>
  <si>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</si>
  <si>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</si>
  <si>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</si>
  <si>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</si>
  <si>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</si>
  <si>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</si>
  <si>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</si>
  <si>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</si>
  <si>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</si>
  <si>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</si>
  <si>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</si>
  <si>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</si>
  <si>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</si>
  <si>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</si>
  <si>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</si>
  <si>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</si>
  <si>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</si>
  <si>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</si>
  <si>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</si>
  <si>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</si>
  <si>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</si>
  <si>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</si>
  <si>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</si>
  <si>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</si>
  <si>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</si>
  <si>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</si>
  <si>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</si>
  <si>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</si>
  <si>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</si>
  <si>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</si>
  <si>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</si>
  <si>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</si>
  <si>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</si>
  <si>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</si>
  <si>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</si>
  <si>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</si>
  <si>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</si>
  <si>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</si>
  <si>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</si>
  <si>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</si>
  <si>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</si>
  <si>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</si>
  <si>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</si>
  <si>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</si>
  <si>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</si>
  <si>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</si>
  <si>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</si>
  <si>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</si>
  <si>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</si>
  <si>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</si>
  <si>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</si>
  <si>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</si>
  <si>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</si>
  <si>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</si>
  <si>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</si>
  <si>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</si>
  <si>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</si>
  <si>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</si>
  <si>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</si>
  <si>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</si>
  <si>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</si>
  <si>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</si>
  <si>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</si>
  <si>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</si>
  <si>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</si>
  <si>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</si>
  <si>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</si>
  <si>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</si>
  <si>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</si>
  <si>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</si>
  <si>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</si>
  <si>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</si>
  <si>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</si>
  <si>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</si>
  <si>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</si>
  <si>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</si>
  <si>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</si>
  <si>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</si>
  <si>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</si>
  <si>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</si>
  <si>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</si>
  <si>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</si>
  <si>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</si>
  <si>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</si>
  <si>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</si>
  <si>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</si>
  <si>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</si>
  <si>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</si>
  <si>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</si>
  <si>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</si>
  <si>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</si>
  <si>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</si>
  <si>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</si>
  <si>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</si>
  <si>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</si>
  <si>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</si>
  <si>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</si>
  <si>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</si>
  <si>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</si>
  <si>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</si>
  <si>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</si>
  <si>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</si>
  <si>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</si>
  <si>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</si>
  <si>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</si>
  <si>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</si>
  <si>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</si>
  <si>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</si>
  <si>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</si>
  <si>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</si>
  <si>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</si>
  <si>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</si>
  <si>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</si>
  <si>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</si>
  <si>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</si>
  <si>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</si>
  <si>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</si>
  <si>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</si>
  <si>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</si>
  <si>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</si>
  <si>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</si>
  <si>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</si>
  <si>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</si>
  <si>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</si>
  <si>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</si>
  <si>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</si>
  <si>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</si>
  <si>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</si>
  <si>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</si>
  <si>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</si>
  <si>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</si>
  <si>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</si>
  <si>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</si>
  <si>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</si>
  <si>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</si>
  <si>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</si>
  <si>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</si>
  <si>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</si>
  <si>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</si>
  <si>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</si>
  <si>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</si>
  <si>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</si>
  <si>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</si>
  <si>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</si>
  <si>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</si>
  <si>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</si>
  <si>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</si>
  <si>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</si>
  <si>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</si>
  <si>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</si>
  <si>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</si>
  <si>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</si>
  <si>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</si>
  <si>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</si>
  <si>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</si>
  <si>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</si>
  <si>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</si>
  <si>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</si>
  <si>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</si>
  <si>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</si>
  <si>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</si>
  <si>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</si>
  <si>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</si>
  <si>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</si>
  <si>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</si>
  <si>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</si>
  <si>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</si>
  <si>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</si>
  <si>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</si>
  <si>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</si>
  <si>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</si>
  <si>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</si>
  <si>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</si>
  <si>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</si>
  <si>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</si>
  <si>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</si>
  <si>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</si>
  <si>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</si>
  <si>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</si>
  <si>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</si>
  <si>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</si>
  <si>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</si>
  <si>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</si>
  <si>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</si>
  <si>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</si>
  <si>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</si>
  <si>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</si>
  <si>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</si>
  <si>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</si>
  <si>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</si>
  <si>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</si>
  <si>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</si>
  <si>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</si>
  <si>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</si>
  <si>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</si>
  <si>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</si>
  <si>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</si>
  <si>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</si>
  <si>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</si>
  <si>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</si>
  <si>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</si>
  <si>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</si>
  <si>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</si>
  <si>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</si>
  <si>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</si>
  <si>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</si>
  <si>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</si>
  <si>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</si>
  <si>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</si>
  <si>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</si>
  <si>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</si>
  <si>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</si>
  <si>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</si>
  <si>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</si>
  <si>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</si>
  <si>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</si>
  <si>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</si>
  <si>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</si>
  <si>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</si>
  <si>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</si>
  <si>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</si>
  <si>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</si>
  <si>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</si>
  <si>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</si>
  <si>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</si>
  <si>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</si>
  <si>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</si>
  <si>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</si>
  <si>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</si>
  <si>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</si>
  <si>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</si>
  <si>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</si>
  <si>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</si>
  <si>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</si>
  <si>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</si>
  <si>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</si>
  <si>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</si>
  <si>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</si>
  <si>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</si>
  <si>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</si>
  <si>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</si>
  <si>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</si>
  <si>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</si>
  <si>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</si>
  <si>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</si>
  <si>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</si>
  <si>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</si>
  <si>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</si>
  <si>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</si>
  <si>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</si>
  <si>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</si>
  <si>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</si>
  <si>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</si>
  <si>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</si>
  <si>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</si>
  <si>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</si>
  <si>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</si>
  <si>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</si>
  <si>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</si>
  <si>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</si>
  <si>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</si>
  <si>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</si>
  <si>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</si>
  <si>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</si>
  <si>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</si>
  <si>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</si>
  <si>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</si>
  <si>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</si>
  <si>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</si>
  <si>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</si>
  <si>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</si>
  <si>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</si>
  <si>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</si>
  <si>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</si>
  <si>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</si>
  <si>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</si>
  <si>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</si>
  <si>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</si>
  <si>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</si>
  <si>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</si>
  <si>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</si>
  <si>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</si>
  <si>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</si>
  <si>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</si>
  <si>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</si>
  <si>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</si>
  <si>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</si>
  <si>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</si>
  <si>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</si>
  <si>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</si>
  <si>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</si>
  <si>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</si>
  <si>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</si>
  <si>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</si>
  <si>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</si>
  <si>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</si>
  <si>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</si>
  <si>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</si>
  <si>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</si>
  <si>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</si>
  <si>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</si>
  <si>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</si>
  <si>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</si>
  <si>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</si>
  <si>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</si>
  <si>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</si>
  <si>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</si>
  <si>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</si>
  <si>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</si>
  <si>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</si>
  <si>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</si>
  <si>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</si>
  <si>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</si>
  <si>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</si>
  <si>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</si>
  <si>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</si>
  <si>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</si>
  <si>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</si>
  <si>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</si>
  <si>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</si>
  <si>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</si>
  <si>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</si>
  <si>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</si>
  <si>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</si>
  <si>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</si>
  <si>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</si>
  <si>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</si>
  <si>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</si>
  <si>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</si>
  <si>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</si>
  <si>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</si>
  <si>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</si>
  <si>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</si>
  <si>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</si>
  <si>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</si>
  <si>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</si>
  <si>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</si>
  <si>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</si>
  <si>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</si>
  <si>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</si>
  <si>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</si>
  <si>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</si>
  <si>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</si>
  <si>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</si>
  <si>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</si>
  <si>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</si>
  <si>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</si>
  <si>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</si>
  <si>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</si>
  <si>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</si>
  <si>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</si>
  <si>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</si>
  <si>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</si>
  <si>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</si>
  <si>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</si>
  <si>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</si>
  <si>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</si>
  <si>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</si>
  <si>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</si>
  <si>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</si>
  <si>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</si>
  <si>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</si>
  <si>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</si>
  <si>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</si>
  <si>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</si>
  <si>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</si>
  <si>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</si>
  <si>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</si>
  <si>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</si>
  <si>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</si>
  <si>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</si>
  <si>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</si>
  <si>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</si>
  <si>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</si>
  <si>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</si>
  <si>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</si>
  <si>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</si>
  <si>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</si>
  <si>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</si>
  <si>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</si>
  <si>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</si>
  <si>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</si>
  <si>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</si>
  <si>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</si>
  <si>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</si>
  <si>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</si>
  <si>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</si>
  <si>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</si>
  <si>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</si>
  <si>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</si>
  <si>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</si>
  <si>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</si>
  <si>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</si>
  <si>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</si>
  <si>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</si>
  <si>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</si>
  <si>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</si>
  <si>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</si>
  <si>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</si>
  <si>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</si>
  <si>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</si>
  <si>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</si>
  <si>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</si>
  <si>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</si>
  <si>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</si>
  <si>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</si>
  <si>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</si>
  <si>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</si>
  <si>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</si>
  <si>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</si>
  <si>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</si>
  <si>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</si>
  <si>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</si>
  <si>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</si>
  <si>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</si>
  <si>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</si>
  <si>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</si>
  <si>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</si>
  <si>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</si>
  <si>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</si>
  <si>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</si>
  <si>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</si>
  <si>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</si>
  <si>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</si>
  <si>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</si>
  <si>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</si>
  <si>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</si>
  <si>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</si>
  <si>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</si>
  <si>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</si>
  <si>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</si>
  <si>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</si>
  <si>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</si>
  <si>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</si>
  <si>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</si>
  <si>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</si>
  <si>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</si>
  <si>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</si>
  <si>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</si>
  <si>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</si>
  <si>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</si>
  <si>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</si>
  <si>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</si>
  <si>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</si>
  <si>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</si>
  <si>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</si>
  <si>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</si>
  <si>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</si>
  <si>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</si>
  <si>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</si>
  <si>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</si>
  <si>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</si>
  <si>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</si>
  <si>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</si>
  <si>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</si>
  <si>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</si>
  <si>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</si>
  <si>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</si>
  <si>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</si>
  <si>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</si>
  <si>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</si>
  <si>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</si>
  <si>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</si>
  <si>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</si>
  <si>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</si>
  <si>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</si>
  <si>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</si>
  <si>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</si>
  <si>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</si>
  <si>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</si>
  <si>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</si>
  <si>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</si>
  <si>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</si>
  <si>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</si>
  <si>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</si>
  <si>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</si>
  <si>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</si>
  <si>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</si>
  <si>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</si>
  <si>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</si>
  <si>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</si>
  <si>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</si>
  <si>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</si>
  <si>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</si>
  <si>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</si>
  <si>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</si>
  <si>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</si>
  <si>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</si>
  <si>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</si>
  <si>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</si>
  <si>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</si>
  <si>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</si>
  <si>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</si>
  <si>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</si>
  <si>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</si>
  <si>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</si>
  <si>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</si>
  <si>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</si>
  <si>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</si>
  <si>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</si>
  <si>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</si>
  <si>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</si>
  <si>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</si>
  <si>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</si>
  <si>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</si>
  <si>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</si>
  <si>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</si>
  <si>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</si>
  <si>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</si>
  <si>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</si>
  <si>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</si>
  <si>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</si>
  <si>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</si>
  <si>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</si>
  <si>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</si>
  <si>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</si>
  <si>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</si>
  <si>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</si>
  <si>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</si>
  <si>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</si>
  <si>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</si>
  <si>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</si>
  <si>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</si>
  <si>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</si>
  <si>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</si>
  <si>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</si>
  <si>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</si>
  <si>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</si>
  <si>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</si>
  <si>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</si>
  <si>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</si>
  <si>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</si>
  <si>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</si>
  <si>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</si>
  <si>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</si>
  <si>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</si>
  <si>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</si>
  <si>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</si>
  <si>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</si>
  <si>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</si>
  <si>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</si>
  <si>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</si>
  <si>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</si>
  <si>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</si>
  <si>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</si>
  <si>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</si>
  <si>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</si>
  <si>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</si>
  <si>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</si>
  <si>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</si>
  <si>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</si>
  <si>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</si>
  <si>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</si>
  <si>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</si>
  <si>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</si>
  <si>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</si>
  <si>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</si>
  <si>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</si>
  <si>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</si>
  <si>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</si>
  <si>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</si>
  <si>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</si>
  <si>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</si>
  <si>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</si>
  <si>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</si>
  <si>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</si>
  <si>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</si>
  <si>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</si>
  <si>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</si>
  <si>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</si>
  <si>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</si>
  <si>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</si>
  <si>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</si>
  <si>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</si>
  <si>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</si>
  <si>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</si>
  <si>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</si>
  <si>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</si>
  <si>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</si>
  <si>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</si>
  <si>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</si>
  <si>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</si>
  <si>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</si>
  <si>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</si>
  <si>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</si>
  <si>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</si>
  <si>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</si>
  <si>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</si>
  <si>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</si>
  <si>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</si>
  <si>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</si>
  <si>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</si>
  <si>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</si>
  <si>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</si>
  <si>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</si>
  <si>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</si>
  <si>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</si>
  <si>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</si>
  <si>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</si>
  <si>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</si>
  <si>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</si>
  <si>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</si>
  <si>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</si>
  <si>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</si>
  <si>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</si>
  <si>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</si>
  <si>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</si>
  <si>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</si>
  <si>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</si>
  <si>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</si>
  <si>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</si>
  <si>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</si>
  <si>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</si>
  <si>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</si>
  <si>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</si>
  <si>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</si>
  <si>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</si>
  <si>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</si>
  <si>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</si>
  <si>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</si>
  <si>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</si>
  <si>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</si>
  <si>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</si>
  <si>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</si>
  <si>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</si>
  <si>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</si>
  <si>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</si>
  <si>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</si>
  <si>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</si>
  <si>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</si>
  <si>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</si>
  <si>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</si>
  <si>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</si>
  <si>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</si>
  <si>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</si>
  <si>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</si>
  <si>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</si>
  <si>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</si>
  <si>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</si>
  <si>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</si>
  <si>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</si>
  <si>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</si>
  <si>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</si>
  <si>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</si>
  <si>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</si>
  <si>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</si>
  <si>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</si>
  <si>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</si>
  <si>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</si>
  <si>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</si>
  <si>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</si>
  <si>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</si>
  <si>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</si>
  <si>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</si>
  <si>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</si>
  <si>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</si>
  <si>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</si>
  <si>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</si>
  <si>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</si>
  <si>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</si>
  <si>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</si>
  <si>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</si>
  <si>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</si>
  <si>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</si>
  <si>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</si>
  <si>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</si>
  <si>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</si>
  <si>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</si>
  <si>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</si>
  <si>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</si>
  <si>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</si>
  <si>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</si>
  <si>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</si>
  <si>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</si>
  <si>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</si>
  <si>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</si>
  <si>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</si>
  <si>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</si>
  <si>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</si>
  <si>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</si>
  <si>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</si>
  <si>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</si>
  <si>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</si>
  <si>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</si>
  <si>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</si>
  <si>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</si>
  <si>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</si>
  <si>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</si>
  <si>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</si>
  <si>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</si>
  <si>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</si>
  <si>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</si>
  <si>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</si>
  <si>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</si>
  <si>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</si>
  <si>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</si>
  <si>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</si>
  <si>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</si>
  <si>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</si>
  <si>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</si>
  <si>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</si>
  <si>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</si>
  <si>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</si>
  <si>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</si>
  <si>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</si>
  <si>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</si>
  <si>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</si>
  <si>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</si>
  <si>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</si>
  <si>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</si>
  <si>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</si>
  <si>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</si>
  <si>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</si>
  <si>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</si>
  <si>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</si>
  <si>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</si>
  <si>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</si>
  <si>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</si>
  <si>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</si>
  <si>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</si>
  <si>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</si>
  <si>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</si>
  <si>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</si>
  <si>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</si>
  <si>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</si>
  <si>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</si>
  <si>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</si>
  <si>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</si>
  <si>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</si>
  <si>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</si>
  <si>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</si>
  <si>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</si>
  <si>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</si>
  <si>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</si>
  <si>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</si>
  <si>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</si>
  <si>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</si>
  <si>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</si>
  <si>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</si>
  <si>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</si>
  <si>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</si>
  <si>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</si>
  <si>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</si>
  <si>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</si>
  <si>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</si>
  <si>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</si>
  <si>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</si>
  <si>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</si>
  <si>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</si>
  <si>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</si>
  <si>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</si>
  <si>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</si>
  <si>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</si>
  <si>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</si>
  <si>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</si>
  <si>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</si>
  <si>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</si>
  <si>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</si>
  <si>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</si>
  <si>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</si>
  <si>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</si>
  <si>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</si>
  <si>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</si>
  <si>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</si>
  <si>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</si>
  <si>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</si>
  <si>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</si>
  <si>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</si>
  <si>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</si>
  <si>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</si>
  <si>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</si>
  <si>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</si>
  <si>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</si>
  <si>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</si>
  <si>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</si>
  <si>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</si>
  <si>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</si>
  <si>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</si>
  <si>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</si>
  <si>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</si>
  <si>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</si>
  <si>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</si>
  <si>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</si>
  <si>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</si>
  <si>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</si>
  <si>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</si>
  <si>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</si>
  <si>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</si>
  <si>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</si>
  <si>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</si>
  <si>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</si>
  <si>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</si>
  <si>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</si>
  <si>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</si>
  <si>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</si>
  <si>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</si>
  <si>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</si>
  <si>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</si>
  <si>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</si>
  <si>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</si>
  <si>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</si>
  <si>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</si>
  <si>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</si>
  <si>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</si>
  <si>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</si>
  <si>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</si>
  <si>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</si>
  <si>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</si>
  <si>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</si>
  <si>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</si>
  <si>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</si>
  <si>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</si>
  <si>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</si>
  <si>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</si>
  <si>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</si>
  <si>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</si>
  <si>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</si>
  <si>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</si>
  <si>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</si>
  <si>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</si>
  <si>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</si>
  <si>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</si>
  <si>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</si>
  <si>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</si>
  <si>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</si>
  <si>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</si>
  <si>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</si>
  <si>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</si>
  <si>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</si>
  <si>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</si>
  <si>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</si>
  <si>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</si>
  <si>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</si>
  <si>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</si>
  <si>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</si>
  <si>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</si>
  <si>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</si>
  <si>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</si>
  <si>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</si>
  <si>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</si>
  <si>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</si>
  <si>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</si>
  <si>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</si>
  <si>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</si>
  <si>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</si>
  <si>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</si>
  <si>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</si>
  <si>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</si>
  <si>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</si>
  <si>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</si>
  <si>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</si>
  <si>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</si>
  <si>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</si>
  <si>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</si>
  <si>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</si>
  <si>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</si>
  <si>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</si>
  <si>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</si>
  <si>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</si>
  <si>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</si>
  <si>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</si>
  <si>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</si>
  <si>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</si>
  <si>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</si>
  <si>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</si>
  <si>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</si>
  <si>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</si>
  <si>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</si>
  <si>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</si>
  <si>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</si>
  <si>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</si>
  <si>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</si>
  <si>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</si>
  <si>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</si>
  <si>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</si>
  <si>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</si>
  <si>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</si>
  <si>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</si>
  <si>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</si>
  <si>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</si>
  <si>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</si>
  <si>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</si>
  <si>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</si>
  <si>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</si>
  <si>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</si>
  <si>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</si>
  <si>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</si>
  <si>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</si>
  <si>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</si>
  <si>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</si>
  <si>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</si>
  <si>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</si>
  <si>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</si>
  <si>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</si>
  <si>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</si>
  <si>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</si>
  <si>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</si>
  <si>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</si>
  <si>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</si>
  <si>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</si>
  <si>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</si>
  <si>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</si>
  <si>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</si>
  <si>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</si>
  <si>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</si>
  <si>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</si>
  <si>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</si>
  <si>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</si>
  <si>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</si>
  <si>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</si>
  <si>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</si>
  <si>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</si>
  <si>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</si>
  <si>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</si>
  <si>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</si>
  <si>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</si>
  <si>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</si>
  <si>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</si>
  <si>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</si>
  <si>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</si>
  <si>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</si>
  <si>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</si>
  <si>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</si>
  <si>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</si>
  <si>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</si>
  <si>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</si>
  <si>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</si>
  <si>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</si>
  <si>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</si>
  <si>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</si>
  <si>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</si>
  <si>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</si>
  <si>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</si>
  <si>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</si>
  <si>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</si>
  <si>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</si>
  <si>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</si>
  <si>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</si>
  <si>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</si>
  <si>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</si>
  <si>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</si>
  <si>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</si>
  <si>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</si>
  <si>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</si>
  <si>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</si>
  <si>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</si>
  <si>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</si>
  <si>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</si>
  <si>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</si>
  <si>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</si>
  <si>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</si>
  <si>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</si>
  <si>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</si>
  <si>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</si>
  <si>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</si>
  <si>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</si>
  <si>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</si>
  <si>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</si>
  <si>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</si>
  <si>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</si>
  <si>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</si>
  <si>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</si>
  <si>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</si>
  <si>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</si>
  <si>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</si>
  <si>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</si>
  <si>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</si>
  <si>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</si>
  <si>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</si>
  <si>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</si>
  <si>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</si>
  <si>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</si>
  <si>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</si>
  <si>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</si>
  <si>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</si>
  <si>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</si>
  <si>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</si>
  <si>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</si>
  <si>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</si>
  <si>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</si>
  <si>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</si>
  <si>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</si>
  <si>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</si>
  <si>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</si>
  <si>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</si>
  <si>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</si>
  <si>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</si>
  <si>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</si>
  <si>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</si>
  <si>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</si>
  <si>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</si>
  <si>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</si>
  <si>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</si>
  <si>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</si>
  <si>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</si>
  <si>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</si>
  <si>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</si>
  <si>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</si>
  <si>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</si>
  <si>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</si>
  <si>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</si>
  <si>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</si>
  <si>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</si>
  <si>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</si>
  <si>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</si>
  <si>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</si>
  <si>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</si>
  <si>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</si>
  <si>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</si>
  <si>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</si>
  <si>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</si>
  <si>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</si>
  <si>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</si>
  <si>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</si>
  <si>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</si>
  <si>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</si>
  <si>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</si>
  <si>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</si>
  <si>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</si>
  <si>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</si>
  <si>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</si>
  <si>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</si>
  <si>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</si>
  <si>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</si>
  <si>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</si>
  <si>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</si>
  <si>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</si>
  <si>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</si>
  <si>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</si>
  <si>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</si>
  <si>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</si>
  <si>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</si>
  <si>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</si>
  <si>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</si>
  <si>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</si>
  <si>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</si>
  <si>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</si>
  <si>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</si>
  <si>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</si>
  <si>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</si>
  <si>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</si>
  <si>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</si>
  <si>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</si>
  <si>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</si>
  <si>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</si>
  <si>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</si>
  <si>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</si>
  <si>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</si>
  <si>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</si>
  <si>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</si>
  <si>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</si>
  <si>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</si>
  <si>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</si>
  <si>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</si>
  <si>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</si>
  <si>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</si>
  <si>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</si>
  <si>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</si>
  <si>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</si>
  <si>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</si>
  <si>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</si>
  <si>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</si>
  <si>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</si>
  <si>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</si>
  <si>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</si>
  <si>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</si>
  <si>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</si>
  <si>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</si>
  <si>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</si>
  <si>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</si>
  <si>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</si>
  <si>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</si>
  <si>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</si>
  <si>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</si>
  <si>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</si>
  <si>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</si>
  <si>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</si>
  <si>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</si>
  <si>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</si>
  <si>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</si>
  <si>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</si>
  <si>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</si>
  <si>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</si>
  <si>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</si>
  <si>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</si>
  <si>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</si>
  <si>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</si>
  <si>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</si>
  <si>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</si>
  <si>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</si>
  <si>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</si>
  <si>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</si>
  <si>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</si>
  <si>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</si>
  <si>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</si>
  <si>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</si>
  <si>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</si>
  <si>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</si>
  <si>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</si>
  <si>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</si>
  <si>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</si>
  <si>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</si>
  <si>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</si>
  <si>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</si>
  <si>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</si>
  <si>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</si>
  <si>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</si>
  <si>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</si>
  <si>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</si>
  <si>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</si>
  <si>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</si>
  <si>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</si>
  <si>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</si>
  <si>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</si>
  <si>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</si>
  <si>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</si>
  <si>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</si>
  <si>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</si>
  <si>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</si>
  <si>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</si>
  <si>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</si>
  <si>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</si>
  <si>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</si>
  <si>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</si>
  <si>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</si>
  <si>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</si>
  <si>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</si>
  <si>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</si>
  <si>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</si>
  <si>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</si>
  <si>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</si>
  <si>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</si>
  <si>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</si>
  <si>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</si>
  <si>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</si>
  <si>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</si>
  <si>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</si>
  <si>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</si>
  <si>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</si>
  <si>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</si>
  <si>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</si>
  <si>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</si>
  <si>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</si>
  <si>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</si>
  <si>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</si>
  <si>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</si>
  <si>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</si>
  <si>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</si>
  <si>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</si>
  <si>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</si>
  <si>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</si>
  <si>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</si>
  <si>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</si>
  <si>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</si>
  <si>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</si>
  <si>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</si>
  <si>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</si>
  <si>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</si>
  <si>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</si>
  <si>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</si>
  <si>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</si>
  <si>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</si>
  <si>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</si>
  <si>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</si>
  <si>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</si>
  <si>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</si>
  <si>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</si>
  <si>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</si>
  <si>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</si>
  <si>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</si>
  <si>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</si>
  <si>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</si>
  <si>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</si>
  <si>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</si>
  <si>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</si>
  <si>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</si>
  <si>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</si>
  <si>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</si>
  <si>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</si>
  <si>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</si>
  <si>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</si>
  <si>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</si>
  <si>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</si>
  <si>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</si>
  <si>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</si>
  <si>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</si>
  <si>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</si>
  <si>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</si>
  <si>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</si>
  <si>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</si>
  <si>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</si>
  <si>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</si>
  <si>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</si>
  <si>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</si>
  <si>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</si>
  <si>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</si>
  <si>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</si>
  <si>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</si>
  <si>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</si>
  <si>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</si>
  <si>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</si>
  <si>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</si>
  <si>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</si>
  <si>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</si>
  <si>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</si>
  <si>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</si>
  <si>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</si>
  <si>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</si>
  <si>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</si>
  <si>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</si>
  <si>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</si>
  <si>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</si>
  <si>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</si>
  <si>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</si>
  <si>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</si>
  <si>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</si>
  <si>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</si>
  <si>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</si>
  <si>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</si>
  <si>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</si>
  <si>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</si>
  <si>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</si>
  <si>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</si>
  <si>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</si>
  <si>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</si>
  <si>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</si>
  <si>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</si>
  <si>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</si>
  <si>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</si>
  <si>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</si>
  <si>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</si>
  <si>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</si>
  <si>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</si>
  <si>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</si>
  <si>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</si>
  <si>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</si>
  <si>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</si>
  <si>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</si>
  <si>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</si>
  <si>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</si>
  <si>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</si>
  <si>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</si>
  <si>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</si>
  <si>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</si>
  <si>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</si>
  <si>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</si>
  <si>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</si>
  <si>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</si>
  <si>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</si>
  <si>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</si>
  <si>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</si>
  <si>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</si>
  <si>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</si>
  <si>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</si>
  <si>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</si>
  <si>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</si>
  <si>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</si>
  <si>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</si>
  <si>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</si>
  <si>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</si>
  <si>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</si>
  <si>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</si>
  <si>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</si>
  <si>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</si>
  <si>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</si>
  <si>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</si>
  <si>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</si>
  <si>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</si>
  <si>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</si>
  <si>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</si>
  <si>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</si>
  <si>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</si>
  <si>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</si>
  <si>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</si>
  <si>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</si>
  <si>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</si>
  <si>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</si>
  <si>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</si>
  <si>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</si>
  <si>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</si>
  <si>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</si>
  <si>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</si>
  <si>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</si>
  <si>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</si>
  <si>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</si>
  <si>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</si>
  <si>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</si>
  <si>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</si>
  <si>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</si>
  <si>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</si>
  <si>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</si>
  <si>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</si>
  <si>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</si>
  <si>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</si>
  <si>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</si>
  <si>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</si>
  <si>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</si>
  <si>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</si>
  <si>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</si>
  <si>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</si>
  <si>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</si>
  <si>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</si>
  <si>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</si>
  <si>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</si>
  <si>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</si>
  <si>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</si>
  <si>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</si>
  <si>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</si>
  <si>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</si>
  <si>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</si>
  <si>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</si>
  <si>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</si>
  <si>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</si>
  <si>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</si>
  <si>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</si>
  <si>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</si>
  <si>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</si>
  <si>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</si>
  <si>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</si>
  <si>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</si>
  <si>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</si>
  <si>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</si>
  <si>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</si>
  <si>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</si>
  <si>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</si>
  <si>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</si>
  <si>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</si>
  <si>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</si>
  <si>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</si>
  <si>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</si>
  <si>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</si>
  <si>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</si>
  <si>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</si>
  <si>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</si>
  <si>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</si>
  <si>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</si>
  <si>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</si>
  <si>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</si>
  <si>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</si>
  <si>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</si>
  <si>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</si>
  <si>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</si>
  <si>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</si>
  <si>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</si>
  <si>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</si>
  <si>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</si>
  <si>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</si>
  <si>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</si>
  <si>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</si>
  <si>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</si>
  <si>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</si>
  <si>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</si>
  <si>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</si>
  <si>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</si>
  <si>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</si>
  <si>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</si>
  <si>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</si>
  <si>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</si>
  <si>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</si>
  <si>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</si>
  <si>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</si>
  <si>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</si>
  <si>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</si>
  <si>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</si>
  <si>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</si>
  <si>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</si>
  <si>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</si>
  <si>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</si>
  <si>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</si>
  <si>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</si>
  <si>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</si>
  <si>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</si>
  <si>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</si>
  <si>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</si>
  <si>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</si>
  <si>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</si>
  <si>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</si>
  <si>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</si>
  <si>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</si>
  <si>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</si>
  <si>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</si>
  <si>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</si>
  <si>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</si>
  <si>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</si>
  <si>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</si>
  <si>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</si>
  <si>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</si>
  <si>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</si>
  <si>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</si>
  <si>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</si>
  <si>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</si>
  <si>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</si>
  <si>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</si>
  <si>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</si>
  <si>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</si>
  <si>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</si>
  <si>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</si>
  <si>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</si>
  <si>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</si>
  <si>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</si>
  <si>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</si>
  <si>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</si>
  <si>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</si>
  <si>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</si>
  <si>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</si>
  <si>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</si>
  <si>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</si>
  <si>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</si>
  <si>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</si>
  <si>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</si>
  <si>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</si>
  <si>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</si>
  <si>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</si>
  <si>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</si>
  <si>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</si>
  <si>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</si>
  <si>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</si>
  <si>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</si>
  <si>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</si>
  <si>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</si>
  <si>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</si>
  <si>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</si>
  <si>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</si>
  <si>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</si>
  <si>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</si>
  <si>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</si>
  <si>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</si>
  <si>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</si>
  <si>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</si>
  <si>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</si>
  <si>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</si>
  <si>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</si>
  <si>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</si>
  <si>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</si>
  <si>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</si>
  <si>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</si>
  <si>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</si>
  <si>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</si>
  <si>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</si>
  <si>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</si>
  <si>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</si>
  <si>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</si>
  <si>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</si>
  <si>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</si>
  <si>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</si>
  <si>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</si>
  <si>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</si>
  <si>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</si>
  <si>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</si>
  <si>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</si>
  <si>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</si>
  <si>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</si>
  <si>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</si>
  <si>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</si>
  <si>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</si>
  <si>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</si>
  <si>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</si>
  <si>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</si>
  <si>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</si>
  <si>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</si>
  <si>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</si>
  <si>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</si>
  <si>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</si>
  <si>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</si>
  <si>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</si>
  <si>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</si>
  <si>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</si>
  <si>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</si>
  <si>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</si>
  <si>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</si>
  <si>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</si>
  <si>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</si>
  <si>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</si>
  <si>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</si>
  <si>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</si>
  <si>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</si>
  <si>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</si>
  <si>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</si>
  <si>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</si>
  <si>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</si>
  <si>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</si>
  <si>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</si>
  <si>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</si>
  <si>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</si>
  <si>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</si>
  <si>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</si>
  <si>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</si>
  <si>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</si>
  <si>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</si>
  <si>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</si>
  <si>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</si>
  <si>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</si>
  <si>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</si>
  <si>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</si>
  <si>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</si>
  <si>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</si>
  <si>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</si>
  <si>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</si>
  <si>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</si>
  <si>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</si>
  <si>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</si>
  <si>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</si>
  <si>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</si>
  <si>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</si>
  <si>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</si>
  <si>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</si>
  <si>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</si>
  <si>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</si>
  <si>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</si>
  <si>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</si>
  <si>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</si>
  <si>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</si>
  <si>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</si>
  <si>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</si>
  <si>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</si>
  <si>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</si>
  <si>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</si>
  <si>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</si>
  <si>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</si>
  <si>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</si>
  <si>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</si>
  <si>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</si>
  <si>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</si>
  <si>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</si>
  <si>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</si>
  <si>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</si>
  <si>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</si>
  <si>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</si>
  <si>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</si>
  <si>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</si>
  <si>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</si>
  <si>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</si>
  <si>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</si>
  <si>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</si>
  <si>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</si>
  <si>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</si>
  <si>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</si>
  <si>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</si>
  <si>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</si>
  <si>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</si>
  <si>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</si>
  <si>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</si>
  <si>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</si>
  <si>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</si>
  <si>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</si>
  <si>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</si>
  <si>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</si>
  <si>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</si>
  <si>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</si>
  <si>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</si>
  <si>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</si>
  <si>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</si>
  <si>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</si>
  <si>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</si>
  <si>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</si>
  <si>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</si>
  <si>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</si>
  <si>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</si>
  <si>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</si>
  <si>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</si>
  <si>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</si>
  <si>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</si>
  <si>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</si>
  <si>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</si>
  <si>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</si>
  <si>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</si>
  <si>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</si>
  <si>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</si>
  <si>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</si>
  <si>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</si>
  <si>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</si>
  <si>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</si>
  <si>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</si>
  <si>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</si>
  <si>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</si>
  <si>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</si>
  <si>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</si>
  <si>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</si>
  <si>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</si>
  <si>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</si>
  <si>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</si>
  <si>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</si>
  <si>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</si>
  <si>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</si>
  <si>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</si>
  <si>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</si>
  <si>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</si>
  <si>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</si>
  <si>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</si>
  <si>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</si>
  <si>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</si>
  <si>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</si>
  <si>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</si>
  <si>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</si>
  <si>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</si>
  <si>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</si>
  <si>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</si>
  <si>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</si>
  <si>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</si>
  <si>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</si>
  <si>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</si>
  <si>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</si>
  <si>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</si>
  <si>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</si>
  <si>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</si>
  <si>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</si>
  <si>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</si>
  <si>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</si>
  <si>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</si>
  <si>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</si>
  <si>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</si>
  <si>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</si>
  <si>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</si>
  <si>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</si>
  <si>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</si>
  <si>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</si>
  <si>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</si>
  <si>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</si>
  <si>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</si>
  <si>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</si>
  <si>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</si>
  <si>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</si>
  <si>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未包含在土地购买价格中</t>
  </si>
  <si>
    <t>已包含在土地取得成本中</t>
  </si>
  <si>
    <t>出让</t>
  </si>
  <si>
    <r>
      <t>4</t>
    </r>
    <r>
      <rPr>
        <sz val="11"/>
        <color theme="1"/>
        <rFont val="宋体"/>
        <family val="3"/>
        <charset val="134"/>
        <scheme val="minor"/>
      </rPr>
      <t>#</t>
    </r>
    <phoneticPr fontId="143" type="noConversion"/>
  </si>
  <si>
    <r>
      <t>5#</t>
    </r>
    <r>
      <rPr>
        <sz val="11"/>
        <color theme="1"/>
        <rFont val="宋体"/>
        <family val="3"/>
        <charset val="134"/>
        <scheme val="minor"/>
      </rPr>
      <t/>
    </r>
  </si>
  <si>
    <t>地上</t>
  </si>
  <si>
    <t>地上</t>
    <phoneticPr fontId="143" type="noConversion"/>
  </si>
  <si>
    <t>地下</t>
  </si>
  <si>
    <t>地下</t>
    <phoneticPr fontId="143" type="noConversion"/>
  </si>
  <si>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</si>
  <si>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</si>
  <si>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</si>
  <si>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</si>
  <si>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</si>
  <si>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</si>
  <si>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</si>
  <si>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</si>
  <si>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</si>
  <si>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</si>
  <si>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</si>
  <si>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</si>
  <si>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</si>
  <si>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t>地下车库</t>
    <phoneticPr fontId="143" type="noConversion"/>
  </si>
  <si>
    <r>
      <t>1</t>
    </r>
    <r>
      <rPr>
        <sz val="11"/>
        <color theme="1"/>
        <rFont val="宋体"/>
        <family val="3"/>
        <charset val="134"/>
        <scheme val="minor"/>
      </rPr>
      <t>#</t>
    </r>
    <phoneticPr fontId="143" type="noConversion"/>
  </si>
  <si>
    <r>
      <t>2</t>
    </r>
    <r>
      <rPr>
        <sz val="11"/>
        <color theme="1"/>
        <rFont val="宋体"/>
        <family val="3"/>
        <charset val="134"/>
        <scheme val="minor"/>
      </rPr>
      <t>#</t>
    </r>
    <phoneticPr fontId="143" type="noConversion"/>
  </si>
  <si>
    <t>层数</t>
    <phoneticPr fontId="143" type="noConversion"/>
  </si>
  <si>
    <t>规划建筑面积</t>
    <phoneticPr fontId="143" type="noConversion"/>
  </si>
  <si>
    <t>3#</t>
    <phoneticPr fontId="143" type="noConversion"/>
  </si>
  <si>
    <t>A1#</t>
    <phoneticPr fontId="143" type="noConversion"/>
  </si>
  <si>
    <t>A2#</t>
  </si>
  <si>
    <t>地下车库</t>
    <phoneticPr fontId="143" type="noConversion"/>
  </si>
  <si>
    <t>合计</t>
    <phoneticPr fontId="143" type="noConversion"/>
  </si>
  <si>
    <t>预售</t>
    <phoneticPr fontId="143" type="noConversion"/>
  </si>
  <si>
    <t>住宅</t>
  </si>
  <si>
    <t>住宅</t>
    <phoneticPr fontId="143" type="noConversion"/>
  </si>
  <si>
    <t>储藏</t>
    <phoneticPr fontId="143" type="noConversion"/>
  </si>
  <si>
    <t>居住公寓</t>
    <phoneticPr fontId="143" type="noConversion"/>
  </si>
  <si>
    <t>——</t>
    <phoneticPr fontId="143" type="noConversion"/>
  </si>
  <si>
    <t>D地块</t>
    <phoneticPr fontId="143" type="noConversion"/>
  </si>
  <si>
    <t>住宅及配套公建</t>
    <phoneticPr fontId="143" type="noConversion"/>
  </si>
  <si>
    <t>性质</t>
    <phoneticPr fontId="143" type="noConversion"/>
  </si>
  <si>
    <t>居住</t>
    <phoneticPr fontId="143" type="noConversion"/>
  </si>
  <si>
    <t>配套公建</t>
    <phoneticPr fontId="143" type="noConversion"/>
  </si>
  <si>
    <t>居住及配套公建</t>
    <phoneticPr fontId="143" type="noConversion"/>
  </si>
  <si>
    <t>配套公建</t>
    <phoneticPr fontId="143" type="noConversion"/>
  </si>
  <si>
    <t>——</t>
    <phoneticPr fontId="143" type="noConversion"/>
  </si>
  <si>
    <t>方信地块</t>
    <phoneticPr fontId="143" type="noConversion"/>
  </si>
  <si>
    <r>
      <t>2#</t>
    </r>
    <r>
      <rPr>
        <sz val="11"/>
        <color theme="1"/>
        <rFont val="宋体"/>
        <family val="3"/>
        <charset val="134"/>
        <scheme val="minor"/>
      </rPr>
      <t/>
    </r>
  </si>
  <si>
    <t>住宅</t>
    <phoneticPr fontId="143" type="noConversion"/>
  </si>
  <si>
    <t>住宅</t>
    <phoneticPr fontId="143" type="noConversion"/>
  </si>
  <si>
    <t>商业</t>
    <phoneticPr fontId="143" type="noConversion"/>
  </si>
  <si>
    <t>公共配套</t>
    <phoneticPr fontId="143" type="noConversion"/>
  </si>
  <si>
    <t>未注明</t>
    <phoneticPr fontId="143" type="noConversion"/>
  </si>
  <si>
    <r>
      <t>3#</t>
    </r>
    <r>
      <rPr>
        <sz val="11"/>
        <color theme="1"/>
        <rFont val="宋体"/>
        <family val="3"/>
        <charset val="134"/>
        <scheme val="minor"/>
      </rPr>
      <t/>
    </r>
  </si>
  <si>
    <r>
      <t>8</t>
    </r>
    <r>
      <rPr>
        <sz val="11"/>
        <color theme="1"/>
        <rFont val="宋体"/>
        <family val="3"/>
        <charset val="134"/>
        <scheme val="minor"/>
      </rPr>
      <t>/11</t>
    </r>
    <phoneticPr fontId="143" type="noConversion"/>
  </si>
  <si>
    <r>
      <t>3</t>
    </r>
    <r>
      <rPr>
        <sz val="11"/>
        <color theme="1"/>
        <rFont val="宋体"/>
        <family val="3"/>
        <charset val="134"/>
        <scheme val="minor"/>
      </rPr>
      <t>/4</t>
    </r>
    <phoneticPr fontId="143" type="noConversion"/>
  </si>
  <si>
    <r>
      <t>1</t>
    </r>
    <r>
      <rPr>
        <sz val="11"/>
        <color theme="1"/>
        <rFont val="宋体"/>
        <family val="3"/>
        <charset val="134"/>
        <scheme val="minor"/>
      </rPr>
      <t>1</t>
    </r>
    <phoneticPr fontId="143" type="noConversion"/>
  </si>
  <si>
    <t>2</t>
    <phoneticPr fontId="143" type="noConversion"/>
  </si>
  <si>
    <t>S1#</t>
    <phoneticPr fontId="143" type="noConversion"/>
  </si>
  <si>
    <t>S2#</t>
  </si>
  <si>
    <t>地下车库</t>
    <phoneticPr fontId="143" type="noConversion"/>
  </si>
  <si>
    <t>工程进度</t>
    <phoneticPr fontId="143" type="noConversion"/>
  </si>
  <si>
    <t>4层主体封顶完成</t>
    <phoneticPr fontId="143" type="noConversion"/>
  </si>
  <si>
    <t>地基处理强夯完成</t>
    <phoneticPr fontId="143" type="noConversion"/>
  </si>
  <si>
    <t>待强夯处理</t>
    <phoneticPr fontId="143" type="noConversion"/>
  </si>
  <si>
    <t>清槽完成</t>
    <phoneticPr fontId="143" type="noConversion"/>
  </si>
  <si>
    <t>土方开挖完成</t>
    <phoneticPr fontId="143" type="noConversion"/>
  </si>
  <si>
    <t>工程进度</t>
    <phoneticPr fontId="143" type="noConversion"/>
  </si>
  <si>
    <t>机房层墙柱钢筋绑扎完成</t>
    <phoneticPr fontId="143" type="noConversion"/>
  </si>
  <si>
    <t>8层顶板钢筋绑扎完成</t>
    <phoneticPr fontId="143" type="noConversion"/>
  </si>
  <si>
    <t>3层墙柱钢筋绑扎完成</t>
    <phoneticPr fontId="143" type="noConversion"/>
  </si>
  <si>
    <t>1层顶模板完成</t>
    <phoneticPr fontId="143" type="noConversion"/>
  </si>
  <si>
    <t>电梯基坑砖胎膜砌筑</t>
    <phoneticPr fontId="143" type="noConversion"/>
  </si>
  <si>
    <t>截桩完成80%</t>
    <phoneticPr fontId="143" type="noConversion"/>
  </si>
  <si>
    <t>桩基完成30%</t>
    <phoneticPr fontId="143" type="noConversion"/>
  </si>
  <si>
    <t>桩基完成20%</t>
    <phoneticPr fontId="143" type="noConversion"/>
  </si>
  <si>
    <t>是</t>
  </si>
  <si>
    <t>车库</t>
  </si>
  <si>
    <t>仓储</t>
  </si>
  <si>
    <t>住宅</t>
    <phoneticPr fontId="7" type="noConversion"/>
  </si>
  <si>
    <t>商业</t>
    <phoneticPr fontId="7" type="noConversion"/>
  </si>
  <si>
    <t>地下车库</t>
    <phoneticPr fontId="7" type="noConversion"/>
  </si>
  <si>
    <t>仓储</t>
    <phoneticPr fontId="7" type="noConversion"/>
  </si>
  <si>
    <t>省会市名称</t>
  </si>
  <si>
    <t>建筑型式</t>
  </si>
  <si>
    <t>说明</t>
  </si>
  <si>
    <t>多层</t>
  </si>
  <si>
    <t>小高层</t>
  </si>
  <si>
    <t>高层</t>
  </si>
  <si>
    <r>
      <rPr>
        <sz val="10"/>
        <rFont val="宋体"/>
        <family val="3"/>
        <charset val="134"/>
      </rPr>
      <t>济南</t>
    </r>
  </si>
  <si>
    <t>1823</t>
  </si>
  <si>
    <t>2257</t>
  </si>
  <si>
    <t>2646</t>
  </si>
  <si>
    <t>人工价格上涨。</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</si>
  <si>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</si>
  <si>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</si>
  <si>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</si>
  <si>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</si>
  <si>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</si>
  <si>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</si>
  <si>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</si>
  <si>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</si>
  <si>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</si>
  <si>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</si>
  <si>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</si>
  <si>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</si>
  <si>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</si>
  <si>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</si>
  <si>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南北康片区省道103线以西B-7-1地块</t>
  </si>
  <si>
    <t>济南市</t>
  </si>
  <si>
    <t>住宅用地</t>
  </si>
  <si>
    <t>1.5≤地上容积率≤2.6、地下容积率≤1.4</t>
  </si>
  <si>
    <t>挂牌</t>
  </si>
  <si>
    <t>2019-12-09</t>
  </si>
  <si>
    <t>济南中锦置业有限公司</t>
  </si>
  <si>
    <t>4星</t>
  </si>
  <si>
    <t>南北康片区省道103线以西地块A-1</t>
  </si>
  <si>
    <t>1.5≤地上容积率≤2.5、地下容积率≤1.4</t>
  </si>
  <si>
    <t>二环南路以北、阳光新路以东</t>
  </si>
  <si>
    <t>≥1.0,≤1.6</t>
  </si>
  <si>
    <t>2019-03-06</t>
  </si>
  <si>
    <t>泰安中南城市投资有限责任公司</t>
  </si>
  <si>
    <t>市中区二环南路以南</t>
  </si>
  <si>
    <t>＞1且≤1.4</t>
  </si>
  <si>
    <t>2018-12-27</t>
  </si>
  <si>
    <t>山东鲁能亘富开发有限公司</t>
  </si>
  <si>
    <t>3星</t>
  </si>
  <si>
    <t>经十一路棚改项目安置区A-4</t>
  </si>
  <si>
    <t>综合用地(含住宅)</t>
  </si>
  <si>
    <t>≥2.8且≤3.41</t>
  </si>
  <si>
    <t>2018-09-12</t>
  </si>
  <si>
    <t>济南旧城开发投资集团有限公司</t>
  </si>
  <si>
    <t>经十一路棚改项目安置区A-3</t>
  </si>
  <si>
    <t>≥2.8且≤3.46</t>
  </si>
  <si>
    <t>经十一路棚改项目安置区D-1</t>
  </si>
  <si>
    <t>≥2.2且≤3.27</t>
  </si>
  <si>
    <t>兴隆片区F-7地块</t>
  </si>
  <si>
    <t>＞1且≤1.6</t>
  </si>
  <si>
    <t>2018-02-26</t>
  </si>
  <si>
    <t>华润置地(山东)发展有限公司</t>
  </si>
  <si>
    <t>兴隆片区F-6A地块</t>
  </si>
  <si>
    <t>兴隆片区F-6B地块</t>
  </si>
  <si>
    <t>兴隆片区F-5A地块</t>
  </si>
  <si>
    <t>兴隆片区F-3A地块</t>
  </si>
  <si>
    <t>省级棚改项目市中区机床一厂安置地块</t>
  </si>
  <si>
    <t>≥2.2且≤3.1</t>
  </si>
  <si>
    <t>2017-12-01</t>
  </si>
  <si>
    <t>济南中博置业有限公司</t>
  </si>
  <si>
    <t>市中区南北康片区省道103线西侧B-11地块</t>
  </si>
  <si>
    <t>≥2.8且≤3.5</t>
  </si>
  <si>
    <t>北京尚尊投资有限责任公司,济南市中控股集团有限公司</t>
  </si>
  <si>
    <t>市中区南北康片区省道103线西侧B-9地块</t>
  </si>
  <si>
    <t>≥2.8且≤3.3</t>
  </si>
  <si>
    <t>市中区魏家村城中村改造项目</t>
  </si>
  <si>
    <t>2.2≤地上≤2.7,地下≤1.0</t>
  </si>
  <si>
    <t>2017-03-08</t>
  </si>
  <si>
    <t>市中区小岭村城中村改造项目</t>
  </si>
  <si>
    <t>1.6≤地上≤1.95,地下≤1.05</t>
  </si>
  <si>
    <t>2星</t>
  </si>
  <si>
    <t>市中区山凹居城中村改造项目</t>
  </si>
  <si>
    <t>2.8≤地上≤3.53,地下≤1.2</t>
  </si>
  <si>
    <t>市中区搬倒井村城中村改造项目</t>
  </si>
  <si>
    <t>2.2≤地上≤2.55,地下≤1.01</t>
  </si>
  <si>
    <t>省道103线西侧南北康片区B-13地块</t>
  </si>
  <si>
    <t>2.8≤地上≤3.5,地下≤1.6</t>
  </si>
  <si>
    <t>2016-11-01</t>
  </si>
  <si>
    <t>绿地集团济南西河置业有限公司</t>
  </si>
  <si>
    <t>省道103线西侧南北康片区B-5-2地块</t>
  </si>
  <si>
    <t>1.6≤地上≤2.47,地下≤1.1</t>
  </si>
  <si>
    <t>省道103线西侧南北康片区B-10地块</t>
  </si>
  <si>
    <t>2.8≤地上≤3.4,地下≤1.5</t>
  </si>
  <si>
    <t>省道103线西侧南北康片区B-12地块</t>
  </si>
  <si>
    <t>省道103线西侧南北康片区A-2地块</t>
  </si>
  <si>
    <t>市中区文庄片区项目B-8-2地块</t>
  </si>
  <si>
    <t>2.2≤地上≤3.3,地下≤1.4</t>
  </si>
  <si>
    <t>2016-10-31</t>
  </si>
  <si>
    <t>济南泉景文卓置业有限公司</t>
  </si>
  <si>
    <t>市中区文庄片区项目B-2地块</t>
  </si>
  <si>
    <t>2.8≤地上≤3.3,地下≤1.5</t>
  </si>
  <si>
    <t>市中区经四纬一城市更新项目</t>
  </si>
  <si>
    <t>2.2≤地上≤3.0,地下≤1.4</t>
  </si>
  <si>
    <t>2016-10-17</t>
  </si>
  <si>
    <t>济南弘成置业有限公司</t>
  </si>
  <si>
    <t>市中区八一立交桥西南角,四里村城市更新项目B地块</t>
  </si>
  <si>
    <t>2.8≤地上≤4.0,地下≤2.0</t>
  </si>
  <si>
    <t>济南万科房地产开发有限公司</t>
  </si>
  <si>
    <t>南北康片区B-2地块</t>
  </si>
  <si>
    <t>2015-12-28</t>
  </si>
  <si>
    <t>济南市中控股有限公司</t>
  </si>
  <si>
    <t>兴隆片区F1-A地块</t>
  </si>
  <si>
    <t>1.6≤地上≤3.1,地下≤0.8</t>
  </si>
  <si>
    <t>兴隆片区N1-A地块</t>
  </si>
  <si>
    <t>2.2≤地上≤2.6,地下≤1.0</t>
  </si>
  <si>
    <t>南北康片区A-9地块</t>
  </si>
  <si>
    <t>市中区104国道东南侧,马武寨山西侧</t>
  </si>
  <si>
    <t>2.2≤地上≤3.2,地下≤1.5</t>
  </si>
  <si>
    <t>2015-09-28</t>
  </si>
  <si>
    <t>市中区二环南路以南,103省道以东</t>
  </si>
  <si>
    <t>1.0＜地上≤1.166,地下≤0.39</t>
  </si>
  <si>
    <t>2015-09-17</t>
  </si>
  <si>
    <t>市中区旅游路延长线北侧,金鸡岭热源厂东侧</t>
  </si>
  <si>
    <t>2.6≤总容积率≤3.2,其中:1.6＜地上≤2.2.、地下≤1.0</t>
  </si>
  <si>
    <t>2015-04-27</t>
  </si>
  <si>
    <t>济南四建集团房地产开发有限责任公司</t>
  </si>
  <si>
    <t>阳光新路西侧双龙A-1地块、A-2地块</t>
  </si>
  <si>
    <t>a-1地块:3.5-4.1,a-2地块:5.3-7.3</t>
  </si>
  <si>
    <t>2015-03-16</t>
  </si>
  <si>
    <t>济南绿地泉景地产股份有限公司</t>
  </si>
  <si>
    <t>3.6≤总容积率≤4.4;其中:2.2≤地上≤3.0,地下≤1.4</t>
  </si>
  <si>
    <t>2015-02-09</t>
  </si>
  <si>
    <t>1.8≤总容积率≤2.4;其中:1＜地上≤1.6,地下≤0.8</t>
  </si>
  <si>
    <t>3.4≤总容积率≤3.8;其中:2.2≤地上≤2.6,地下≤1.2</t>
  </si>
  <si>
    <t>2.5≤总容积率≤2.9;其中:1.6≤地上≤2.0,地下≤0.9</t>
  </si>
  <si>
    <t>市中区二环南路北侧,前龙窝庄以南</t>
  </si>
  <si>
    <t>3.6≤总容积率≤4.4,其中:2.2≤地上≤3.0、地下≤1.4</t>
  </si>
  <si>
    <t>2015-01-14</t>
  </si>
  <si>
    <t>济南红树林置业有限公司*济南嘉隆置业有限公司</t>
  </si>
  <si>
    <t>市中区兴隆片区二环南路南侧F-4地块</t>
  </si>
  <si>
    <t>1.8≤总容积率≤2.6,其中:1.0≤地上≤1.8,地下≤0.8</t>
  </si>
  <si>
    <t>2015-01-06</t>
  </si>
  <si>
    <t>市中区兴隆片区二环南路北侧B-2地块</t>
  </si>
  <si>
    <t>1.1≤总容积率≤1.2,其中:0.7≤地上≤0.8、地下≤0.4</t>
  </si>
  <si>
    <t>市中区兴隆片区二环南路南侧F-2地块</t>
  </si>
  <si>
    <t>1.8≤总容积率≤2.4,其中:1.0≤地上≤1.6、地下≤0.8</t>
  </si>
  <si>
    <t>南北康片区A-3</t>
  </si>
  <si>
    <t>2.5≤总容积率≤2.9,其中:1.6≤地上≤2.0,地下≤0.9</t>
  </si>
  <si>
    <t>2014-11-26</t>
  </si>
  <si>
    <t>上海立天唐人投资集团有限公司、上海宏轩投资有限公司</t>
  </si>
  <si>
    <t>南北康片区A-4</t>
  </si>
  <si>
    <t>南北康片区A-5</t>
  </si>
  <si>
    <t>2.6≤总容积率≤3.3,其中:1.6≤地上≤2.3,地下≤1.0</t>
  </si>
  <si>
    <t>成本法</t>
  </si>
  <si>
    <t>假设开发法</t>
  </si>
  <si>
    <t>成本比率</t>
  </si>
  <si>
    <t>合计</t>
    <phoneticPr fontId="143" type="noConversion"/>
  </si>
  <si>
    <t>A</t>
    <phoneticPr fontId="143" type="noConversion"/>
  </si>
  <si>
    <t>C</t>
    <phoneticPr fontId="143" type="noConversion"/>
  </si>
  <si>
    <t>D</t>
    <phoneticPr fontId="143" type="noConversion"/>
  </si>
  <si>
    <t>E</t>
    <phoneticPr fontId="143" type="noConversion"/>
  </si>
  <si>
    <t>方信</t>
    <phoneticPr fontId="143" type="noConversion"/>
  </si>
  <si>
    <t>H</t>
    <phoneticPr fontId="143" type="noConversion"/>
  </si>
  <si>
    <t>普通住宅</t>
  </si>
  <si>
    <t>高层（毛坯）</t>
    <phoneticPr fontId="143" type="noConversion"/>
  </si>
  <si>
    <t>非普通住宅</t>
  </si>
  <si>
    <t>业态2</t>
  </si>
  <si>
    <t>业态3</t>
  </si>
  <si>
    <t>非住宅</t>
  </si>
  <si>
    <t>政府回购</t>
    <phoneticPr fontId="143" type="noConversion"/>
  </si>
  <si>
    <t>储藏室</t>
    <phoneticPr fontId="143" type="noConversion"/>
  </si>
  <si>
    <t>产权车位</t>
    <phoneticPr fontId="143" type="noConversion"/>
  </si>
  <si>
    <t>非产权车位</t>
    <phoneticPr fontId="143" type="noConversion"/>
  </si>
  <si>
    <t>正常</t>
  </si>
  <si>
    <t>济南中博置业有限公司</t>
    <phoneticPr fontId="143" type="noConversion"/>
  </si>
  <si>
    <t>楼面地价</t>
  </si>
  <si>
    <t>住宅高层</t>
    <phoneticPr fontId="18" type="noConversion"/>
  </si>
  <si>
    <t>小高层</t>
    <phoneticPr fontId="18" type="noConversion"/>
  </si>
  <si>
    <t>洋房</t>
    <phoneticPr fontId="18" type="noConversion"/>
  </si>
  <si>
    <t>高层毛坯</t>
    <phoneticPr fontId="1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</si>
</sst>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 numFmtId="198" formatCode="[$-409]mmm/yy;@"/>
    <numFmt numFmtId="199" formatCode="_ * #,##0_ ;_ * \-#,##0_ ;_ * &quot;-&quot;??_ ;_ @_ "/>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幼圆"/>
      <family val="3"/>
      <charset val="134"/>
    </font>
    <font>
      <b/>
      <sz val="10"/>
      <color theme="1"/>
      <name val="幼圆"/>
      <family val="3"/>
      <charset val="134"/>
    </font>
    <font>
      <sz val="10"/>
      <color theme="1"/>
      <name val="幼圆"/>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6"/>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198" fontId="37" fillId="0" borderId="0"/>
    <xf numFmtId="43" fontId="99" fillId="0" borderId="0" applyFont="0" applyFill="0" applyBorder="0" applyAlignment="0" applyProtection="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0" fillId="0" borderId="0" xfId="0" applyAlignment="1">
      <alignment horizontal="left" vertical="center"/>
    </xf>
    <xf numFmtId="0" fontId="99" fillId="0" borderId="0" xfId="0" applyFont="1" applyAlignment="1">
      <alignment horizontal="left" vertical="center"/>
    </xf>
    <xf numFmtId="0" fontId="99" fillId="0" borderId="0" xfId="0" applyFont="1" applyAlignment="1">
      <alignment horizontal="right" vertical="center"/>
    </xf>
    <xf numFmtId="0" fontId="0" fillId="0" borderId="0" xfId="0" applyAlignment="1">
      <alignment horizontal="right" vertical="center"/>
    </xf>
    <xf numFmtId="49" fontId="99" fillId="0" borderId="0" xfId="0" applyNumberFormat="1" applyFont="1" applyAlignment="1">
      <alignment horizontal="left" vertical="center"/>
    </xf>
    <xf numFmtId="49" fontId="0" fillId="0" borderId="0" xfId="0" applyNumberFormat="1">
      <alignment vertical="center"/>
    </xf>
    <xf numFmtId="49" fontId="99" fillId="0" borderId="0" xfId="0" applyNumberFormat="1" applyFont="1">
      <alignment vertical="center"/>
    </xf>
    <xf numFmtId="0" fontId="99" fillId="17" borderId="0" xfId="0" applyFont="1" applyFill="1" applyAlignment="1">
      <alignment horizontal="left" vertical="center"/>
    </xf>
    <xf numFmtId="0" fontId="0" fillId="17" borderId="0" xfId="0" applyFill="1" applyAlignment="1">
      <alignment horizontal="right" vertical="center"/>
    </xf>
    <xf numFmtId="0" fontId="0" fillId="17" borderId="0" xfId="0" applyFill="1" applyAlignment="1">
      <alignment horizontal="left" vertical="center"/>
    </xf>
    <xf numFmtId="0" fontId="99" fillId="17" borderId="0" xfId="0" applyFont="1" applyFill="1" applyAlignment="1">
      <alignment horizontal="right" vertical="center"/>
    </xf>
    <xf numFmtId="0" fontId="99" fillId="17" borderId="0" xfId="0" applyFont="1" applyFill="1">
      <alignment vertical="center"/>
    </xf>
    <xf numFmtId="49" fontId="99" fillId="17" borderId="0" xfId="0" applyNumberFormat="1" applyFont="1" applyFill="1">
      <alignment vertical="center"/>
    </xf>
    <xf numFmtId="0" fontId="0" fillId="17" borderId="0" xfId="0" applyFill="1">
      <alignment vertical="center"/>
    </xf>
    <xf numFmtId="0" fontId="0" fillId="0" borderId="0" xfId="0" applyFont="1" applyAlignment="1">
      <alignment horizontal="lef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3" fillId="0" borderId="1" xfId="0" applyFont="1" applyFill="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80" fillId="0" borderId="1" xfId="0" applyFont="1" applyFill="1" applyBorder="1" applyAlignment="1" applyProtection="1">
      <alignment vertical="center" wrapText="1"/>
      <protection locked="0"/>
    </xf>
    <xf numFmtId="0" fontId="56" fillId="0" borderId="0" xfId="17"/>
    <xf numFmtId="10" fontId="50" fillId="6" borderId="0" xfId="0" applyNumberFormat="1" applyFont="1" applyFill="1" applyAlignment="1" applyProtection="1">
      <alignment vertical="center"/>
      <protection locked="0"/>
    </xf>
    <xf numFmtId="179" fontId="47" fillId="0" borderId="1" xfId="0" applyNumberFormat="1" applyFont="1" applyBorder="1" applyAlignment="1" applyProtection="1">
      <alignment horizontal="center" vertical="center" wrapText="1"/>
      <protection locked="0"/>
    </xf>
    <xf numFmtId="0" fontId="0" fillId="0" borderId="1" xfId="0" applyBorder="1" applyAlignment="1"/>
    <xf numFmtId="197" fontId="0" fillId="0" borderId="1" xfId="0" applyNumberFormat="1" applyBorder="1" applyAlignment="1"/>
    <xf numFmtId="0" fontId="255" fillId="0" borderId="1" xfId="0" applyFont="1" applyBorder="1" applyAlignment="1">
      <alignment vertical="center"/>
    </xf>
    <xf numFmtId="43" fontId="0" fillId="0" borderId="1" xfId="0" applyNumberFormat="1" applyBorder="1" applyAlignment="1"/>
    <xf numFmtId="0" fontId="255" fillId="6" borderId="1" xfId="0" applyFont="1" applyFill="1" applyBorder="1" applyAlignment="1">
      <alignment vertical="center"/>
    </xf>
    <xf numFmtId="197" fontId="0" fillId="0" borderId="1" xfId="0" applyNumberFormat="1" applyFill="1" applyBorder="1" applyAlignment="1"/>
    <xf numFmtId="199" fontId="0" fillId="0" borderId="1" xfId="0" applyNumberFormat="1" applyBorder="1" applyAlignment="1"/>
    <xf numFmtId="199" fontId="256" fillId="0" borderId="1" xfId="19" applyNumberFormat="1" applyFont="1" applyBorder="1" applyAlignment="1">
      <alignment horizontal="right" vertical="center"/>
    </xf>
    <xf numFmtId="199" fontId="256" fillId="6" borderId="1" xfId="19" applyNumberFormat="1" applyFont="1" applyFill="1" applyBorder="1" applyAlignment="1">
      <alignment horizontal="right" vertical="center"/>
    </xf>
    <xf numFmtId="0" fontId="56" fillId="7" borderId="0" xfId="17" applyFill="1"/>
    <xf numFmtId="0" fontId="56" fillId="18" borderId="0" xfId="17" applyFill="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198" fontId="254" fillId="0" borderId="1" xfId="18" applyNumberFormat="1" applyFont="1" applyBorder="1" applyAlignment="1">
      <alignment horizontal="center" vertical="center"/>
    </xf>
    <xf numFmtId="0" fontId="99" fillId="0" borderId="0" xfId="0" applyFont="1" applyAlignment="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wrapText="1"/>
      <protection locked="0"/>
    </xf>
    <xf numFmtId="0" fontId="83" fillId="0" borderId="1" xfId="0" applyFont="1" applyFill="1" applyBorder="1" applyAlignment="1" applyProtection="1">
      <alignment vertical="center" wrapText="1"/>
      <protection locked="0"/>
    </xf>
    <xf numFmtId="0" fontId="19"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0" borderId="0" xfId="17" applyFont="1"/>
    <xf numFmtId="0" fontId="56" fillId="5" borderId="0" xfId="17" applyFill="1"/>
    <xf numFmtId="0" fontId="80" fillId="7" borderId="0" xfId="0" applyFont="1" applyFill="1" applyAlignment="1" applyProtection="1">
      <alignment vertical="center"/>
      <protection locked="0"/>
    </xf>
    <xf numFmtId="43" fontId="0" fillId="0" borderId="0" xfId="0" applyNumberFormat="1" applyAlignment="1">
      <alignment horizontal="right" vertical="center"/>
    </xf>
    <xf numFmtId="43" fontId="50" fillId="7" borderId="0" xfId="0" applyNumberFormat="1" applyFont="1" applyFill="1" applyAlignment="1" applyProtection="1">
      <alignment vertical="center"/>
      <protection locked="0"/>
    </xf>
  </cellXfs>
  <cellStyles count="20">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XHYH土地增值测算090401" xfId="18"/>
    <cellStyle name="千位分隔 2 8" xfId="19"/>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22860</xdr:rowOff>
    </xdr:from>
    <xdr:to>
      <xdr:col>5</xdr:col>
      <xdr:colOff>175260</xdr:colOff>
      <xdr:row>97</xdr:row>
      <xdr:rowOff>156210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43060"/>
          <a:ext cx="6339840" cy="7174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986790</xdr:colOff>
      <xdr:row>54</xdr:row>
      <xdr:rowOff>78105</xdr:rowOff>
    </xdr:from>
    <xdr:to>
      <xdr:col>10</xdr:col>
      <xdr:colOff>868680</xdr:colOff>
      <xdr:row>94</xdr:row>
      <xdr:rowOff>135255</xdr:rowOff>
    </xdr:to>
    <xdr:pic>
      <xdr:nvPicPr>
        <xdr:cNvPr id="3"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51370" y="9130665"/>
          <a:ext cx="5718810" cy="676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96</xdr:row>
      <xdr:rowOff>0</xdr:rowOff>
    </xdr:from>
    <xdr:to>
      <xdr:col>9</xdr:col>
      <xdr:colOff>129994</xdr:colOff>
      <xdr:row>127</xdr:row>
      <xdr:rowOff>30933</xdr:rowOff>
    </xdr:to>
    <xdr:pic>
      <xdr:nvPicPr>
        <xdr:cNvPr id="4" name="图片 3"/>
        <xdr:cNvPicPr>
          <a:picLocks noChangeAspect="1"/>
        </xdr:cNvPicPr>
      </xdr:nvPicPr>
      <xdr:blipFill>
        <a:blip xmlns:r="http://schemas.openxmlformats.org/officeDocument/2006/relationships" r:embed="rId3"/>
        <a:stretch>
          <a:fillRect/>
        </a:stretch>
      </xdr:blipFill>
      <xdr:spPr>
        <a:xfrm>
          <a:off x="6164580" y="16093440"/>
          <a:ext cx="5235394" cy="52277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btrust/Documents/WeChat%20Files/tanxiaojing/FileStorage/File/2020-03/&#27982;&#21335;&#39567;&#33538;2019&#24180;12&#26376;&#30408;&#21033;&#27979;&#31639;&#22871;&#34920;-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12;&#24314;&#65288;&#27982;&#21335;&#26041;&#20449;&#22320;&#22359;&#65289;(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2303;&#22320;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报送注意事项"/>
      <sheetName val="测算对比分析表"/>
      <sheetName val="强投名单-济南公司"/>
      <sheetName val="募集公告书"/>
      <sheetName val="勾稽及税政"/>
      <sheetName val="项目开发节点（运营）"/>
      <sheetName val="D地块对比"/>
      <sheetName val="E地块对比"/>
      <sheetName val="指标汇总对比"/>
      <sheetName val="主表1 项目盈利测算（合并清算）"/>
      <sheetName val="D地块对比分析表"/>
      <sheetName val="测算总表"/>
      <sheetName val="回款率"/>
      <sheetName val="附表2 投资测算详表"/>
      <sheetName val="附表3 现金流量简表"/>
      <sheetName val="附表4 销售简表"/>
      <sheetName val="附表5 税费估算"/>
      <sheetName val="主表1 项目盈利测算表（分地块汇总）"/>
      <sheetName val="附表1 基础信息表"/>
      <sheetName val="A地块"/>
      <sheetName val="C地块"/>
      <sheetName val="差异对比"/>
      <sheetName val="价格推售节奏"/>
      <sheetName val="D地块"/>
      <sheetName val="E地块"/>
      <sheetName val="方信地块"/>
      <sheetName val="H地块"/>
      <sheetName val="主表2 IRR测算表"/>
      <sheetName val="附表2-1 回款、营销费用、管理费用（营销）"/>
      <sheetName val="附表2 货值信息表"/>
      <sheetName val="附表2.1  未售均价测算表"/>
      <sheetName val="附表2-5 成本概算书（成本）"/>
      <sheetName val="附表2-2 融资计划"/>
      <sheetName val="附表2-3 土地及工程款支出（成本）"/>
      <sheetName val="附表2-4 税金支出"/>
      <sheetName val="土地成本分摊表"/>
      <sheetName val="车位个数"/>
      <sheetName val="附表5 税收事项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2">
          <cell r="A12" t="str">
            <v>高层</v>
          </cell>
        </row>
        <row r="14">
          <cell r="A14" t="str">
            <v>小高</v>
          </cell>
        </row>
        <row r="16">
          <cell r="A16" t="str">
            <v>洋房</v>
          </cell>
        </row>
        <row r="17">
          <cell r="A17" t="str">
            <v>叠拼</v>
          </cell>
        </row>
        <row r="20">
          <cell r="A20" t="str">
            <v>LOFT公寓</v>
          </cell>
        </row>
        <row r="21">
          <cell r="A21" t="str">
            <v>SOHO平层公寓</v>
          </cell>
        </row>
        <row r="22">
          <cell r="A22" t="str">
            <v>商业</v>
          </cell>
        </row>
        <row r="23">
          <cell r="A23" t="str">
            <v>工厂改造</v>
          </cell>
        </row>
        <row r="24">
          <cell r="A24" t="str">
            <v>三馆建设</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方信地块"/>
      <sheetName val="数据-汇总表"/>
      <sheetName val="数据-取费表"/>
      <sheetName val="估价对象房地状况"/>
      <sheetName val="系统读取表"/>
      <sheetName val="结果表"/>
      <sheetName val="成本法"/>
      <sheetName val="成本法 (元)"/>
      <sheetName val="土地比较法-住宅、综合"/>
      <sheetName val="Sheet0"/>
      <sheetName val="假设开发法"/>
      <sheetName val="D地块"/>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50721.850000000006</v>
          </cell>
          <cell r="C14">
            <v>26682</v>
          </cell>
          <cell r="D14">
            <v>49013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C地块"/>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住宅"/>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65653.200000000012</v>
          </cell>
          <cell r="C14">
            <v>18237</v>
          </cell>
          <cell r="D14">
            <v>45756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A地块"/>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商业"/>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98971.25</v>
          </cell>
          <cell r="C14">
            <v>15399.35</v>
          </cell>
          <cell r="D14">
            <v>33879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E地块"/>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商业"/>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111612.00000000001</v>
          </cell>
          <cell r="C14">
            <v>28504</v>
          </cell>
          <cell r="D14">
            <v>37895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H地块"/>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商业"/>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22353.35</v>
          </cell>
          <cell r="C14">
            <v>19629</v>
          </cell>
          <cell r="D14">
            <v>8306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1214</v>
      </c>
      <c r="B1" s="1585" t="s">
        <v>1293</v>
      </c>
    </row>
    <row r="2" spans="1:2" s="1590" customFormat="1" ht="16.2" thickTop="1">
      <c r="A2" s="1588" t="s">
        <v>1215</v>
      </c>
      <c r="B2" s="1589" t="str">
        <f>'预评函-封皮'!B37:I37</f>
        <v>出让国有建设用地使用权及在建建筑物预评估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6.2" thickBot="1">
      <c r="A5" s="1594" t="s">
        <v>1218</v>
      </c>
      <c r="B5" s="1595" t="str">
        <f>'预评函-封皮'!B49</f>
        <v>康正预评字号</v>
      </c>
    </row>
    <row r="6" spans="1:2" s="1590" customFormat="1" ht="16.2" thickTop="1">
      <c r="A6" s="1588" t="s">
        <v>1219</v>
      </c>
      <c r="B6" s="1589" t="str">
        <f>'预评函-1'!A4</f>
        <v>受贵公司委托，我公司对出让国有建设用地使用权及在建建筑物房地产抵押价值进行了预评估。</v>
      </c>
    </row>
    <row r="7" spans="1:2" s="1593" customFormat="1">
      <c r="A7" s="1591" t="s">
        <v>1259</v>
      </c>
      <c r="B7" s="1592" t="str">
        <f>'预评函-1'!A7</f>
        <v>估价对象为出让国有建设用地使用权及在建建筑物房地产，为所有。根据《国有土地使用证》[]，估价对象（分摊）出让国有建设用地使用权面积为72927平方米，建筑面积为176567.07平方米。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出让国有建设用地使用权及在建建筑物房地产,属开发建设的，该项目尚在开发建设中。根据《国有土地使用证》[]，估价对象（分摊）出让国有建设用地使用权面积为72927平方米，规划建筑面积为176567.07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2020年4月2日（评估专业人员实地查勘之日）</v>
      </c>
    </row>
    <row r="13" spans="1:2" s="1593" customFormat="1">
      <c r="A13" s="1591" t="s">
        <v>1222</v>
      </c>
      <c r="B13" s="1592" t="str">
        <f>'预评函-1'!A18</f>
        <v>本次估价的“房地产价值”是指在正常市场情况下，在价值时点2020年4月2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1227</v>
      </c>
      <c r="B18" s="1595" t="str">
        <f>'预评函-1'!A24</f>
        <v>本次评估采用的主估价方法为成本法和假设开发法。</v>
      </c>
    </row>
    <row r="19" spans="1:2" s="1590" customFormat="1" ht="16.2"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170543</v>
      </c>
    </row>
    <row r="21" spans="1:2" s="1593" customFormat="1">
      <c r="A21" s="1591" t="s">
        <v>1230</v>
      </c>
      <c r="B21" s="1592">
        <f ca="1">'预评函-2'!D7</f>
        <v>9659</v>
      </c>
    </row>
    <row r="22" spans="1:2" s="1593" customFormat="1">
      <c r="A22" s="1591" t="s">
        <v>1231</v>
      </c>
      <c r="B22" s="1592" t="str">
        <f ca="1">'预评函-2'!D6</f>
        <v>壹拾柒亿零伍佰肆拾叁万元整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170543</v>
      </c>
    </row>
    <row r="31" spans="1:2" s="1593" customFormat="1">
      <c r="A31" s="1591" t="s">
        <v>1269</v>
      </c>
      <c r="B31" s="1592">
        <f ca="1">'预评函-2'!D15</f>
        <v>9659</v>
      </c>
    </row>
    <row r="32" spans="1:2" s="1593" customFormat="1">
      <c r="A32" s="1591" t="s">
        <v>1236</v>
      </c>
      <c r="B32" s="1592" t="str">
        <f ca="1">'预评函-2'!D14</f>
        <v>壹拾柒亿零伍佰肆拾叁万元整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出让国有建设用地使用权及在建建筑物房地产</v>
      </c>
    </row>
    <row r="42" spans="1:2" s="1593" customFormat="1" ht="31.2">
      <c r="A42" s="1591" t="s">
        <v>1283</v>
      </c>
      <c r="B42" s="1592" t="str">
        <f>'预评函-3'!B2</f>
        <v>建筑面积</v>
      </c>
    </row>
    <row r="43" spans="1:2" s="1593" customFormat="1">
      <c r="A43" s="1591" t="s">
        <v>1284</v>
      </c>
      <c r="B43" s="1592">
        <f>'预评函-3'!B4</f>
        <v>176567.06999999998</v>
      </c>
    </row>
    <row r="44" spans="1:2" s="1593" customFormat="1" ht="31.2">
      <c r="A44" s="1591" t="s">
        <v>1268</v>
      </c>
      <c r="B44" s="1592" t="str">
        <f>'预评函-3'!C2</f>
        <v>(分摊)土地面积</v>
      </c>
    </row>
    <row r="45" spans="1:2" s="1593" customFormat="1">
      <c r="A45" s="1591" t="s">
        <v>1240</v>
      </c>
      <c r="B45" s="1592">
        <f>'预评函-3'!C4</f>
        <v>72927</v>
      </c>
    </row>
    <row r="46" spans="1:2" s="1593" customFormat="1">
      <c r="A46" s="1591" t="s">
        <v>1266</v>
      </c>
      <c r="B46" s="1592" t="str">
        <f>'预评函-3'!D2</f>
        <v>出让国有建设用地使用权价值</v>
      </c>
    </row>
    <row r="47" spans="1:2" s="1593" customFormat="1">
      <c r="A47" s="1591" t="s">
        <v>1241</v>
      </c>
      <c r="B47" s="1592">
        <f ca="1">'预评函-3'!D4</f>
        <v>167303</v>
      </c>
    </row>
    <row r="48" spans="1:2" s="1593" customFormat="1">
      <c r="A48" s="1591" t="s">
        <v>1242</v>
      </c>
      <c r="B48" s="1592">
        <f ca="1">'预评函-3'!E4</f>
        <v>9476</v>
      </c>
    </row>
    <row r="49" spans="1:2" s="1593" customFormat="1">
      <c r="A49" s="1591" t="s">
        <v>1243</v>
      </c>
      <c r="B49" s="1592" t="str">
        <f ca="1">'预评函-3'!D5</f>
        <v>壹拾陆亿柒仟叁佰零叁万元整</v>
      </c>
    </row>
    <row r="50" spans="1:2" s="1593" customFormat="1">
      <c r="A50" s="1591" t="s">
        <v>1267</v>
      </c>
      <c r="B50" s="1592" t="str">
        <f>'预评函-3'!F2</f>
        <v>在建建筑物价值</v>
      </c>
    </row>
    <row r="51" spans="1:2" s="1593" customFormat="1">
      <c r="A51" s="1591" t="s">
        <v>1244</v>
      </c>
      <c r="B51" s="1592">
        <f ca="1">'预评函-3'!F4</f>
        <v>3240</v>
      </c>
    </row>
    <row r="52" spans="1:2" s="1593" customFormat="1">
      <c r="A52" s="1591" t="s">
        <v>1245</v>
      </c>
      <c r="B52" s="1592">
        <f ca="1">'预评函-3'!G4</f>
        <v>183</v>
      </c>
    </row>
    <row r="53" spans="1:2" s="1593" customFormat="1">
      <c r="A53" s="1591" t="s">
        <v>1273</v>
      </c>
      <c r="B53" s="1592" t="str">
        <f ca="1">'预评函-3'!F5</f>
        <v>叁仟贰佰肆拾万元整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6.2" thickBot="1">
      <c r="A57" s="1594" t="s">
        <v>1292</v>
      </c>
      <c r="B57" s="1595" t="str">
        <f>'预评函-3'!A6</f>
        <v>估价师知悉的法定优先受偿款</v>
      </c>
    </row>
    <row r="58" spans="1:2" s="1590" customFormat="1" ht="16.2"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6.2" thickBot="1">
      <c r="A69" s="1594" t="s">
        <v>1254</v>
      </c>
      <c r="B69" s="1596">
        <f>'预评函-4'!C31</f>
        <v>42551</v>
      </c>
    </row>
    <row r="70" spans="1:2" ht="16.2" thickTop="1">
      <c r="A70" s="1597" t="s">
        <v>1255</v>
      </c>
      <c r="B70" s="1598">
        <f>'预评函-4'!A4</f>
        <v>0</v>
      </c>
    </row>
    <row r="71" spans="1:2">
      <c r="A71" s="1591" t="s">
        <v>1256</v>
      </c>
      <c r="B71" s="1592">
        <f>'预评函-4'!B4</f>
        <v>0</v>
      </c>
    </row>
    <row r="72" spans="1:2">
      <c r="A72" s="1591" t="s">
        <v>1257</v>
      </c>
      <c r="B72" s="1600">
        <f>'预评函-4'!A5</f>
        <v>0</v>
      </c>
    </row>
    <row r="73" spans="1:2" s="1587" customFormat="1" ht="16.2" thickBot="1">
      <c r="A73" s="1594" t="s">
        <v>1258</v>
      </c>
      <c r="B73" s="1595">
        <f>'预评函-4'!B5</f>
        <v>0</v>
      </c>
    </row>
    <row r="74" spans="1:2" ht="16.2"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32"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21" t="s">
        <v>860</v>
      </c>
      <c r="C54" s="2018" t="s">
        <v>1276</v>
      </c>
    </row>
    <row r="55" spans="1:4">
      <c r="A55" s="3032"/>
      <c r="B55" s="2021" t="s">
        <v>861</v>
      </c>
      <c r="C55" s="2018" t="s">
        <v>1277</v>
      </c>
    </row>
    <row r="56" spans="1:4">
      <c r="A56" s="3032"/>
      <c r="B56" s="2021" t="s">
        <v>862</v>
      </c>
      <c r="C56" s="2018" t="s">
        <v>1281</v>
      </c>
    </row>
    <row r="57" spans="1:4">
      <c r="A57" s="3032"/>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6" sqref="F6"/>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41" t="str">
        <f>IF(B10="北京市","北京市",C10)&amp;F10&amp;IF(结果表!G1="在建","出让国有建设用地使用权及在建建筑物",IF(结果表!G1="土地","出让国有建设用地使用权",))&amp;B9&amp;"预评估"</f>
        <v>出让国有建设用地使用权及在建建筑物预评估</v>
      </c>
      <c r="C1" s="3042"/>
      <c r="D1" s="3042"/>
      <c r="E1" s="3042"/>
      <c r="F1" s="3042"/>
      <c r="G1" s="3042"/>
      <c r="H1" s="3042"/>
      <c r="I1" s="304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4" t="s">
        <v>1772</v>
      </c>
      <c r="B3" s="2035">
        <v>43923</v>
      </c>
      <c r="C3" s="2036" t="s">
        <v>1773</v>
      </c>
      <c r="D3" s="2035">
        <v>43923</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c r="C8" s="2055"/>
      <c r="D8" s="3044" t="s">
        <v>1779</v>
      </c>
      <c r="E8" s="2056"/>
      <c r="F8" s="2057"/>
      <c r="G8" s="2025"/>
      <c r="H8" s="2025"/>
      <c r="I8" s="2025"/>
      <c r="J8" s="2041"/>
      <c r="K8" s="2042"/>
      <c r="L8" s="2027"/>
      <c r="M8" s="2027"/>
      <c r="N8" s="2028"/>
      <c r="O8" s="2029"/>
      <c r="P8" s="2028"/>
      <c r="Q8" s="2028"/>
      <c r="R8" s="2028"/>
    </row>
    <row r="9" spans="1:19" ht="18" customHeight="1" thickBot="1">
      <c r="A9" s="2039" t="s">
        <v>1780</v>
      </c>
      <c r="B9" s="2058"/>
      <c r="C9" s="2059"/>
      <c r="D9" s="3045"/>
      <c r="E9" s="2058"/>
      <c r="F9" s="2060"/>
      <c r="G9" s="2061"/>
      <c r="H9" s="2061"/>
      <c r="I9" s="2061"/>
      <c r="J9" s="2041"/>
      <c r="K9" s="2053"/>
      <c r="L9" s="2027"/>
      <c r="M9" s="2027"/>
      <c r="N9" s="2028"/>
      <c r="O9" s="2029"/>
      <c r="P9" s="2028"/>
      <c r="Q9" s="2028"/>
      <c r="R9" s="2028"/>
    </row>
    <row r="10" spans="1:19" ht="18" customHeight="1" thickTop="1">
      <c r="A10" s="2062" t="s">
        <v>1781</v>
      </c>
      <c r="B10" s="2063"/>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3058</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v>69169</v>
      </c>
      <c r="E13" s="2079">
        <v>58211</v>
      </c>
      <c r="F13" s="2079">
        <v>61864</v>
      </c>
      <c r="G13" s="2079">
        <v>61864</v>
      </c>
      <c r="H13" s="2079"/>
      <c r="I13" s="1047"/>
      <c r="J13" s="2041"/>
      <c r="K13" s="2053"/>
      <c r="L13" s="2027"/>
      <c r="M13" s="2027"/>
      <c r="N13" s="2028"/>
      <c r="O13" s="2029"/>
      <c r="P13" s="2028"/>
      <c r="Q13" s="2028"/>
      <c r="R13" s="2028"/>
    </row>
    <row r="14" spans="1:19" ht="18" customHeight="1">
      <c r="A14" s="2076"/>
      <c r="B14" s="2077"/>
      <c r="C14" s="2078" t="s">
        <v>1793</v>
      </c>
      <c r="D14" s="1050">
        <v>70</v>
      </c>
      <c r="E14" s="1050">
        <v>40</v>
      </c>
      <c r="F14" s="1050">
        <v>50</v>
      </c>
      <c r="G14" s="1050">
        <v>50</v>
      </c>
      <c r="H14" s="1050"/>
      <c r="I14" s="1050"/>
      <c r="J14" s="2041"/>
      <c r="K14" s="2080"/>
      <c r="L14" s="2027"/>
      <c r="M14" s="2027"/>
      <c r="N14" s="2028"/>
      <c r="O14" s="2029"/>
      <c r="P14" s="2028"/>
      <c r="Q14" s="2028"/>
      <c r="R14" s="2028"/>
    </row>
    <row r="15" spans="1:19" ht="18" customHeight="1">
      <c r="A15" s="2062"/>
      <c r="B15" s="2081"/>
      <c r="C15" s="2078" t="s">
        <v>1794</v>
      </c>
      <c r="D15" s="1049">
        <f>IF(B12="出让",IF(D13="","",ROUNDDOWN(MIN((D13-$D$3)/365,D14),2)),D14)</f>
        <v>69.16</v>
      </c>
      <c r="E15" s="1049">
        <f>IF(B12="出让",IF(E13="","",ROUNDDOWN(MIN((E13-$D$3)/365,E14),2)),E14)</f>
        <v>39.14</v>
      </c>
      <c r="F15" s="1049">
        <f>IF(B12="出让",IF(F13="","",ROUNDDOWN(MIN((F13-$D$3)/365,F14),2)),F14)</f>
        <v>49.15</v>
      </c>
      <c r="G15" s="1049">
        <f>IF(B12="出让",IF(G13="","",ROUNDDOWN(MIN((G13-$D$3)/365,G14),2)),G14)</f>
        <v>49.15</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51"/>
      <c r="C16" s="3052"/>
      <c r="D16" s="3053"/>
      <c r="E16" s="2085" t="s">
        <v>1796</v>
      </c>
      <c r="F16" s="3054"/>
      <c r="G16" s="3055"/>
      <c r="H16" s="3055"/>
      <c r="I16" s="3056"/>
      <c r="J16" s="2028"/>
      <c r="K16" s="2082"/>
      <c r="L16" s="2083"/>
      <c r="M16" s="2083"/>
      <c r="N16" s="2084"/>
      <c r="O16" s="2083"/>
      <c r="P16" s="2084"/>
      <c r="Q16" s="2028"/>
      <c r="R16" s="2028"/>
    </row>
    <row r="17" spans="1:22" ht="18" customHeight="1">
      <c r="A17" s="2086" t="s">
        <v>1797</v>
      </c>
      <c r="B17" s="2034" t="s">
        <v>1798</v>
      </c>
      <c r="C17" s="1054">
        <f>'数据-汇总表'!E3</f>
        <v>176567.06999999998</v>
      </c>
      <c r="D17" s="2087" t="s">
        <v>1799</v>
      </c>
      <c r="E17" s="3057" t="s">
        <v>1800</v>
      </c>
      <c r="F17" s="3058"/>
      <c r="G17" s="3058"/>
      <c r="H17" s="3058"/>
      <c r="I17" s="3059"/>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72927</v>
      </c>
      <c r="D18" s="2090" t="s">
        <v>1799</v>
      </c>
      <c r="E18" s="3060" t="s">
        <v>1803</v>
      </c>
      <c r="F18" s="3061"/>
      <c r="G18" s="3061"/>
      <c r="H18" s="3061"/>
      <c r="I18" s="3062"/>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47" t="s">
        <v>1808</v>
      </c>
      <c r="C20" s="3048"/>
      <c r="D20" s="3049" t="s">
        <v>1809</v>
      </c>
      <c r="E20" s="3050"/>
      <c r="F20" s="2097" t="s">
        <v>1810</v>
      </c>
      <c r="G20" s="2041"/>
      <c r="H20" s="2041"/>
      <c r="I20" s="2041"/>
      <c r="J20" s="2041"/>
      <c r="K20" s="304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4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4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4"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4"/>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4"/>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5"/>
      <c r="B30" s="2034" t="s">
        <v>1827</v>
      </c>
      <c r="C30" s="3036"/>
      <c r="D30" s="3037"/>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8"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9"/>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9"/>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33" t="s">
        <v>1837</v>
      </c>
      <c r="T34" s="2134" t="str">
        <f>NUMBERSTRING(7-K34,1)&amp;"通"</f>
        <v>七通</v>
      </c>
      <c r="U34" s="2028"/>
      <c r="V34" s="2028"/>
    </row>
    <row r="35" spans="1:22" ht="18" customHeight="1">
      <c r="A35" s="2135"/>
      <c r="B35" s="3040" t="s">
        <v>1838</v>
      </c>
      <c r="C35" s="3040"/>
      <c r="D35" s="3040"/>
      <c r="E35" s="3040"/>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3"/>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J20" sqref="J20"/>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customWidth="1"/>
    <col min="12" max="14" width="9.44140625" style="2159" customWidth="1"/>
    <col min="15" max="15" width="9.88671875" style="2159" customWidth="1"/>
    <col min="16" max="16" width="9.77734375" style="2159" customWidth="1"/>
    <col min="17" max="17" width="9.33203125" style="2159" hidden="1" customWidth="1"/>
    <col min="18" max="18" width="9.21875" style="2159" hidden="1" customWidth="1"/>
    <col min="19" max="19" width="10.88671875" style="2159" hidden="1" customWidth="1"/>
    <col min="20" max="21" width="10.77734375" style="2159" hidden="1" customWidth="1"/>
    <col min="22" max="22" width="10.88671875" style="2159" hidden="1" customWidth="1"/>
    <col min="23" max="27" width="10.77734375" style="2159" hidden="1" customWidth="1"/>
    <col min="28" max="28" width="10.88671875" style="2159" hidden="1"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72927</v>
      </c>
      <c r="B3" s="14">
        <f>IF(C3="否",G5-AT5,G5)</f>
        <v>176567.06999999998</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1874</v>
      </c>
      <c r="B5" s="1803"/>
      <c r="C5" s="1803"/>
      <c r="D5" s="1806"/>
      <c r="E5" s="16" t="s">
        <v>1</v>
      </c>
      <c r="F5" s="16">
        <f>SUM(F13:F587)</f>
        <v>0</v>
      </c>
      <c r="G5" s="16">
        <f>SUM(G13:G587)</f>
        <v>176567.06999999998</v>
      </c>
      <c r="H5" s="16">
        <f t="shared" ref="H5:AT5" si="0">SUM(H13:H656)</f>
        <v>170596.22999999998</v>
      </c>
      <c r="I5" s="16">
        <f t="shared" si="0"/>
        <v>132590.15999999997</v>
      </c>
      <c r="J5" s="16">
        <f t="shared" si="0"/>
        <v>0</v>
      </c>
      <c r="K5" s="16">
        <f t="shared" si="0"/>
        <v>0</v>
      </c>
      <c r="L5" s="16">
        <f t="shared" si="0"/>
        <v>0</v>
      </c>
      <c r="M5" s="16">
        <f t="shared" si="0"/>
        <v>31413.989999999998</v>
      </c>
      <c r="N5" s="16">
        <f t="shared" si="0"/>
        <v>0</v>
      </c>
      <c r="O5" s="16">
        <f t="shared" si="0"/>
        <v>6592.079999999999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5970.84</v>
      </c>
      <c r="AD5" s="16">
        <f t="shared" si="0"/>
        <v>5970.84</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176567.06999999998</v>
      </c>
      <c r="BA5" s="18">
        <f t="shared" si="1"/>
        <v>170596.22999999998</v>
      </c>
      <c r="BB5" s="18">
        <f t="shared" si="1"/>
        <v>132590.15999999997</v>
      </c>
      <c r="BC5" s="18">
        <f t="shared" si="1"/>
        <v>0</v>
      </c>
      <c r="BD5" s="18">
        <f t="shared" si="1"/>
        <v>31413.989999999998</v>
      </c>
      <c r="BE5" s="18">
        <f t="shared" si="1"/>
        <v>6592.079999999999</v>
      </c>
      <c r="BF5" s="18">
        <f t="shared" si="1"/>
        <v>0</v>
      </c>
      <c r="BG5" s="18">
        <f t="shared" si="1"/>
        <v>0</v>
      </c>
      <c r="BH5" s="18">
        <f t="shared" si="1"/>
        <v>0</v>
      </c>
      <c r="BI5" s="18">
        <f t="shared" si="1"/>
        <v>0</v>
      </c>
      <c r="BJ5" s="18">
        <f t="shared" si="1"/>
        <v>0</v>
      </c>
      <c r="BK5" s="18">
        <f t="shared" si="1"/>
        <v>0</v>
      </c>
      <c r="BL5" s="18">
        <f t="shared" si="1"/>
        <v>5970.84</v>
      </c>
      <c r="BM5" s="18">
        <f t="shared" si="1"/>
        <v>5970.84</v>
      </c>
      <c r="BN5" s="18">
        <f t="shared" si="1"/>
        <v>0</v>
      </c>
      <c r="BO5" s="18">
        <f t="shared" si="1"/>
        <v>0</v>
      </c>
      <c r="BP5" s="18">
        <f t="shared" si="1"/>
        <v>0</v>
      </c>
      <c r="BQ5" s="18">
        <f t="shared" si="1"/>
        <v>0</v>
      </c>
      <c r="BR5" s="18">
        <f t="shared" si="1"/>
        <v>0</v>
      </c>
      <c r="BS5" s="18">
        <f t="shared" si="1"/>
        <v>0</v>
      </c>
      <c r="BT5" s="19">
        <f t="shared" si="1"/>
        <v>0</v>
      </c>
    </row>
    <row r="6" spans="1:72" s="2177" customFormat="1" ht="13.2">
      <c r="A6" s="15" t="s">
        <v>1875</v>
      </c>
      <c r="B6" s="2174"/>
      <c r="C6" s="2174"/>
      <c r="D6" s="2175"/>
      <c r="E6" s="16">
        <f>H6+AC6+AT6</f>
        <v>72927</v>
      </c>
      <c r="F6" s="16" t="s">
        <v>1</v>
      </c>
      <c r="G6" s="16" t="s">
        <v>2</v>
      </c>
      <c r="H6" s="20">
        <f>SUMIF(I$12:AB$12,"总值",I6:AB6)</f>
        <v>70460.88</v>
      </c>
      <c r="I6" s="16">
        <f t="shared" ref="I6:AB6" si="2">ROUND($A$3*I5/$B$3,2)</f>
        <v>54763.34</v>
      </c>
      <c r="J6" s="16">
        <f t="shared" si="2"/>
        <v>0</v>
      </c>
      <c r="K6" s="16">
        <f t="shared" si="2"/>
        <v>0</v>
      </c>
      <c r="L6" s="16">
        <f t="shared" si="2"/>
        <v>0</v>
      </c>
      <c r="M6" s="16">
        <f t="shared" si="2"/>
        <v>12974.83</v>
      </c>
      <c r="N6" s="16">
        <f t="shared" si="2"/>
        <v>0</v>
      </c>
      <c r="O6" s="16">
        <f t="shared" si="2"/>
        <v>2722.71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2466.12</v>
      </c>
      <c r="AD6" s="16">
        <f t="shared" ref="AD6:AS6" si="3">ROUND($A$3*AD5/$B$3,2)</f>
        <v>2466.12</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72927</v>
      </c>
      <c r="AZ6" s="16" t="s">
        <v>3</v>
      </c>
      <c r="BA6" s="16">
        <f>ROUND($AY$6*BA5/$AZ$5,2)</f>
        <v>70460.88</v>
      </c>
      <c r="BB6" s="16">
        <f>ROUND($AY$6*BB5/$AZ$5,2)</f>
        <v>54763.34</v>
      </c>
      <c r="BC6" s="16">
        <f t="shared" ref="BC6:BH6" si="4">ROUND($AY$6*BC5/$AZ$5,2)</f>
        <v>0</v>
      </c>
      <c r="BD6" s="16">
        <f t="shared" si="4"/>
        <v>12974.83</v>
      </c>
      <c r="BE6" s="16">
        <f t="shared" si="4"/>
        <v>2722.71</v>
      </c>
      <c r="BF6" s="16">
        <f t="shared" si="4"/>
        <v>0</v>
      </c>
      <c r="BG6" s="16">
        <f t="shared" si="4"/>
        <v>0</v>
      </c>
      <c r="BH6" s="16">
        <f t="shared" si="4"/>
        <v>0</v>
      </c>
      <c r="BI6" s="16">
        <f t="shared" ref="BI6:BT6" si="5">ROUND($AY$6*BI5/$AZ$5,2)</f>
        <v>0</v>
      </c>
      <c r="BJ6" s="16">
        <f t="shared" si="5"/>
        <v>0</v>
      </c>
      <c r="BK6" s="16">
        <f t="shared" si="5"/>
        <v>0</v>
      </c>
      <c r="BL6" s="16">
        <f t="shared" si="5"/>
        <v>2466.12</v>
      </c>
      <c r="BM6" s="16">
        <f t="shared" si="5"/>
        <v>2466.12</v>
      </c>
      <c r="BN6" s="16">
        <f t="shared" si="5"/>
        <v>0</v>
      </c>
      <c r="BO6" s="16">
        <f t="shared" si="5"/>
        <v>0</v>
      </c>
      <c r="BP6" s="16">
        <f t="shared" si="5"/>
        <v>0</v>
      </c>
      <c r="BQ6" s="16">
        <f t="shared" si="5"/>
        <v>0</v>
      </c>
      <c r="BR6" s="16">
        <f t="shared" si="5"/>
        <v>0</v>
      </c>
      <c r="BS6" s="16">
        <f t="shared" si="5"/>
        <v>0</v>
      </c>
      <c r="BT6" s="22">
        <f t="shared" si="5"/>
        <v>0</v>
      </c>
    </row>
    <row r="7" spans="1:72" s="2167" customFormat="1" ht="25.2">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3.2">
      <c r="A9" s="2182"/>
      <c r="B9" s="2182"/>
      <c r="C9" s="2182"/>
      <c r="D9" s="2182"/>
      <c r="E9" s="2182"/>
      <c r="F9" s="2182"/>
      <c r="G9" s="1292"/>
      <c r="H9" s="2190" t="s">
        <v>1894</v>
      </c>
      <c r="I9" s="2191" t="s">
        <v>3061</v>
      </c>
      <c r="J9" s="981"/>
      <c r="K9" s="2191" t="s">
        <v>3061</v>
      </c>
      <c r="L9" s="981"/>
      <c r="M9" s="2191" t="s">
        <v>3063</v>
      </c>
      <c r="N9" s="981"/>
      <c r="O9" s="2191" t="s">
        <v>3063</v>
      </c>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3.2">
      <c r="A10" s="2182"/>
      <c r="B10" s="2182"/>
      <c r="C10" s="2182"/>
      <c r="D10" s="2182"/>
      <c r="E10" s="2182"/>
      <c r="F10" s="2182"/>
      <c r="G10" s="1292"/>
      <c r="H10" s="28"/>
      <c r="I10" s="2191" t="s">
        <v>3089</v>
      </c>
      <c r="J10" s="981"/>
      <c r="K10" s="2197" t="s">
        <v>1372</v>
      </c>
      <c r="L10" s="981"/>
      <c r="M10" s="2197" t="s">
        <v>3133</v>
      </c>
      <c r="N10" s="981"/>
      <c r="O10" s="2197" t="s">
        <v>3134</v>
      </c>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t="str">
        <f>K9</f>
        <v>地上</v>
      </c>
      <c r="BD10" s="29" t="str">
        <f>M9</f>
        <v>地下</v>
      </c>
      <c r="BE10" s="29" t="str">
        <f>O9</f>
        <v>地下</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3.2">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住宅</v>
      </c>
      <c r="BC11" s="2187" t="str">
        <f>K10</f>
        <v>商业</v>
      </c>
      <c r="BD11" s="2187" t="str">
        <f>M10</f>
        <v>车库</v>
      </c>
      <c r="BE11" s="2187" t="str">
        <f>O10</f>
        <v>仓储</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3.2">
      <c r="A13" s="1272"/>
      <c r="B13" s="1272"/>
      <c r="C13" s="1272"/>
      <c r="D13" s="2213" t="s">
        <v>3132</v>
      </c>
      <c r="E13" s="16">
        <f>IF($C$3="是",ROUND($A$3*G13/$B$3,2),ROUND($A$3*(G13-AT13)/$B$3,2))</f>
        <v>62529.9</v>
      </c>
      <c r="F13" s="32"/>
      <c r="G13" s="33">
        <f>H13+AC13+AT13</f>
        <v>151394.15999999997</v>
      </c>
      <c r="H13" s="20">
        <f>SUMIF(I$12:AB$12,"总值",I13:AB13)</f>
        <v>145423.31999999998</v>
      </c>
      <c r="I13" s="2214">
        <f>SUM(D地块!F3:F20)-I14</f>
        <v>108499.41999999997</v>
      </c>
      <c r="J13" s="2214"/>
      <c r="K13" s="2214"/>
      <c r="L13" s="2214"/>
      <c r="M13" s="2214">
        <f>D地块!G21+D地块!G24</f>
        <v>31413.989999999998</v>
      </c>
      <c r="N13" s="2214"/>
      <c r="O13" s="2214">
        <f>SUM(D地块!G3:G20)-O14</f>
        <v>5509.9099999999989</v>
      </c>
      <c r="P13" s="2214"/>
      <c r="Q13" s="2214"/>
      <c r="R13" s="2214"/>
      <c r="S13" s="2214"/>
      <c r="T13" s="2214"/>
      <c r="U13" s="2214"/>
      <c r="V13" s="2214"/>
      <c r="W13" s="2214"/>
      <c r="X13" s="2214"/>
      <c r="Y13" s="2214"/>
      <c r="Z13" s="2214"/>
      <c r="AA13" s="2214"/>
      <c r="AB13" s="2214"/>
      <c r="AC13" s="16">
        <f>SUMIF(AD$12:AS$12,"总值",AD13:AS13)</f>
        <v>5970.84</v>
      </c>
      <c r="AD13" s="2215">
        <f>D地块!F22+D地块!F23</f>
        <v>5970.84</v>
      </c>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62529.9</v>
      </c>
      <c r="AZ13" s="16">
        <f>BA13+BL13</f>
        <v>151394.15999999997</v>
      </c>
      <c r="BA13" s="16">
        <f>SUM(BB13:BK13)</f>
        <v>145423.31999999998</v>
      </c>
      <c r="BB13" s="16">
        <f>IF($D13="是",I13-J13,0)</f>
        <v>108499.41999999997</v>
      </c>
      <c r="BC13" s="16">
        <f>IF($D13="是",K13-L13,0)</f>
        <v>0</v>
      </c>
      <c r="BD13" s="16">
        <f>IF($D13="是",M13-N13,0)</f>
        <v>31413.989999999998</v>
      </c>
      <c r="BE13" s="16">
        <f>IF($D13="是",O13-P13,0)</f>
        <v>5509.9099999999989</v>
      </c>
      <c r="BF13" s="16">
        <f>IF($D13="是",Q13-R13,0)</f>
        <v>0</v>
      </c>
      <c r="BG13" s="16">
        <f>IF($D13="是",S13-T13,0)</f>
        <v>0</v>
      </c>
      <c r="BH13" s="16">
        <f>IF($D13="是",U13-V13,0)</f>
        <v>0</v>
      </c>
      <c r="BI13" s="16">
        <f>IF($D13="是",W13-X13,0)</f>
        <v>0</v>
      </c>
      <c r="BJ13" s="16">
        <f>IF($D13="是",Y13-Z13,0)</f>
        <v>0</v>
      </c>
      <c r="BK13" s="16">
        <f>IF($D13="是",AA13-AB13,0)</f>
        <v>0</v>
      </c>
      <c r="BL13" s="16">
        <f>SUM(BM13:BT13)</f>
        <v>5970.84</v>
      </c>
      <c r="BM13" s="16">
        <f>IF($D13="是",AD13-AE13,0)</f>
        <v>5970.84</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2">
      <c r="A14" s="1272"/>
      <c r="B14" s="1272"/>
      <c r="C14" s="2153"/>
      <c r="D14" s="2213" t="s">
        <v>3132</v>
      </c>
      <c r="E14" s="16">
        <f>IF($C$3="是",ROUND($A$3*G14/$B$3,2),ROUND($A$3*(G14-AT14)/$B$3,2))</f>
        <v>10397.1</v>
      </c>
      <c r="F14" s="32"/>
      <c r="G14" s="33">
        <f>H14+AC14+AT14</f>
        <v>25172.910000000003</v>
      </c>
      <c r="H14" s="20">
        <f>SUMIF(I$12:AB$12,"总值",I14:AB14)</f>
        <v>25172.910000000003</v>
      </c>
      <c r="I14" s="2214">
        <f>D地块!I3+D地块!K3+D地块!I4+D地块!K4+D地块!I10</f>
        <v>24090.74</v>
      </c>
      <c r="J14" s="2214"/>
      <c r="K14" s="2214"/>
      <c r="L14" s="2214"/>
      <c r="M14" s="2214"/>
      <c r="N14" s="2214"/>
      <c r="O14" s="2214">
        <f>D地块!J3+D地块!J4+D地块!J10</f>
        <v>1082.17</v>
      </c>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10397.1</v>
      </c>
      <c r="AZ14" s="16">
        <f>BA14+BL14</f>
        <v>25172.910000000003</v>
      </c>
      <c r="BA14" s="16">
        <f>SUM(BB14:BK14)</f>
        <v>25172.910000000003</v>
      </c>
      <c r="BB14" s="16">
        <f>IF($D14="是",I14-J14,0)</f>
        <v>24090.74</v>
      </c>
      <c r="BC14" s="16">
        <f>IF($D14="是",K14-L14,0)</f>
        <v>0</v>
      </c>
      <c r="BD14" s="16">
        <f>IF($D14="是",M14-N14,0)</f>
        <v>0</v>
      </c>
      <c r="BE14" s="16">
        <f>IF($D14="是",O14-P14,0)</f>
        <v>1082.17</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2">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77">
        <f>A3+26682</f>
        <v>99609</v>
      </c>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99609</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46.8">
      <c r="A3" s="3063"/>
      <c r="B3" s="3063"/>
      <c r="C3" s="3063"/>
      <c r="D3" s="3064"/>
      <c r="E3" s="306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L51"/>
  <sheetViews>
    <sheetView topLeftCell="A28" workbookViewId="0">
      <selection activeCell="K34" sqref="K34"/>
    </sheetView>
  </sheetViews>
  <sheetFormatPr defaultColWidth="9" defaultRowHeight="14.4"/>
  <cols>
    <col min="1" max="1" width="1.88671875" style="2955" customWidth="1"/>
    <col min="2" max="2" width="9" style="2955"/>
    <col min="3" max="3" width="14.6640625" style="2955" customWidth="1"/>
    <col min="4" max="4" width="12.33203125" style="2955" customWidth="1"/>
    <col min="5" max="5" width="10.5546875" style="2955" bestFit="1" customWidth="1"/>
    <col min="6" max="6" width="10.33203125" style="2958" customWidth="1"/>
    <col min="7" max="7" width="17.77734375" style="2958" customWidth="1"/>
    <col min="8" max="8" width="10.33203125" style="2958" customWidth="1"/>
    <col min="9" max="11" width="10.44140625" style="2958" customWidth="1"/>
    <col min="12" max="16384" width="9" style="2955"/>
  </cols>
  <sheetData>
    <row r="1" spans="2:12">
      <c r="B1" s="3066" t="s">
        <v>3094</v>
      </c>
      <c r="C1" s="3066" t="s">
        <v>3096</v>
      </c>
      <c r="D1" s="3066" t="s">
        <v>3081</v>
      </c>
      <c r="E1" s="3066"/>
      <c r="F1" s="3066" t="s">
        <v>3082</v>
      </c>
      <c r="G1" s="3066"/>
      <c r="H1" s="3066"/>
      <c r="I1" s="3066" t="s">
        <v>3088</v>
      </c>
      <c r="J1" s="3066"/>
      <c r="K1" s="3066"/>
      <c r="L1" s="2956" t="s">
        <v>3123</v>
      </c>
    </row>
    <row r="2" spans="2:12">
      <c r="B2" s="3066"/>
      <c r="C2" s="3066"/>
      <c r="D2" s="2956" t="s">
        <v>3062</v>
      </c>
      <c r="E2" s="2956" t="s">
        <v>3064</v>
      </c>
      <c r="F2" s="2956" t="s">
        <v>3062</v>
      </c>
      <c r="G2" s="2956" t="s">
        <v>3064</v>
      </c>
      <c r="H2" s="2956" t="s">
        <v>3087</v>
      </c>
      <c r="I2" s="2956" t="s">
        <v>3090</v>
      </c>
      <c r="J2" s="2956" t="s">
        <v>3091</v>
      </c>
      <c r="K2" s="2956" t="s">
        <v>3092</v>
      </c>
    </row>
    <row r="3" spans="2:12" s="2964" customFormat="1">
      <c r="B3" s="2962" t="s">
        <v>3079</v>
      </c>
      <c r="C3" s="2962" t="s">
        <v>3097</v>
      </c>
      <c r="D3" s="2962">
        <v>8</v>
      </c>
      <c r="E3" s="2962">
        <v>1</v>
      </c>
      <c r="F3" s="2965">
        <v>3874.52</v>
      </c>
      <c r="G3" s="2965">
        <v>444.1</v>
      </c>
      <c r="H3" s="2963">
        <f>SUM(F3:G3)</f>
        <v>4318.62</v>
      </c>
      <c r="I3" s="2963">
        <v>3974.29</v>
      </c>
      <c r="J3" s="2963">
        <v>389.12</v>
      </c>
      <c r="K3" s="2963">
        <v>104.49</v>
      </c>
      <c r="L3" s="2962" t="s">
        <v>3124</v>
      </c>
    </row>
    <row r="4" spans="2:12" s="2964" customFormat="1">
      <c r="B4" s="2962" t="s">
        <v>3080</v>
      </c>
      <c r="C4" s="2962" t="s">
        <v>3097</v>
      </c>
      <c r="D4" s="2962">
        <v>8</v>
      </c>
      <c r="E4" s="2962">
        <v>1</v>
      </c>
      <c r="F4" s="2965">
        <v>3907.64</v>
      </c>
      <c r="G4" s="2965">
        <v>462.89</v>
      </c>
      <c r="H4" s="2963">
        <f t="shared" ref="H4:H24" si="0">SUM(F4:G4)</f>
        <v>4370.53</v>
      </c>
      <c r="I4" s="2963">
        <v>3848.4</v>
      </c>
      <c r="J4" s="2963">
        <v>401.09</v>
      </c>
      <c r="K4" s="2963">
        <v>256.56</v>
      </c>
      <c r="L4" s="2962" t="s">
        <v>3124</v>
      </c>
    </row>
    <row r="5" spans="2:12">
      <c r="B5" s="2956" t="s">
        <v>3083</v>
      </c>
      <c r="C5" s="2956" t="s">
        <v>3097</v>
      </c>
      <c r="D5" s="2956">
        <v>8</v>
      </c>
      <c r="E5" s="2956">
        <v>1</v>
      </c>
      <c r="F5" s="2957">
        <v>3907.64</v>
      </c>
      <c r="G5" s="2957">
        <v>423.36</v>
      </c>
      <c r="H5" s="2958">
        <f t="shared" si="0"/>
        <v>4331</v>
      </c>
      <c r="L5" s="2956" t="s">
        <v>3126</v>
      </c>
    </row>
    <row r="6" spans="2:12">
      <c r="B6" s="2956" t="s">
        <v>3059</v>
      </c>
      <c r="C6" s="2956" t="s">
        <v>3097</v>
      </c>
      <c r="D6" s="2956">
        <v>8</v>
      </c>
      <c r="E6" s="2956">
        <v>1</v>
      </c>
      <c r="F6" s="2958">
        <v>3907.64</v>
      </c>
      <c r="G6" s="2958">
        <v>371.65</v>
      </c>
      <c r="H6" s="2958">
        <f t="shared" si="0"/>
        <v>4279.29</v>
      </c>
    </row>
    <row r="7" spans="2:12">
      <c r="B7" s="2956" t="s">
        <v>3060</v>
      </c>
      <c r="C7" s="2956" t="s">
        <v>3097</v>
      </c>
      <c r="D7" s="2956">
        <v>8</v>
      </c>
      <c r="E7" s="2956">
        <v>1</v>
      </c>
      <c r="F7" s="2958">
        <v>3907.64</v>
      </c>
      <c r="G7" s="2958">
        <v>308.43</v>
      </c>
      <c r="H7" s="2958">
        <f t="shared" si="0"/>
        <v>4216.07</v>
      </c>
    </row>
    <row r="8" spans="2:12">
      <c r="B8" s="2956" t="s">
        <v>3065</v>
      </c>
      <c r="C8" s="2956" t="s">
        <v>3097</v>
      </c>
      <c r="D8" s="2956">
        <v>8</v>
      </c>
      <c r="E8" s="2956">
        <v>1</v>
      </c>
      <c r="F8" s="2958">
        <v>3907.64</v>
      </c>
      <c r="G8" s="2958">
        <v>361.39</v>
      </c>
      <c r="H8" s="2958">
        <f t="shared" si="0"/>
        <v>4269.03</v>
      </c>
    </row>
    <row r="9" spans="2:12">
      <c r="B9" s="2956" t="s">
        <v>3066</v>
      </c>
      <c r="C9" s="2956" t="s">
        <v>3097</v>
      </c>
      <c r="D9" s="2956">
        <v>8</v>
      </c>
      <c r="E9" s="2956">
        <v>1</v>
      </c>
      <c r="F9" s="2958">
        <v>3907.64</v>
      </c>
      <c r="G9" s="2958">
        <v>432.71</v>
      </c>
      <c r="H9" s="2958">
        <f t="shared" si="0"/>
        <v>4340.3499999999995</v>
      </c>
    </row>
    <row r="10" spans="2:12" s="2964" customFormat="1">
      <c r="B10" s="2962" t="s">
        <v>3067</v>
      </c>
      <c r="C10" s="2962" t="s">
        <v>3099</v>
      </c>
      <c r="D10" s="2962">
        <v>26</v>
      </c>
      <c r="E10" s="2962">
        <v>1</v>
      </c>
      <c r="F10" s="2963">
        <v>15503.52</v>
      </c>
      <c r="G10" s="2963">
        <v>535.48</v>
      </c>
      <c r="H10" s="2963">
        <f t="shared" si="0"/>
        <v>16039</v>
      </c>
      <c r="I10" s="2963">
        <v>15907</v>
      </c>
      <c r="J10" s="2963">
        <v>291.95999999999998</v>
      </c>
      <c r="K10" s="2963"/>
      <c r="L10" s="2962" t="s">
        <v>3125</v>
      </c>
    </row>
    <row r="11" spans="2:12">
      <c r="B11" s="2956" t="s">
        <v>3068</v>
      </c>
      <c r="C11" s="2956" t="s">
        <v>3097</v>
      </c>
      <c r="D11" s="2956">
        <v>26</v>
      </c>
      <c r="E11" s="2956">
        <v>1</v>
      </c>
      <c r="F11" s="2958">
        <v>10655.57</v>
      </c>
      <c r="G11" s="2958">
        <v>254.31</v>
      </c>
      <c r="H11" s="2958">
        <f t="shared" si="0"/>
        <v>10909.88</v>
      </c>
      <c r="L11" s="2956" t="s">
        <v>3128</v>
      </c>
    </row>
    <row r="12" spans="2:12">
      <c r="B12" s="2956" t="s">
        <v>3069</v>
      </c>
      <c r="C12" s="2956" t="s">
        <v>3097</v>
      </c>
      <c r="D12" s="2956">
        <v>22</v>
      </c>
      <c r="E12" s="2956">
        <v>1</v>
      </c>
      <c r="F12" s="2958">
        <v>9028.4500000000007</v>
      </c>
      <c r="G12" s="2958">
        <v>334.09</v>
      </c>
      <c r="H12" s="2958">
        <f t="shared" si="0"/>
        <v>9362.5400000000009</v>
      </c>
      <c r="L12" s="2956" t="s">
        <v>3130</v>
      </c>
    </row>
    <row r="13" spans="2:12">
      <c r="B13" s="2956" t="s">
        <v>3070</v>
      </c>
      <c r="C13" s="2956" t="s">
        <v>3097</v>
      </c>
      <c r="D13" s="2956">
        <v>22</v>
      </c>
      <c r="E13" s="2956">
        <v>1</v>
      </c>
      <c r="F13" s="2958">
        <v>9028.4500000000007</v>
      </c>
      <c r="G13" s="2958">
        <v>283.25</v>
      </c>
      <c r="H13" s="2958">
        <f t="shared" si="0"/>
        <v>9311.7000000000007</v>
      </c>
      <c r="L13" s="2956" t="s">
        <v>3131</v>
      </c>
    </row>
    <row r="14" spans="2:12">
      <c r="B14" s="2956" t="s">
        <v>3071</v>
      </c>
      <c r="C14" s="2956" t="s">
        <v>3097</v>
      </c>
      <c r="D14" s="2956">
        <v>21</v>
      </c>
      <c r="E14" s="2956">
        <v>1</v>
      </c>
      <c r="F14" s="2958">
        <v>8621.67</v>
      </c>
      <c r="G14" s="2958">
        <v>271.45</v>
      </c>
      <c r="H14" s="2958">
        <f t="shared" si="0"/>
        <v>8893.1200000000008</v>
      </c>
    </row>
    <row r="15" spans="2:12">
      <c r="B15" s="2956" t="s">
        <v>3072</v>
      </c>
      <c r="C15" s="2956" t="s">
        <v>3097</v>
      </c>
      <c r="D15" s="2956">
        <v>18</v>
      </c>
      <c r="E15" s="2956">
        <v>1</v>
      </c>
      <c r="F15" s="2958">
        <v>7483.36</v>
      </c>
      <c r="G15" s="2958">
        <v>385.84</v>
      </c>
      <c r="H15" s="2958">
        <f t="shared" si="0"/>
        <v>7869.2</v>
      </c>
    </row>
    <row r="16" spans="2:12">
      <c r="B16" s="2956" t="s">
        <v>3073</v>
      </c>
      <c r="C16" s="2956" t="s">
        <v>3097</v>
      </c>
      <c r="D16" s="2956">
        <v>26</v>
      </c>
      <c r="E16" s="2956">
        <v>1</v>
      </c>
      <c r="F16" s="2958">
        <v>10704.82</v>
      </c>
      <c r="G16" s="2958">
        <v>220.47</v>
      </c>
      <c r="H16" s="2958">
        <f t="shared" si="0"/>
        <v>10925.289999999999</v>
      </c>
      <c r="L16" s="2956" t="s">
        <v>3127</v>
      </c>
    </row>
    <row r="17" spans="2:12">
      <c r="B17" s="2956" t="s">
        <v>3074</v>
      </c>
      <c r="C17" s="2956" t="s">
        <v>3097</v>
      </c>
      <c r="D17" s="2956">
        <v>24</v>
      </c>
      <c r="E17" s="2956">
        <v>1</v>
      </c>
      <c r="F17" s="2958">
        <v>9842.01</v>
      </c>
      <c r="G17" s="2958">
        <v>375.61</v>
      </c>
      <c r="H17" s="2958">
        <f t="shared" si="0"/>
        <v>10217.620000000001</v>
      </c>
      <c r="L17" s="2956" t="s">
        <v>3129</v>
      </c>
    </row>
    <row r="18" spans="2:12">
      <c r="B18" s="2956" t="s">
        <v>3075</v>
      </c>
      <c r="C18" s="2956" t="s">
        <v>3097</v>
      </c>
      <c r="D18" s="2956">
        <v>23</v>
      </c>
      <c r="E18" s="2956">
        <v>1</v>
      </c>
      <c r="F18" s="2958">
        <v>9435.23</v>
      </c>
      <c r="G18" s="2958">
        <v>375.61</v>
      </c>
      <c r="H18" s="2958">
        <f t="shared" si="0"/>
        <v>9810.84</v>
      </c>
    </row>
    <row r="19" spans="2:12">
      <c r="B19" s="2956" t="s">
        <v>3076</v>
      </c>
      <c r="C19" s="2956" t="s">
        <v>3097</v>
      </c>
      <c r="D19" s="2956">
        <v>18</v>
      </c>
      <c r="E19" s="2956">
        <v>1</v>
      </c>
      <c r="F19" s="2958">
        <v>7483.36</v>
      </c>
      <c r="G19" s="2958">
        <v>357.15</v>
      </c>
      <c r="H19" s="2958">
        <f t="shared" si="0"/>
        <v>7840.5099999999993</v>
      </c>
    </row>
    <row r="20" spans="2:12">
      <c r="B20" s="2956" t="s">
        <v>3077</v>
      </c>
      <c r="C20" s="2956" t="s">
        <v>3097</v>
      </c>
      <c r="D20" s="2956">
        <v>18</v>
      </c>
      <c r="E20" s="2956">
        <v>1</v>
      </c>
      <c r="F20" s="2958">
        <v>7483.36</v>
      </c>
      <c r="G20" s="2958">
        <v>394.29</v>
      </c>
      <c r="H20" s="2958">
        <f t="shared" si="0"/>
        <v>7877.65</v>
      </c>
    </row>
    <row r="21" spans="2:12">
      <c r="B21" s="2956" t="s">
        <v>3078</v>
      </c>
      <c r="C21" s="2956" t="s">
        <v>3098</v>
      </c>
      <c r="D21" s="2956" t="s">
        <v>3093</v>
      </c>
      <c r="E21" s="2956">
        <v>1</v>
      </c>
      <c r="G21" s="2958">
        <v>15556.5</v>
      </c>
      <c r="H21" s="2958">
        <f t="shared" si="0"/>
        <v>15556.5</v>
      </c>
    </row>
    <row r="22" spans="2:12">
      <c r="B22" s="2956" t="s">
        <v>3084</v>
      </c>
      <c r="C22" s="2956" t="s">
        <v>3100</v>
      </c>
      <c r="D22" s="2956">
        <v>3</v>
      </c>
      <c r="E22" s="2956" t="s">
        <v>3093</v>
      </c>
      <c r="F22" s="2958">
        <v>5510.32</v>
      </c>
      <c r="H22" s="2958">
        <f t="shared" si="0"/>
        <v>5510.32</v>
      </c>
    </row>
    <row r="23" spans="2:12">
      <c r="B23" s="2956" t="s">
        <v>3085</v>
      </c>
      <c r="C23" s="2956" t="s">
        <v>3100</v>
      </c>
      <c r="D23" s="2956">
        <v>1</v>
      </c>
      <c r="E23" s="2956" t="s">
        <v>3093</v>
      </c>
      <c r="F23" s="2958">
        <f>300.04+160.48</f>
        <v>460.52</v>
      </c>
      <c r="H23" s="2958">
        <f t="shared" si="0"/>
        <v>460.52</v>
      </c>
    </row>
    <row r="24" spans="2:12">
      <c r="B24" s="2956" t="s">
        <v>3086</v>
      </c>
      <c r="C24" s="2956" t="s">
        <v>3100</v>
      </c>
      <c r="D24" s="2956" t="s">
        <v>3093</v>
      </c>
      <c r="E24" s="2955">
        <v>1</v>
      </c>
      <c r="G24" s="2958">
        <v>15857.49</v>
      </c>
      <c r="H24" s="2958">
        <f t="shared" si="0"/>
        <v>15857.49</v>
      </c>
    </row>
    <row r="25" spans="2:12">
      <c r="B25" s="2956" t="s">
        <v>3087</v>
      </c>
      <c r="C25" s="2956" t="s">
        <v>3101</v>
      </c>
      <c r="F25" s="2958">
        <f>SUM(F3:F24)</f>
        <v>138560.99999999997</v>
      </c>
      <c r="G25" s="2958">
        <f>SUM(G3:G24)</f>
        <v>38006.07</v>
      </c>
      <c r="H25" s="2958">
        <f>SUM(H3:H24)</f>
        <v>176567.06999999995</v>
      </c>
      <c r="I25" s="2958">
        <f t="shared" ref="I25:K25" si="1">SUM(I3:I24)</f>
        <v>23729.690000000002</v>
      </c>
      <c r="J25" s="2958">
        <f t="shared" si="1"/>
        <v>1082.17</v>
      </c>
      <c r="K25" s="2958">
        <f t="shared" si="1"/>
        <v>361.05</v>
      </c>
    </row>
    <row r="28" spans="2:12">
      <c r="B28" s="2956"/>
      <c r="C28" s="2956"/>
    </row>
    <row r="29" spans="2:12">
      <c r="B29" s="2956"/>
      <c r="C29" s="2956"/>
    </row>
    <row r="30" spans="2:12">
      <c r="B30" s="2978"/>
      <c r="C30" s="2978"/>
      <c r="D30" s="2978" t="s">
        <v>3290</v>
      </c>
      <c r="E30" s="2978" t="s">
        <v>3291</v>
      </c>
      <c r="F30" s="2978" t="s">
        <v>3292</v>
      </c>
      <c r="G30" s="2978" t="s">
        <v>3293</v>
      </c>
      <c r="H30" s="2979" t="s">
        <v>3294</v>
      </c>
      <c r="I30" s="2978" t="s">
        <v>3295</v>
      </c>
      <c r="J30" s="2978" t="s">
        <v>3296</v>
      </c>
      <c r="K30" s="3327"/>
    </row>
    <row r="31" spans="2:12">
      <c r="B31" s="3065" t="s">
        <v>3297</v>
      </c>
      <c r="C31" s="2980" t="str">
        <f>'[1]附表1 基础信息表'!$A$12</f>
        <v>高层</v>
      </c>
      <c r="D31" s="2979">
        <f>SUM(E31:J31)</f>
        <v>28318.229999999996</v>
      </c>
      <c r="E31" s="2979"/>
      <c r="F31" s="2979">
        <v>0</v>
      </c>
      <c r="G31" s="2981">
        <v>28318.229999999996</v>
      </c>
      <c r="H31" s="2979">
        <v>0</v>
      </c>
      <c r="I31" s="2979">
        <v>0</v>
      </c>
      <c r="J31" s="2979">
        <v>0</v>
      </c>
      <c r="K31" s="3327">
        <f>G31/(G31+G32+G33+G34)</f>
        <v>0.20438647133932097</v>
      </c>
    </row>
    <row r="32" spans="2:12">
      <c r="B32" s="3065"/>
      <c r="C32" s="2980" t="str">
        <f>'[1]附表1 基础信息表'!$A$14</f>
        <v>小高</v>
      </c>
      <c r="D32" s="2979">
        <f t="shared" ref="D32:D51" si="2">SUM(E32:J32)</f>
        <v>66848.58</v>
      </c>
      <c r="E32" s="2979"/>
      <c r="F32" s="2979">
        <v>43388.700000000004</v>
      </c>
      <c r="G32" s="2981">
        <v>23459.88</v>
      </c>
      <c r="H32" s="2979"/>
      <c r="I32" s="2979"/>
      <c r="J32" s="2979">
        <v>0</v>
      </c>
      <c r="K32" s="3327">
        <f>G32/(G31+G32+G33+G34)</f>
        <v>0.1693213908935661</v>
      </c>
    </row>
    <row r="33" spans="2:11">
      <c r="B33" s="3065"/>
      <c r="C33" s="2980" t="str">
        <f>'[1]附表1 基础信息表'!$A$16</f>
        <v>洋房</v>
      </c>
      <c r="D33" s="2979">
        <f t="shared" si="2"/>
        <v>54038.21</v>
      </c>
      <c r="E33" s="2979"/>
      <c r="F33" s="2979">
        <v>0</v>
      </c>
      <c r="G33" s="2981">
        <v>28619.86</v>
      </c>
      <c r="H33" s="2979"/>
      <c r="I33" s="2979">
        <v>25418.35</v>
      </c>
      <c r="J33" s="2979"/>
      <c r="K33" s="3327">
        <f>G33/(G31+G32+G33+G34)</f>
        <v>0.20656348209705833</v>
      </c>
    </row>
    <row r="34" spans="2:11">
      <c r="B34" s="3065"/>
      <c r="C34" s="2980" t="s">
        <v>3298</v>
      </c>
      <c r="D34" s="2979">
        <f t="shared" si="2"/>
        <v>58154.400000000009</v>
      </c>
      <c r="E34" s="2979"/>
      <c r="F34" s="2979"/>
      <c r="G34" s="2981">
        <v>58154.400000000009</v>
      </c>
      <c r="H34" s="2979"/>
      <c r="I34" s="2979"/>
      <c r="J34" s="2979"/>
      <c r="K34" s="3327">
        <f>G34/(G31+G32+G33+G34)</f>
        <v>0.41972865567005463</v>
      </c>
    </row>
    <row r="35" spans="2:11">
      <c r="B35" s="3065"/>
      <c r="C35" s="2980"/>
      <c r="D35" s="2979">
        <f t="shared" si="2"/>
        <v>0</v>
      </c>
      <c r="E35" s="2979"/>
      <c r="F35" s="2979"/>
      <c r="G35" s="2979"/>
      <c r="H35" s="2979"/>
      <c r="I35" s="2979"/>
      <c r="J35" s="2979"/>
    </row>
    <row r="36" spans="2:11">
      <c r="B36" s="3065"/>
      <c r="C36" s="2980"/>
      <c r="D36" s="2979">
        <f t="shared" si="2"/>
        <v>0</v>
      </c>
      <c r="E36" s="2979"/>
      <c r="F36" s="2979"/>
      <c r="G36" s="2979"/>
      <c r="H36" s="2979">
        <v>0</v>
      </c>
      <c r="I36" s="2979"/>
      <c r="J36" s="2979"/>
    </row>
    <row r="37" spans="2:11">
      <c r="B37" s="3065"/>
      <c r="C37" s="2982" t="s">
        <v>40</v>
      </c>
      <c r="D37" s="2979">
        <f t="shared" si="2"/>
        <v>207359.42</v>
      </c>
      <c r="E37" s="2979"/>
      <c r="F37" s="2979">
        <v>43388.700000000004</v>
      </c>
      <c r="G37" s="2979">
        <v>138552.37</v>
      </c>
      <c r="H37" s="2979"/>
      <c r="I37" s="2979">
        <v>25418.35</v>
      </c>
      <c r="J37" s="2979">
        <v>0</v>
      </c>
    </row>
    <row r="38" spans="2:11">
      <c r="B38" s="3065" t="s">
        <v>3299</v>
      </c>
      <c r="C38" s="2980" t="str">
        <f>'[1]附表1 基础信息表'!$A$17</f>
        <v>叠拼</v>
      </c>
      <c r="D38" s="2979">
        <f t="shared" si="2"/>
        <v>7916.56</v>
      </c>
      <c r="E38" s="2979"/>
      <c r="F38" s="2979"/>
      <c r="G38" s="2979"/>
      <c r="H38" s="2979"/>
      <c r="I38" s="2979">
        <v>7916.56</v>
      </c>
      <c r="J38" s="2979"/>
    </row>
    <row r="39" spans="2:11">
      <c r="B39" s="3065"/>
      <c r="C39" s="2980" t="s">
        <v>3300</v>
      </c>
      <c r="D39" s="2979">
        <f t="shared" si="2"/>
        <v>0</v>
      </c>
      <c r="E39" s="2979"/>
      <c r="F39" s="2979"/>
      <c r="G39" s="2979"/>
      <c r="H39" s="2979"/>
      <c r="I39" s="2979"/>
      <c r="J39" s="2979"/>
    </row>
    <row r="40" spans="2:11">
      <c r="B40" s="3065"/>
      <c r="C40" s="2980" t="s">
        <v>3301</v>
      </c>
      <c r="D40" s="2979">
        <f t="shared" si="2"/>
        <v>0</v>
      </c>
      <c r="E40" s="2979"/>
      <c r="F40" s="2979"/>
      <c r="G40" s="2979"/>
      <c r="H40" s="2979">
        <v>0</v>
      </c>
      <c r="I40" s="2979"/>
      <c r="J40" s="2979"/>
    </row>
    <row r="41" spans="2:11">
      <c r="B41" s="3065"/>
      <c r="C41" s="2982" t="s">
        <v>40</v>
      </c>
      <c r="D41" s="2979">
        <f t="shared" si="2"/>
        <v>7916.56</v>
      </c>
      <c r="E41" s="2979">
        <v>0</v>
      </c>
      <c r="F41" s="2979">
        <v>0</v>
      </c>
      <c r="G41" s="2979">
        <v>0</v>
      </c>
      <c r="H41" s="2983">
        <v>0</v>
      </c>
      <c r="I41" s="2979">
        <v>7916.56</v>
      </c>
      <c r="J41" s="2979">
        <v>0</v>
      </c>
    </row>
    <row r="42" spans="2:11">
      <c r="B42" s="3065" t="s">
        <v>3302</v>
      </c>
      <c r="C42" s="2980" t="s">
        <v>3303</v>
      </c>
      <c r="D42" s="2979">
        <f t="shared" si="2"/>
        <v>3500</v>
      </c>
      <c r="E42" s="2984">
        <v>3500</v>
      </c>
      <c r="F42" s="2984">
        <v>0</v>
      </c>
      <c r="G42" s="2984">
        <v>0</v>
      </c>
      <c r="H42" s="2984"/>
      <c r="I42" s="2984">
        <v>0</v>
      </c>
      <c r="J42" s="2984">
        <v>0</v>
      </c>
    </row>
    <row r="43" spans="2:11">
      <c r="B43" s="3065"/>
      <c r="C43" s="2980" t="str">
        <f>'[1]附表1 基础信息表'!$A$20</f>
        <v>LOFT公寓</v>
      </c>
      <c r="D43" s="2979">
        <f t="shared" si="2"/>
        <v>71073.37</v>
      </c>
      <c r="E43" s="2984">
        <v>64498.25</v>
      </c>
      <c r="F43" s="2984"/>
      <c r="G43" s="2984"/>
      <c r="H43" s="2984">
        <v>6575.12</v>
      </c>
      <c r="I43" s="2984"/>
      <c r="J43" s="2984">
        <v>0</v>
      </c>
    </row>
    <row r="44" spans="2:11">
      <c r="B44" s="3065"/>
      <c r="C44" s="2980" t="str">
        <f>'[1]附表1 基础信息表'!$A$21</f>
        <v>SOHO平层公寓</v>
      </c>
      <c r="D44" s="2979">
        <f t="shared" si="2"/>
        <v>74292.06</v>
      </c>
      <c r="E44" s="2984">
        <v>1507</v>
      </c>
      <c r="F44" s="2984">
        <v>0</v>
      </c>
      <c r="G44" s="2984">
        <v>0</v>
      </c>
      <c r="H44" s="2984">
        <v>72785.06</v>
      </c>
      <c r="I44" s="2984"/>
      <c r="J44" s="2984"/>
    </row>
    <row r="45" spans="2:11">
      <c r="B45" s="3065"/>
      <c r="C45" s="2980" t="str">
        <f>'[1]附表1 基础信息表'!$A$22</f>
        <v>商业</v>
      </c>
      <c r="D45" s="2979">
        <f t="shared" si="2"/>
        <v>16908.439999999999</v>
      </c>
      <c r="E45" s="2984">
        <v>3076</v>
      </c>
      <c r="F45" s="2984">
        <v>0</v>
      </c>
      <c r="G45" s="2984">
        <v>0</v>
      </c>
      <c r="H45" s="2984">
        <v>5554.74</v>
      </c>
      <c r="I45" s="2984">
        <v>3277.7</v>
      </c>
      <c r="J45" s="2984">
        <v>5000</v>
      </c>
    </row>
    <row r="46" spans="2:11">
      <c r="B46" s="3065"/>
      <c r="C46" s="2980" t="str">
        <f>'[1]附表1 基础信息表'!$A$23</f>
        <v>工厂改造</v>
      </c>
      <c r="D46" s="2979">
        <f t="shared" si="2"/>
        <v>17353.349999999999</v>
      </c>
      <c r="E46" s="2984"/>
      <c r="F46" s="2984"/>
      <c r="G46" s="2984"/>
      <c r="H46" s="2984"/>
      <c r="I46" s="2984"/>
      <c r="J46" s="2984">
        <v>17353.349999999999</v>
      </c>
    </row>
    <row r="47" spans="2:11">
      <c r="B47" s="3065"/>
      <c r="C47" s="2980" t="str">
        <f>'[1]附表1 基础信息表'!$A$24</f>
        <v>三馆建设</v>
      </c>
      <c r="D47" s="2979">
        <f t="shared" si="2"/>
        <v>22000</v>
      </c>
      <c r="E47" s="2984">
        <v>22000</v>
      </c>
      <c r="F47" s="2984"/>
      <c r="G47" s="2984"/>
      <c r="H47" s="2984"/>
      <c r="I47" s="2984"/>
      <c r="J47" s="2984"/>
    </row>
    <row r="48" spans="2:11">
      <c r="B48" s="3065"/>
      <c r="C48" s="2980" t="s">
        <v>3304</v>
      </c>
      <c r="D48" s="2979">
        <f t="shared" si="2"/>
        <v>10402.82</v>
      </c>
      <c r="E48" s="2984"/>
      <c r="F48" s="2984"/>
      <c r="G48" s="2984">
        <v>5787.1</v>
      </c>
      <c r="H48" s="2984"/>
      <c r="I48" s="2984">
        <v>4615.7199999999993</v>
      </c>
      <c r="J48" s="2984">
        <v>0</v>
      </c>
    </row>
    <row r="49" spans="2:10">
      <c r="B49" s="3065"/>
      <c r="C49" s="2980" t="s">
        <v>3305</v>
      </c>
      <c r="D49" s="2979">
        <f t="shared" si="2"/>
        <v>75706.95</v>
      </c>
      <c r="E49" s="2984">
        <v>22298</v>
      </c>
      <c r="F49" s="2985">
        <v>7754.3</v>
      </c>
      <c r="G49" s="2984">
        <v>20225.650000000001</v>
      </c>
      <c r="H49" s="2984">
        <v>19309</v>
      </c>
      <c r="I49" s="2984">
        <v>6120</v>
      </c>
      <c r="J49" s="2984">
        <v>0</v>
      </c>
    </row>
    <row r="50" spans="2:10">
      <c r="B50" s="3065"/>
      <c r="C50" s="2980" t="s">
        <v>3306</v>
      </c>
      <c r="D50" s="2979">
        <f t="shared" si="2"/>
        <v>54196.659999999996</v>
      </c>
      <c r="E50" s="2984">
        <v>7592</v>
      </c>
      <c r="F50" s="2985">
        <v>3502</v>
      </c>
      <c r="G50" s="2984">
        <v>11185.31</v>
      </c>
      <c r="H50" s="2984">
        <v>6841</v>
      </c>
      <c r="I50" s="2984">
        <v>2723</v>
      </c>
      <c r="J50" s="2984">
        <v>22353.35</v>
      </c>
    </row>
    <row r="51" spans="2:10">
      <c r="B51" s="3065"/>
      <c r="C51" s="2982" t="s">
        <v>40</v>
      </c>
      <c r="D51" s="2979">
        <f t="shared" si="2"/>
        <v>323080.29999999993</v>
      </c>
      <c r="E51" s="2984">
        <v>124471.25</v>
      </c>
      <c r="F51" s="2986">
        <v>11256.3</v>
      </c>
      <c r="G51" s="2984">
        <v>37198.06</v>
      </c>
      <c r="H51" s="2984">
        <v>111064.92</v>
      </c>
      <c r="I51" s="2984">
        <v>16736.419999999998</v>
      </c>
      <c r="J51" s="2984">
        <v>22353.35</v>
      </c>
    </row>
  </sheetData>
  <mergeCells count="8">
    <mergeCell ref="I1:K1"/>
    <mergeCell ref="C1:C2"/>
    <mergeCell ref="B31:B37"/>
    <mergeCell ref="B38:B41"/>
    <mergeCell ref="B42:B51"/>
    <mergeCell ref="F1:H1"/>
    <mergeCell ref="D1:E1"/>
    <mergeCell ref="B1:B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1933</v>
      </c>
      <c r="B1" s="1392"/>
      <c r="C1" s="1392"/>
      <c r="D1" s="1392"/>
      <c r="E1" s="1392"/>
      <c r="F1" s="1392"/>
      <c r="G1" s="1392"/>
      <c r="H1" s="1392"/>
      <c r="I1" s="1392"/>
      <c r="J1" s="1392"/>
      <c r="K1" s="1392"/>
      <c r="L1" s="1392"/>
      <c r="M1" s="1392"/>
      <c r="N1" s="1392"/>
      <c r="O1" s="1392"/>
      <c r="P1" s="1392"/>
    </row>
    <row r="2" spans="1:16" ht="14.4">
      <c r="A2" s="3076" t="s">
        <v>1934</v>
      </c>
      <c r="B2" s="3076"/>
      <c r="C2" s="3076"/>
      <c r="D2" s="967" t="s">
        <v>1910</v>
      </c>
      <c r="E2" s="2227" t="s">
        <v>1911</v>
      </c>
      <c r="F2" s="1392"/>
      <c r="G2" s="2228"/>
      <c r="H2" s="2229"/>
      <c r="I2" s="2230" t="s">
        <v>1935</v>
      </c>
      <c r="J2" s="1392"/>
      <c r="K2" s="1392"/>
      <c r="L2" s="1392"/>
      <c r="M2" s="1392"/>
      <c r="N2" s="1427"/>
      <c r="O2" s="1392"/>
      <c r="P2" s="1392"/>
    </row>
    <row r="3" spans="1:16" ht="15" thickBot="1">
      <c r="A3" s="3077" t="s">
        <v>1908</v>
      </c>
      <c r="B3" s="3077"/>
      <c r="C3" s="3077"/>
      <c r="D3" s="46">
        <f>'数据-基础表'!AY6</f>
        <v>72927</v>
      </c>
      <c r="E3" s="46">
        <f>'数据-基础表'!AZ5</f>
        <v>176567.06999999998</v>
      </c>
      <c r="F3" s="1392"/>
      <c r="G3" s="1399"/>
      <c r="H3" s="1247" t="s">
        <v>1909</v>
      </c>
      <c r="I3" s="55">
        <f>ROUND('数据-基础表'!B3/'数据-基础表'!A3,2)</f>
        <v>2.42</v>
      </c>
      <c r="J3" s="1392"/>
      <c r="K3" s="1392"/>
      <c r="L3" s="1392"/>
      <c r="M3" s="1392"/>
      <c r="N3" s="1427"/>
      <c r="O3" s="1392"/>
      <c r="P3" s="1392"/>
    </row>
    <row r="4" spans="1:16" ht="14.4">
      <c r="A4" s="3078"/>
      <c r="B4" s="3079"/>
      <c r="C4" s="3080"/>
      <c r="D4" s="2231" t="s">
        <v>1910</v>
      </c>
      <c r="E4" s="2232" t="s">
        <v>1911</v>
      </c>
      <c r="F4" s="1392"/>
      <c r="G4" s="2233" t="s">
        <v>1936</v>
      </c>
      <c r="H4" s="1247" t="s">
        <v>1916</v>
      </c>
      <c r="I4" s="55">
        <f>ROUND(SUMIF('数据-基础表'!I9:AS9,"地上",'数据-基础表'!I5:AS5)/'数据-基础表'!A3,2)</f>
        <v>1.9</v>
      </c>
      <c r="J4" s="1392"/>
      <c r="K4" s="1392"/>
      <c r="L4" s="1392"/>
      <c r="M4" s="1392"/>
      <c r="N4" s="1427"/>
      <c r="O4" s="1392"/>
      <c r="P4" s="1392"/>
    </row>
    <row r="5" spans="1:16" ht="14.4">
      <c r="A5" s="47" t="s">
        <v>1912</v>
      </c>
      <c r="B5" s="3081" t="s">
        <v>1913</v>
      </c>
      <c r="C5" s="3081"/>
      <c r="D5" s="48">
        <f>ROUND($D$3*E5/$E$3,2)</f>
        <v>54763.34</v>
      </c>
      <c r="E5" s="49">
        <f>SUMIF('数据-基础表'!$11:$11,"住宅",'数据-基础表'!$5:$5)</f>
        <v>132590.15999999997</v>
      </c>
      <c r="F5" s="1392"/>
      <c r="G5" s="1399"/>
      <c r="H5" s="1247" t="s">
        <v>1909</v>
      </c>
      <c r="I5" s="55">
        <f>ROUND(E31/D31,2)</f>
        <v>2.42</v>
      </c>
      <c r="J5" s="1392"/>
      <c r="K5" s="1392"/>
      <c r="L5" s="1392"/>
      <c r="M5" s="1392"/>
      <c r="N5" s="1392"/>
      <c r="O5" s="1392"/>
      <c r="P5" s="1392"/>
    </row>
    <row r="6" spans="1:16" ht="15" thickBot="1">
      <c r="A6" s="2234"/>
      <c r="B6" s="3081" t="s">
        <v>1914</v>
      </c>
      <c r="C6" s="3081"/>
      <c r="D6" s="48">
        <f>ROUND($D$3*E6/$E$3,2)</f>
        <v>18163.66</v>
      </c>
      <c r="E6" s="49">
        <f>E3-E5</f>
        <v>43976.91</v>
      </c>
      <c r="F6" s="1392"/>
      <c r="G6" s="2235" t="s">
        <v>1915</v>
      </c>
      <c r="H6" s="1399" t="s">
        <v>1916</v>
      </c>
      <c r="I6" s="939">
        <f>ROUND(F31/D31,2)</f>
        <v>1.9</v>
      </c>
      <c r="J6" s="1392"/>
      <c r="K6" s="1392"/>
      <c r="L6" s="1392"/>
      <c r="M6" s="1392"/>
      <c r="N6" s="1392"/>
      <c r="O6" s="1392"/>
      <c r="P6" s="1392"/>
    </row>
    <row r="7" spans="1:16" ht="14.4">
      <c r="A7" s="3073"/>
      <c r="B7" s="3074"/>
      <c r="C7" s="3075"/>
      <c r="D7" s="2231" t="s">
        <v>1910</v>
      </c>
      <c r="E7" s="2236" t="s">
        <v>1917</v>
      </c>
      <c r="F7" s="1392"/>
      <c r="G7" s="2228" t="s">
        <v>1918</v>
      </c>
      <c r="H7" s="64"/>
      <c r="I7" s="420"/>
      <c r="J7" s="1392"/>
      <c r="K7" s="1392"/>
      <c r="L7" s="1392"/>
      <c r="M7" s="1392"/>
      <c r="N7" s="1392"/>
      <c r="O7" s="1392"/>
      <c r="P7" s="1392"/>
    </row>
    <row r="8" spans="1:16" ht="14.4">
      <c r="A8" s="47" t="s">
        <v>1919</v>
      </c>
      <c r="B8" s="50" t="s">
        <v>1920</v>
      </c>
      <c r="C8" s="48" t="s">
        <v>1921</v>
      </c>
      <c r="D8" s="48">
        <f t="shared" ref="D8:D15" si="0">ROUND($D$3*E8/$E$3,2)</f>
        <v>54763.34</v>
      </c>
      <c r="E8" s="51">
        <f>SUMIF('数据-基础表'!BB10:BK10,"地上",'数据-基础表'!BB5:BK5)</f>
        <v>132590.15999999997</v>
      </c>
      <c r="F8" s="1392"/>
      <c r="G8" s="2237"/>
      <c r="H8" s="2237"/>
      <c r="I8" s="1392"/>
      <c r="J8" s="1392"/>
      <c r="K8" s="1392"/>
      <c r="L8" s="1392"/>
      <c r="M8" s="1392"/>
      <c r="N8" s="1392"/>
      <c r="O8" s="1392"/>
      <c r="P8" s="1392"/>
    </row>
    <row r="9" spans="1:16" ht="14.4">
      <c r="A9" s="2238"/>
      <c r="B9" s="2239"/>
      <c r="C9" s="48" t="s">
        <v>1922</v>
      </c>
      <c r="D9" s="48">
        <f t="shared" si="0"/>
        <v>0</v>
      </c>
      <c r="E9" s="52">
        <v>0</v>
      </c>
      <c r="F9" s="1392"/>
      <c r="G9" s="2237"/>
      <c r="H9" s="2237"/>
      <c r="I9" s="1392"/>
      <c r="J9" s="1392"/>
      <c r="K9" s="1392"/>
      <c r="L9" s="1392"/>
      <c r="M9" s="1392"/>
      <c r="N9" s="1392"/>
      <c r="O9" s="1392"/>
      <c r="P9" s="1392"/>
    </row>
    <row r="10" spans="1:16" ht="14.4">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ht="14.4">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ht="14.4">
      <c r="A12" s="2238"/>
      <c r="B12" s="2239"/>
      <c r="C12" s="48" t="s">
        <v>1924</v>
      </c>
      <c r="D12" s="48">
        <f t="shared" si="0"/>
        <v>2722.71</v>
      </c>
      <c r="E12" s="51">
        <f>SUMPRODUCT(('数据-基础表'!BB10:BK10="地下")*('数据-基础表'!BB11:BK11="仓储")*('数据-基础表'!BB5:BK5))</f>
        <v>6592.079999999999</v>
      </c>
      <c r="F12" s="1392"/>
      <c r="G12" s="2237"/>
      <c r="H12" s="2237"/>
      <c r="I12" s="1392"/>
      <c r="J12" s="1392"/>
      <c r="K12" s="1392"/>
      <c r="L12" s="1392"/>
      <c r="M12" s="1392"/>
      <c r="N12" s="1392"/>
      <c r="O12" s="1392"/>
      <c r="P12" s="1392"/>
    </row>
    <row r="13" spans="1:16" ht="14.4">
      <c r="A13" s="2238"/>
      <c r="B13" s="2239"/>
      <c r="C13" s="48" t="s">
        <v>1925</v>
      </c>
      <c r="D13" s="48">
        <f t="shared" si="0"/>
        <v>12974.83</v>
      </c>
      <c r="E13" s="51">
        <f>SUMPRODUCT(('数据-基础表'!BB10:BK10="地下")*('数据-基础表'!BB11:BK11="车库")*('数据-基础表'!BB5:BK5))</f>
        <v>31413.989999999998</v>
      </c>
      <c r="F13" s="1392"/>
      <c r="G13" s="2237"/>
      <c r="H13" s="2237"/>
      <c r="I13" s="1392"/>
      <c r="J13" s="1392"/>
      <c r="K13" s="1392"/>
      <c r="L13" s="1392"/>
      <c r="M13" s="1392"/>
      <c r="N13" s="1392"/>
      <c r="O13" s="1392"/>
      <c r="P13" s="1392"/>
    </row>
    <row r="14" spans="1:16" ht="14.4">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 thickBot="1">
      <c r="A16" s="2234"/>
      <c r="B16" s="2239"/>
      <c r="C16" s="50" t="s">
        <v>1926</v>
      </c>
      <c r="D16" s="50">
        <f>SUM(D8:D15)</f>
        <v>70460.87999999999</v>
      </c>
      <c r="E16" s="53">
        <f>SUM(E8:E15)</f>
        <v>170596.22999999995</v>
      </c>
      <c r="F16" s="1392"/>
      <c r="G16" s="2237"/>
      <c r="H16" s="2240" t="s">
        <v>1938</v>
      </c>
      <c r="I16" s="2241"/>
      <c r="J16" s="1392"/>
      <c r="K16" s="3070" t="s">
        <v>1938</v>
      </c>
      <c r="L16" s="3071"/>
      <c r="M16" s="3071"/>
      <c r="N16" s="3071"/>
      <c r="O16" s="3071"/>
      <c r="P16" s="3072"/>
    </row>
    <row r="17" spans="1:19" ht="14.4">
      <c r="A17" s="2242" t="s">
        <v>1939</v>
      </c>
      <c r="B17" s="2243" t="s">
        <v>1940</v>
      </c>
      <c r="C17" s="2244" t="s">
        <v>1941</v>
      </c>
      <c r="D17" s="2245" t="s">
        <v>1929</v>
      </c>
      <c r="E17" s="2246" t="s">
        <v>1930</v>
      </c>
      <c r="F17" s="2247"/>
      <c r="G17" s="2248"/>
      <c r="H17" s="2249" t="s">
        <v>1942</v>
      </c>
      <c r="I17" s="2250" t="s">
        <v>1927</v>
      </c>
      <c r="J17" s="1392"/>
      <c r="K17" s="3067" t="s">
        <v>1943</v>
      </c>
      <c r="L17" s="3068"/>
      <c r="M17" s="3069"/>
      <c r="N17" s="3067" t="s">
        <v>1944</v>
      </c>
      <c r="O17" s="3068"/>
      <c r="P17" s="3069"/>
      <c r="R17" s="2228" t="s">
        <v>1945</v>
      </c>
      <c r="S17" s="64"/>
    </row>
    <row r="18" spans="1:19" ht="14.4">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ht="14.4">
      <c r="A19" s="2259"/>
      <c r="B19" s="50" t="s">
        <v>1928</v>
      </c>
      <c r="C19" s="2970" t="s">
        <v>3135</v>
      </c>
      <c r="D19" s="48">
        <f>ROUND($D$3*E19/$E$3,2)</f>
        <v>54763.34</v>
      </c>
      <c r="E19" s="56">
        <f t="shared" ref="E19:E26" si="1">SUM(F19:G19)</f>
        <v>132590.15999999997</v>
      </c>
      <c r="F19" s="57">
        <f>'数据-基础表'!I13+'数据-基础表'!I14</f>
        <v>132590.15999999997</v>
      </c>
      <c r="G19" s="58"/>
      <c r="H19" s="723">
        <f>ROUND($D$3*I19/$E$3,2)</f>
        <v>2466.12</v>
      </c>
      <c r="I19" s="51">
        <f t="shared" ref="I19:I26" si="2">IF($I$17="自定义",P19,M19)</f>
        <v>5970.84</v>
      </c>
      <c r="J19" s="1392"/>
      <c r="K19" s="1391">
        <f t="shared" ref="K19:K26" si="3">ROUND(E$28*E19/E$27,2)</f>
        <v>0</v>
      </c>
      <c r="L19" s="1247">
        <f t="shared" ref="L19:L26" si="4">ROUND(IF(COUNTIF(C19,"*住宅*")&gt;0,E$29*E19/E$32,0),2)</f>
        <v>5970.84</v>
      </c>
      <c r="M19" s="1403">
        <f>K19+L19</f>
        <v>5970.84</v>
      </c>
      <c r="N19" s="2260"/>
      <c r="O19" s="2261"/>
      <c r="P19" s="1403">
        <f>N19+O19</f>
        <v>0</v>
      </c>
      <c r="R19" s="1247">
        <f t="shared" ref="R19:S26" si="5">D19+H19</f>
        <v>57229.46</v>
      </c>
      <c r="S19" s="1248">
        <f t="shared" si="5"/>
        <v>138560.99999999997</v>
      </c>
    </row>
    <row r="20" spans="1:19" ht="14.4">
      <c r="A20" s="2262"/>
      <c r="B20" s="50" t="s">
        <v>1956</v>
      </c>
      <c r="C20" s="2970" t="s">
        <v>3136</v>
      </c>
      <c r="D20" s="48">
        <f t="shared" ref="D20:D26" si="6">ROUND($D$3*E20/$E$3,2)</f>
        <v>0</v>
      </c>
      <c r="E20" s="56">
        <f t="shared" si="1"/>
        <v>0</v>
      </c>
      <c r="F20" s="57">
        <f>'数据-基础表'!K13</f>
        <v>0</v>
      </c>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ht="14.4">
      <c r="A21" s="2262"/>
      <c r="B21" s="50" t="s">
        <v>1956</v>
      </c>
      <c r="C21" s="2970" t="s">
        <v>3137</v>
      </c>
      <c r="D21" s="48">
        <f t="shared" si="6"/>
        <v>12974.83</v>
      </c>
      <c r="E21" s="56">
        <f t="shared" si="1"/>
        <v>31413.989999999998</v>
      </c>
      <c r="F21" s="57"/>
      <c r="G21" s="58">
        <f>'数据-基础表'!M13</f>
        <v>31413.989999999998</v>
      </c>
      <c r="H21" s="723">
        <f t="shared" si="7"/>
        <v>0</v>
      </c>
      <c r="I21" s="51">
        <f t="shared" si="2"/>
        <v>0</v>
      </c>
      <c r="J21" s="1392"/>
      <c r="K21" s="1391">
        <f t="shared" si="3"/>
        <v>0</v>
      </c>
      <c r="L21" s="1247">
        <f t="shared" si="4"/>
        <v>0</v>
      </c>
      <c r="M21" s="1403">
        <f t="shared" si="8"/>
        <v>0</v>
      </c>
      <c r="N21" s="2260"/>
      <c r="O21" s="2261"/>
      <c r="P21" s="1403">
        <f t="shared" si="9"/>
        <v>0</v>
      </c>
      <c r="R21" s="1247">
        <f t="shared" si="5"/>
        <v>12974.83</v>
      </c>
      <c r="S21" s="1248">
        <f t="shared" si="5"/>
        <v>31413.989999999998</v>
      </c>
    </row>
    <row r="22" spans="1:19" ht="14.4">
      <c r="A22" s="2262"/>
      <c r="B22" s="50" t="s">
        <v>1956</v>
      </c>
      <c r="C22" s="2971" t="s">
        <v>3138</v>
      </c>
      <c r="D22" s="48">
        <f t="shared" si="6"/>
        <v>2722.71</v>
      </c>
      <c r="E22" s="56">
        <f t="shared" si="1"/>
        <v>6592.079999999999</v>
      </c>
      <c r="F22" s="61"/>
      <c r="G22" s="62">
        <f>'数据-基础表'!O13+'数据-基础表'!O14</f>
        <v>6592.079999999999</v>
      </c>
      <c r="H22" s="723">
        <f t="shared" si="7"/>
        <v>0</v>
      </c>
      <c r="I22" s="51">
        <f t="shared" si="2"/>
        <v>0</v>
      </c>
      <c r="J22" s="1392"/>
      <c r="K22" s="1391">
        <f t="shared" si="3"/>
        <v>0</v>
      </c>
      <c r="L22" s="1247">
        <f t="shared" si="4"/>
        <v>0</v>
      </c>
      <c r="M22" s="1403">
        <f t="shared" si="8"/>
        <v>0</v>
      </c>
      <c r="N22" s="2260"/>
      <c r="O22" s="2261"/>
      <c r="P22" s="1403">
        <f t="shared" si="9"/>
        <v>0</v>
      </c>
      <c r="R22" s="1247">
        <f t="shared" si="5"/>
        <v>2722.71</v>
      </c>
      <c r="S22" s="1248">
        <f t="shared" si="5"/>
        <v>6592.079999999999</v>
      </c>
    </row>
    <row r="23" spans="1:19" ht="14.4">
      <c r="A23" s="2262"/>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ht="14.4">
      <c r="A24" s="2262"/>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ht="14.4">
      <c r="A25" s="2262"/>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ht="14.4">
      <c r="A26" s="226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 thickBot="1">
      <c r="A27" s="2262"/>
      <c r="B27" s="48"/>
      <c r="C27" s="2265" t="s">
        <v>1957</v>
      </c>
      <c r="D27" s="1393">
        <f>SUM(D19:D26)</f>
        <v>70460.88</v>
      </c>
      <c r="E27" s="1394">
        <f>IF(SUM(E19:E26)='数据-基础表'!BA5,SUM(E19:E26),IF(F27="地上面积有误","面积有误","地下面积有误"))</f>
        <v>170596.22999999995</v>
      </c>
      <c r="F27" s="1393">
        <f>IF(SUM(F19:F26)=E8,SUM(F19:F26),"地上面积有误")</f>
        <v>132590.15999999997</v>
      </c>
      <c r="G27" s="1395">
        <f>SUM(G19:G26)</f>
        <v>38006.07</v>
      </c>
      <c r="H27" s="1396">
        <f>SUM(H19:H26)</f>
        <v>2466.12</v>
      </c>
      <c r="I27" s="1397">
        <f>SUM(I19:I26)</f>
        <v>5970.84</v>
      </c>
      <c r="J27" s="1392"/>
      <c r="K27" s="1400">
        <f>SUM(K19:K26)</f>
        <v>0</v>
      </c>
      <c r="L27" s="1401">
        <f>SUM(L19:L26)</f>
        <v>5970.84</v>
      </c>
      <c r="M27" s="1404">
        <f>SUM(M19:M26)</f>
        <v>5970.84</v>
      </c>
      <c r="N27" s="1400">
        <f t="shared" ref="N27:O27" si="10">SUM(N19:N26)</f>
        <v>0</v>
      </c>
      <c r="O27" s="1401">
        <f t="shared" si="10"/>
        <v>0</v>
      </c>
      <c r="P27" s="1402">
        <f>SUM(P19:P26)</f>
        <v>0</v>
      </c>
      <c r="R27" s="1249">
        <f>IF(SUM(R19:R26)=$D$3,SUM(R19:R26),SUM(R19:R26)&amp;"误差"&amp;ROUND(SUM(R19:R26)-$D$3,2))</f>
        <v>72927</v>
      </c>
      <c r="S27" s="1247">
        <f>IF(SUM(S19:S26)=$E$3,SUM(S19:S26),SUM(S19:S26)&amp;"误差"&amp;ROUND(SUM(S19:S26)-E3,2))</f>
        <v>176567.06999999995</v>
      </c>
    </row>
    <row r="28" spans="1:19" ht="14.4">
      <c r="A28" s="2262"/>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2"/>
      <c r="B29" s="50" t="s">
        <v>1958</v>
      </c>
      <c r="C29" s="2266" t="s">
        <v>1960</v>
      </c>
      <c r="D29" s="48">
        <f>ROUND($D$3*E29/$E$3,2)</f>
        <v>2466.12</v>
      </c>
      <c r="E29" s="56">
        <f>SUM(F29:G29)</f>
        <v>5970.84</v>
      </c>
      <c r="F29" s="66">
        <f>'数据-基础表'!BM5+'数据-基础表'!BO5</f>
        <v>5970.84</v>
      </c>
      <c r="G29" s="67">
        <f>'数据-基础表'!BN5+'数据-基础表'!BP5</f>
        <v>0</v>
      </c>
      <c r="H29" s="1392"/>
      <c r="I29" s="1392"/>
      <c r="J29" s="1392"/>
      <c r="K29" s="1392"/>
      <c r="L29" s="1392"/>
      <c r="M29" s="1392"/>
      <c r="N29" s="1392"/>
      <c r="O29" s="1392"/>
      <c r="P29" s="1392"/>
    </row>
    <row r="30" spans="1:19" ht="14.4">
      <c r="A30" s="2262"/>
      <c r="B30" s="50"/>
      <c r="C30" s="2267" t="s">
        <v>1957</v>
      </c>
      <c r="D30" s="1393">
        <f>SUM(D28:D29)</f>
        <v>2466.12</v>
      </c>
      <c r="E30" s="1393">
        <f>SUM(E28:E29)</f>
        <v>5970.84</v>
      </c>
      <c r="F30" s="1393">
        <f>SUM(F28:F29)</f>
        <v>5970.84</v>
      </c>
      <c r="G30" s="1395">
        <f>SUM(G28:G29)</f>
        <v>0</v>
      </c>
      <c r="H30" s="1392"/>
      <c r="I30" s="1392"/>
      <c r="J30" s="1392"/>
      <c r="K30" s="1392"/>
      <c r="L30" s="1392"/>
      <c r="M30" s="1392"/>
      <c r="N30" s="1392"/>
      <c r="O30" s="1392"/>
      <c r="P30" s="1392"/>
    </row>
    <row r="31" spans="1:19" ht="15" thickBot="1">
      <c r="A31" s="2268"/>
      <c r="B31" s="2269"/>
      <c r="C31" s="1007" t="s">
        <v>1961</v>
      </c>
      <c r="D31" s="729">
        <f>D27+D30</f>
        <v>72927</v>
      </c>
      <c r="E31" s="729">
        <f>E27+E30</f>
        <v>176567.06999999995</v>
      </c>
      <c r="F31" s="730">
        <f>F27+F30</f>
        <v>138560.99999999997</v>
      </c>
      <c r="G31" s="731">
        <f>G27+G30</f>
        <v>38006.07</v>
      </c>
      <c r="H31" s="1392"/>
      <c r="I31" s="1392"/>
      <c r="J31" s="1392"/>
      <c r="K31" s="1392"/>
      <c r="L31" s="1392"/>
      <c r="M31" s="1392"/>
      <c r="N31" s="1392"/>
      <c r="O31" s="1392"/>
      <c r="P31" s="1392"/>
    </row>
    <row r="32" spans="1:19" ht="14.4">
      <c r="A32" s="2233"/>
      <c r="B32" s="2233" t="s">
        <v>1962</v>
      </c>
      <c r="C32" s="2233"/>
      <c r="D32" s="2233"/>
      <c r="E32" s="1274">
        <f>SUMIF(C19:C26,"*住宅*",E19:E26)</f>
        <v>132590.15999999997</v>
      </c>
      <c r="F32" s="2233"/>
      <c r="G32" s="2233"/>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N24" sqref="N24"/>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9"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1963</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5" t="s">
        <v>1964</v>
      </c>
      <c r="B2" s="1266">
        <f>项目基本情况!D3</f>
        <v>43923</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4.4"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4" t="s">
        <v>1969</v>
      </c>
      <c r="AA4" s="2244"/>
      <c r="AB4" s="2244"/>
      <c r="AC4" s="2244"/>
      <c r="AD4" s="2244"/>
      <c r="AE4" s="2242" t="s">
        <v>1970</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57.6">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7" t="s">
        <v>1991</v>
      </c>
      <c r="V5" s="1268" t="s">
        <v>1992</v>
      </c>
      <c r="W5" s="1268" t="s">
        <v>1993</v>
      </c>
      <c r="X5" s="71"/>
      <c r="Y5" s="70" t="s">
        <v>1994</v>
      </c>
      <c r="Z5" s="2302" t="s">
        <v>1991</v>
      </c>
      <c r="AA5" s="1268" t="s">
        <v>1992</v>
      </c>
      <c r="AB5" s="1268" t="s">
        <v>1993</v>
      </c>
      <c r="AC5" s="71"/>
      <c r="AD5" s="71" t="s">
        <v>1994</v>
      </c>
      <c r="AE5" s="1267" t="s">
        <v>1995</v>
      </c>
      <c r="AF5" s="1268" t="s">
        <v>1996</v>
      </c>
      <c r="AG5" s="70" t="s">
        <v>1997</v>
      </c>
      <c r="AH5" s="1267" t="s">
        <v>1998</v>
      </c>
      <c r="AI5" s="2302" t="s">
        <v>1999</v>
      </c>
      <c r="AJ5" s="2302" t="s">
        <v>2000</v>
      </c>
      <c r="AK5" s="1268" t="s">
        <v>2001</v>
      </c>
      <c r="AL5" s="1268" t="s">
        <v>2002</v>
      </c>
      <c r="AM5" s="70" t="s">
        <v>2003</v>
      </c>
      <c r="AN5" s="2303" t="s">
        <v>2004</v>
      </c>
      <c r="AO5" s="2074" t="s">
        <v>2005</v>
      </c>
      <c r="AP5" s="1249" t="s">
        <v>2006</v>
      </c>
      <c r="AQ5" s="2304" t="s">
        <v>2007</v>
      </c>
      <c r="AR5" s="2304"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3.8">
      <c r="A6" s="2305" t="str">
        <f>'数据-汇总表'!C19</f>
        <v>住宅</v>
      </c>
      <c r="B6" s="2306" t="str">
        <f>IF(A6=0,"","经营性")</f>
        <v>经营性</v>
      </c>
      <c r="C6" s="2307" t="s">
        <v>3089</v>
      </c>
      <c r="D6" s="1051">
        <f>SUMIF(项目基本情况!D$12:I$12,C6,项目基本情况!D$14:I$14)</f>
        <v>70</v>
      </c>
      <c r="E6" s="1048">
        <f>IF(B6="","",SUMIF(项目基本情况!D$12:I$12,C6,项目基本情况!D$13:I$13))</f>
        <v>69169</v>
      </c>
      <c r="F6" s="72">
        <f>SUMIF(项目基本情况!D$12:I$12,C6,项目基本情况!D$15:I$15)</f>
        <v>69.16</v>
      </c>
      <c r="G6" s="73">
        <f>IF(ISERROR(ROUND(POWER(1+H6,D6-F6)*(POWER(1+H6,F6)-1)/(POWER(1+H6,D6)-1),3)),0,ROUND(POWER(1+H6,D6-F6)*(POWER(1+H6,F6)-1)/(POWER(1+H6,D6)-1),3))</f>
        <v>0.998</v>
      </c>
      <c r="H6" s="802">
        <v>4.4999999999999998E-2</v>
      </c>
      <c r="I6" s="802">
        <v>0.05</v>
      </c>
      <c r="J6" s="74">
        <v>8.5000000000000006E-2</v>
      </c>
      <c r="K6" s="1251">
        <f>SUMIF('数据-汇总表'!C$19:C$33,A6,'数据-汇总表'!E$19:E$33)</f>
        <v>132590.15999999997</v>
      </c>
      <c r="L6" s="803">
        <v>3000</v>
      </c>
      <c r="M6" s="75">
        <f t="shared" ref="M6:M14" si="0">ROUND(K6*L6/10000,0)</f>
        <v>39777</v>
      </c>
      <c r="N6" s="801">
        <v>0.05</v>
      </c>
      <c r="O6" s="75">
        <f>IF($N$5="成新度","——",ROUND(M6*N6,0))</f>
        <v>1989</v>
      </c>
      <c r="P6" s="76">
        <f>IF($N$5="成新度","——",M6-O6)</f>
        <v>37788</v>
      </c>
      <c r="Q6" s="804">
        <v>0.15</v>
      </c>
      <c r="R6" s="77">
        <f ca="1">SUMIF('数据-汇总表'!C$19:C$33,A6,'数据-汇总表'!R$19:R$27)</f>
        <v>57229.46</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8"/>
      <c r="AO6" s="55" t="e">
        <f ca="1">SUMIF(INDIRECT("'"&amp;AN6&amp;"'"&amp;"!A:A"),"总价",INDIRECT("'"&amp;AN6&amp;"'"&amp;"!B:B"))</f>
        <v>#REF!</v>
      </c>
      <c r="AP6" s="2309">
        <f>IF(C6="住宅",K6*L6,0)</f>
        <v>397770479.99999994</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3.8">
      <c r="A7" s="2305" t="str">
        <f>'数据-汇总表'!C20</f>
        <v>商业</v>
      </c>
      <c r="B7" s="2306" t="str">
        <f t="shared" ref="B7:B13" si="1">IF(A7=0,"","经营性")</f>
        <v>经营性</v>
      </c>
      <c r="C7" s="2307" t="s">
        <v>1372</v>
      </c>
      <c r="D7" s="1051">
        <f>SUMIF(项目基本情况!D$12:I$12,C7,项目基本情况!D$14:I$14)</f>
        <v>40</v>
      </c>
      <c r="E7" s="1048">
        <f>IF(B7="","",SUMIF(项目基本情况!D$12:I$12,C7,项目基本情况!D$13:I$13))</f>
        <v>58211</v>
      </c>
      <c r="F7" s="72">
        <f>SUMIF(项目基本情况!D$12:I$12,C7,项目基本情况!D$15:I$15)</f>
        <v>39.14</v>
      </c>
      <c r="G7" s="73">
        <f t="shared" ref="G7:G11" si="2">IF(ISERROR(ROUND(POWER(1+H7,D7-F7)*(POWER(1+H7,F7)-1)/(POWER(1+H7,D7)-1),3)),0,ROUND(POWER(1+H7,D7-F7)*(POWER(1+H7,F7)-1)/(POWER(1+H7,D7)-1),3))</f>
        <v>0.99299999999999999</v>
      </c>
      <c r="H7" s="802">
        <v>0.05</v>
      </c>
      <c r="I7" s="802">
        <v>5.5E-2</v>
      </c>
      <c r="J7" s="74">
        <v>8.5000000000000006E-2</v>
      </c>
      <c r="K7" s="1251">
        <f>SUMIF('数据-汇总表'!C$19:C$33,A7,'数据-汇总表'!E$19:E$33)</f>
        <v>0</v>
      </c>
      <c r="L7" s="803">
        <v>2400</v>
      </c>
      <c r="M7" s="75">
        <f t="shared" si="0"/>
        <v>0</v>
      </c>
      <c r="N7" s="801">
        <v>0.05</v>
      </c>
      <c r="O7" s="75">
        <f t="shared" ref="O7:O14" si="3">IF($N$5="成新度","——",ROUND(M7*N7,0))</f>
        <v>0</v>
      </c>
      <c r="P7" s="76">
        <f t="shared" ref="P7:P14" si="4">IF($N$5="成新度","——",M7-O7)</f>
        <v>0</v>
      </c>
      <c r="Q7" s="804">
        <v>0.15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3.8">
      <c r="A8" s="2305" t="str">
        <f>'数据-汇总表'!C21</f>
        <v>地下车库</v>
      </c>
      <c r="B8" s="2306" t="str">
        <f t="shared" si="1"/>
        <v>经营性</v>
      </c>
      <c r="C8" s="2307" t="s">
        <v>3133</v>
      </c>
      <c r="D8" s="1051">
        <f>SUMIF(项目基本情况!D$12:I$12,C8,项目基本情况!D$14:I$14)</f>
        <v>50</v>
      </c>
      <c r="E8" s="1048">
        <f>IF(B8="","",SUMIF(项目基本情况!D$12:I$12,C8,项目基本情况!D$13:I$13))</f>
        <v>61864</v>
      </c>
      <c r="F8" s="72">
        <f>SUMIF(项目基本情况!D$12:I$12,C8,项目基本情况!D$15:I$15)</f>
        <v>49.15</v>
      </c>
      <c r="G8" s="73">
        <f t="shared" si="2"/>
        <v>0.995</v>
      </c>
      <c r="H8" s="802">
        <v>4.4999999999999998E-2</v>
      </c>
      <c r="I8" s="802">
        <v>0.05</v>
      </c>
      <c r="J8" s="74">
        <v>8.5000000000000006E-2</v>
      </c>
      <c r="K8" s="1251">
        <f>SUMIF('数据-汇总表'!C$19:C$33,A8,'数据-汇总表'!E$19:E$33)</f>
        <v>31413.989999999998</v>
      </c>
      <c r="L8" s="803">
        <v>2200</v>
      </c>
      <c r="M8" s="75">
        <f>ROUND(K8*L8/10000,0)</f>
        <v>6911</v>
      </c>
      <c r="N8" s="801">
        <v>0.05</v>
      </c>
      <c r="O8" s="75">
        <f t="shared" si="3"/>
        <v>346</v>
      </c>
      <c r="P8" s="76">
        <f t="shared" si="4"/>
        <v>6565</v>
      </c>
      <c r="Q8" s="804">
        <v>0.03</v>
      </c>
      <c r="R8" s="77">
        <f ca="1">SUMIF('数据-汇总表'!C$19:C$33,A8,'数据-汇总表'!R$19:R$27)</f>
        <v>12974.83</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3.8">
      <c r="A9" s="2305" t="str">
        <f>'数据-汇总表'!C22</f>
        <v>仓储</v>
      </c>
      <c r="B9" s="2306" t="str">
        <f t="shared" si="1"/>
        <v>经营性</v>
      </c>
      <c r="C9" s="2307" t="s">
        <v>3134</v>
      </c>
      <c r="D9" s="1051">
        <f>SUMIF(项目基本情况!D$12:I$12,C9,项目基本情况!D$14:I$14)</f>
        <v>0</v>
      </c>
      <c r="E9" s="1048">
        <f>IF(B9="","",SUMIF(项目基本情况!D$12:I$12,C9,项目基本情况!D$13:I$13))</f>
        <v>0</v>
      </c>
      <c r="F9" s="72">
        <f>SUMIF(项目基本情况!D$12:I$12,C9,项目基本情况!D$15:I$15)</f>
        <v>0</v>
      </c>
      <c r="G9" s="73">
        <f t="shared" si="2"/>
        <v>0</v>
      </c>
      <c r="H9" s="74">
        <v>4.4999999999999998E-2</v>
      </c>
      <c r="I9" s="74">
        <v>0.05</v>
      </c>
      <c r="J9" s="74">
        <v>8.5000000000000006E-2</v>
      </c>
      <c r="K9" s="1251">
        <f>SUMIF('数据-汇总表'!C$19:C$33,A9,'数据-汇总表'!E$19:E$33)</f>
        <v>6592.079999999999</v>
      </c>
      <c r="L9" s="803">
        <v>2200</v>
      </c>
      <c r="M9" s="75">
        <f t="shared" si="0"/>
        <v>1450</v>
      </c>
      <c r="N9" s="801">
        <v>0.05</v>
      </c>
      <c r="O9" s="75">
        <f t="shared" si="3"/>
        <v>73</v>
      </c>
      <c r="P9" s="76">
        <f t="shared" si="4"/>
        <v>1377</v>
      </c>
      <c r="Q9" s="90">
        <v>0.03</v>
      </c>
      <c r="R9" s="77">
        <f ca="1">SUMIF('数据-汇总表'!C$19:C$33,A9,'数据-汇总表'!R$19:R$27)</f>
        <v>2722.71</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4">
      <c r="A14" s="2310" t="s">
        <v>2009</v>
      </c>
      <c r="B14" s="2306" t="s">
        <v>2010</v>
      </c>
      <c r="C14" s="2311"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8.8">
      <c r="A15" s="2310" t="s">
        <v>2011</v>
      </c>
      <c r="B15" s="2306" t="s">
        <v>2010</v>
      </c>
      <c r="C15" s="2311" t="s">
        <v>2012</v>
      </c>
      <c r="D15" s="1051"/>
      <c r="E15" s="1048"/>
      <c r="F15" s="72"/>
      <c r="G15" s="73"/>
      <c r="H15" s="1250"/>
      <c r="I15" s="1250"/>
      <c r="J15" s="1250"/>
      <c r="K15" s="1251">
        <f>SUMIF('数据-汇总表'!C$19:C$33,A15,'数据-汇总表'!E$19:E$33)</f>
        <v>5970.84</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 thickBot="1">
      <c r="A16" s="2312" t="s">
        <v>2013</v>
      </c>
      <c r="B16" s="97"/>
      <c r="C16" s="1005"/>
      <c r="D16" s="2313"/>
      <c r="E16" s="97"/>
      <c r="F16" s="97"/>
      <c r="G16" s="98">
        <f>ROUND(SUMPRODUCT(G6:G13,K6:K13)/SUMPRODUCT((G6:G13&gt;0)*(K6:K13)),3)</f>
        <v>0.997</v>
      </c>
      <c r="H16" s="99">
        <f>ROUND(SUMPRODUCT(H6:H13,K6:K13)/SUMPRODUCT((H6:H13&gt;0)*(K6:K13)),3)</f>
        <v>4.4999999999999998E-2</v>
      </c>
      <c r="I16" s="100"/>
      <c r="J16" s="100"/>
      <c r="K16" s="101">
        <f>SUM(K6:K15)</f>
        <v>176567.06999999995</v>
      </c>
      <c r="L16" s="102">
        <f>ROUND(M16*10000/SUM(K6:K14),0)</f>
        <v>2822</v>
      </c>
      <c r="M16" s="102">
        <f>SUM(M6:M14)</f>
        <v>48138</v>
      </c>
      <c r="N16" s="103">
        <f>ROUND(SUMPRODUCT(M6:M14,N6:N14)/M16,3)</f>
        <v>0.05</v>
      </c>
      <c r="O16" s="102">
        <f>SUM(O6:O14)</f>
        <v>2408</v>
      </c>
      <c r="P16" s="102">
        <f>SUM(P6:P14)</f>
        <v>45730</v>
      </c>
      <c r="Q16" s="104">
        <f>ROUND(SUMPRODUCT(Q6:Q13,K6:K13)/SUMPRODUCT((Q6:Q13&gt;0)*(K6:K13)),2)</f>
        <v>0.12</v>
      </c>
      <c r="R16" s="1255">
        <f ca="1">SUM(R6:R13)</f>
        <v>72927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1"/>
      <c r="D17" s="2272"/>
      <c r="E17" s="2272"/>
      <c r="F17" s="1581"/>
      <c r="G17" s="1581"/>
      <c r="H17" s="1581"/>
      <c r="I17" s="1581"/>
      <c r="J17" s="1581"/>
      <c r="K17" s="168"/>
      <c r="L17" s="168"/>
      <c r="M17" s="1581"/>
      <c r="N17" s="1581"/>
      <c r="O17" s="1581"/>
      <c r="P17" s="1581"/>
      <c r="Q17" s="2976">
        <f>Q16/B20</f>
        <v>0.04</v>
      </c>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9"/>
      <c r="C18" s="2276"/>
      <c r="D18" s="2277"/>
      <c r="E18" s="2276"/>
      <c r="F18" s="2276"/>
      <c r="G18" s="2276"/>
      <c r="H18" s="2276"/>
      <c r="I18" s="2276"/>
      <c r="J18" s="2276"/>
      <c r="K18" s="3082" t="s">
        <v>3139</v>
      </c>
      <c r="L18" s="3082" t="s">
        <v>3140</v>
      </c>
      <c r="M18" s="3082"/>
      <c r="N18" s="3082"/>
      <c r="O18" s="3082" t="s">
        <v>3141</v>
      </c>
      <c r="P18" s="3082"/>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5" t="s">
        <v>2015</v>
      </c>
      <c r="B19" s="112">
        <v>0</v>
      </c>
      <c r="C19" s="2276" t="s">
        <v>2016</v>
      </c>
      <c r="D19" s="2277"/>
      <c r="E19" s="2276"/>
      <c r="F19" s="2276"/>
      <c r="G19" s="2276"/>
      <c r="H19" s="2276"/>
      <c r="I19" s="2276"/>
      <c r="J19" s="2276"/>
      <c r="K19" s="3082"/>
      <c r="L19" s="2972" t="s">
        <v>3142</v>
      </c>
      <c r="M19" s="2972" t="s">
        <v>3143</v>
      </c>
      <c r="N19" s="2972" t="s">
        <v>3144</v>
      </c>
      <c r="O19" s="3083"/>
      <c r="P19" s="3083"/>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6" t="s">
        <v>2017</v>
      </c>
      <c r="B20" s="113">
        <v>3</v>
      </c>
      <c r="C20" s="2276" t="s">
        <v>2018</v>
      </c>
      <c r="D20" s="2277"/>
      <c r="E20" s="2276"/>
      <c r="F20" s="2276"/>
      <c r="G20" s="2276"/>
      <c r="H20" s="2276"/>
      <c r="I20" s="2276"/>
      <c r="J20" s="2276"/>
      <c r="K20" s="2973" t="s">
        <v>3145</v>
      </c>
      <c r="L20" s="2974" t="s">
        <v>3146</v>
      </c>
      <c r="M20" s="2974" t="s">
        <v>3147</v>
      </c>
      <c r="N20" s="2974" t="s">
        <v>3148</v>
      </c>
      <c r="O20" s="3084" t="s">
        <v>3149</v>
      </c>
      <c r="P20" s="3085"/>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7" t="s">
        <v>2019</v>
      </c>
      <c r="B21" s="113">
        <v>0.5</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6" t="s">
        <v>2020</v>
      </c>
      <c r="B22" s="114">
        <f>B19+B20</f>
        <v>3</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7" t="s">
        <v>2021</v>
      </c>
      <c r="B23" s="114">
        <f>B19+B21</f>
        <v>0.5</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2022</v>
      </c>
      <c r="B24" s="115">
        <f>B20-B21</f>
        <v>2.5</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2023</v>
      </c>
      <c r="B26" s="2319" t="s">
        <v>2024</v>
      </c>
      <c r="C26" s="2320" t="s">
        <v>2025</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8.8">
      <c r="A27" s="2321" t="s">
        <v>2026</v>
      </c>
      <c r="B27" s="116">
        <v>246</v>
      </c>
      <c r="C27" s="1764" t="s">
        <v>2027</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2028</v>
      </c>
      <c r="B28" s="119">
        <v>246</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2029</v>
      </c>
      <c r="B29" s="121"/>
      <c r="C29" s="1764" t="s">
        <v>2030</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2031</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2032</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2033</v>
      </c>
      <c r="B32" s="725"/>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2034</v>
      </c>
      <c r="B33" s="726">
        <v>0.03</v>
      </c>
      <c r="C33" s="1763" t="s">
        <v>2035</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2036</v>
      </c>
      <c r="B34" s="122">
        <v>0.05</v>
      </c>
      <c r="C34" s="1763" t="s">
        <v>2037</v>
      </c>
      <c r="D34" s="2277" t="s">
        <v>2038</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2039</v>
      </c>
      <c r="B35" s="119">
        <v>200</v>
      </c>
      <c r="C35" s="1763" t="s">
        <v>2040</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3" t="s">
        <v>2042</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7" t="s">
        <v>2043</v>
      </c>
      <c r="B37" s="124">
        <v>0.02</v>
      </c>
      <c r="C37" s="1763" t="s">
        <v>2044</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4" t="s">
        <v>2045</v>
      </c>
      <c r="B38" s="122">
        <v>0.02</v>
      </c>
      <c r="C38" s="1763" t="s">
        <v>2044</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8" t="s">
        <v>2046</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2047</v>
      </c>
      <c r="B40" s="1300">
        <f ca="1">存贷款利率!G1</f>
        <v>4.7500000000000001E-2</v>
      </c>
      <c r="C40" s="1763" t="s">
        <v>2048</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1" t="s">
        <v>2049</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9" t="s">
        <v>2050</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9" t="s">
        <v>2051</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1" t="s">
        <v>2052</v>
      </c>
      <c r="B44" s="128">
        <v>7.0000000000000007E-2</v>
      </c>
      <c r="C44" s="1763" t="s">
        <v>2053</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1" t="s">
        <v>2054</v>
      </c>
      <c r="B45" s="126">
        <v>0.03</v>
      </c>
      <c r="C45" s="1764" t="s">
        <v>2055</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1" t="s">
        <v>2056</v>
      </c>
      <c r="B46" s="126">
        <v>0.02</v>
      </c>
      <c r="C46" s="1764" t="s">
        <v>2057</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2058</v>
      </c>
      <c r="B47" s="129"/>
      <c r="C47" s="1764" t="s">
        <v>2059</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3" t="s">
        <v>2060</v>
      </c>
      <c r="B48" s="130">
        <v>0.03</v>
      </c>
      <c r="C48" s="1771" t="s">
        <v>2061</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2062</v>
      </c>
      <c r="B49" s="126">
        <v>5.0000000000000001E-4</v>
      </c>
      <c r="C49" s="1771" t="s">
        <v>2063</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4" t="s">
        <v>2064</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2065</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4" t="s">
        <v>2066</v>
      </c>
      <c r="B52" s="133">
        <f>SUMIF(A54:A63,B53,B54:B63)</f>
        <v>0</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4" t="s">
        <v>2067</v>
      </c>
      <c r="B53" s="2335"/>
      <c r="C53" s="1427" t="s">
        <v>2068</v>
      </c>
      <c r="D53" s="2336" t="s">
        <v>2069</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7" t="s">
        <v>2070</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7" t="s">
        <v>2071</v>
      </c>
      <c r="B55" s="84"/>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7" t="s">
        <v>2072</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7" t="s">
        <v>2073</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7" t="s">
        <v>2074</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7" t="s">
        <v>2075</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7" t="s">
        <v>2076</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7" t="s">
        <v>2077</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7" t="s">
        <v>2078</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2079</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mergeCells count="5">
    <mergeCell ref="K18:K19"/>
    <mergeCell ref="L18:N18"/>
    <mergeCell ref="O18:P18"/>
    <mergeCell ref="O19:P19"/>
    <mergeCell ref="O20:P20"/>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15" sqref="C15"/>
      <selection pane="topRight" activeCell="C15" sqref="C15"/>
      <selection pane="bottomLeft" activeCell="C15" sqref="C15"/>
      <selection pane="bottomRight" activeCell="C15" sqref="C15"/>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86" t="s">
        <v>2080</v>
      </c>
      <c r="B1" s="3087"/>
      <c r="C1" s="3087"/>
      <c r="D1" s="3087"/>
      <c r="E1" s="3087"/>
      <c r="F1" s="3087"/>
      <c r="G1" s="308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2081</v>
      </c>
      <c r="D2" s="2364"/>
      <c r="E2" s="2365"/>
      <c r="F2" s="2285"/>
      <c r="G2" s="2363" t="s">
        <v>2082</v>
      </c>
      <c r="H2" s="2366"/>
      <c r="I2" s="2366"/>
      <c r="J2" s="2366"/>
      <c r="K2" s="2366"/>
      <c r="L2" s="2366"/>
      <c r="M2" s="2366"/>
      <c r="N2" s="2366"/>
      <c r="O2" s="2366"/>
      <c r="P2" s="2366"/>
      <c r="Q2" s="2366"/>
      <c r="R2" s="2366"/>
    </row>
    <row r="3" spans="1:29" ht="57.6">
      <c r="A3" s="415" t="s">
        <v>2083</v>
      </c>
      <c r="B3" s="1268" t="s">
        <v>2084</v>
      </c>
      <c r="C3" s="2368" t="s">
        <v>2085</v>
      </c>
      <c r="D3" s="2369"/>
      <c r="E3" s="431" t="s">
        <v>2083</v>
      </c>
      <c r="F3" s="2370" t="s">
        <v>2086</v>
      </c>
      <c r="G3" s="2371" t="s">
        <v>2087</v>
      </c>
      <c r="H3" s="2366"/>
      <c r="I3" s="2366"/>
      <c r="J3" s="2366"/>
      <c r="K3" s="2366"/>
      <c r="L3" s="2366"/>
      <c r="M3" s="2366"/>
      <c r="N3" s="2366"/>
      <c r="O3" s="2366"/>
      <c r="P3" s="2366"/>
      <c r="Q3" s="2366"/>
      <c r="R3" s="2366"/>
    </row>
    <row r="4" spans="1:29" ht="43.2">
      <c r="A4" s="431"/>
      <c r="B4" s="1795" t="s">
        <v>2088</v>
      </c>
      <c r="C4" s="2372" t="s">
        <v>2089</v>
      </c>
      <c r="D4" s="2369"/>
      <c r="E4" s="2373"/>
      <c r="F4" s="42" t="s">
        <v>2090</v>
      </c>
      <c r="G4" s="2374" t="s">
        <v>2091</v>
      </c>
      <c r="H4" s="2366"/>
      <c r="I4" s="2366"/>
      <c r="J4" s="2366"/>
      <c r="K4" s="2366"/>
      <c r="L4" s="2366"/>
      <c r="M4" s="2366"/>
      <c r="N4" s="2366"/>
      <c r="O4" s="2366"/>
      <c r="P4" s="2366"/>
      <c r="Q4" s="2366"/>
      <c r="R4" s="2366"/>
    </row>
    <row r="5" spans="1:29" ht="43.2">
      <c r="A5" s="431"/>
      <c r="B5" s="1795" t="s">
        <v>2092</v>
      </c>
      <c r="C5" s="2372" t="s">
        <v>2093</v>
      </c>
      <c r="D5" s="2369"/>
      <c r="E5" s="2373"/>
      <c r="F5" s="1795" t="s">
        <v>2094</v>
      </c>
      <c r="G5" s="2374" t="s">
        <v>2095</v>
      </c>
      <c r="H5" s="2366"/>
      <c r="I5" s="2366"/>
      <c r="J5" s="2366"/>
      <c r="K5" s="2366"/>
      <c r="L5" s="2366"/>
      <c r="M5" s="2366"/>
      <c r="N5" s="2366"/>
      <c r="O5" s="2366"/>
      <c r="P5" s="2366"/>
      <c r="Q5" s="2366"/>
      <c r="R5" s="2366"/>
    </row>
    <row r="6" spans="1:29" ht="57.6">
      <c r="A6" s="431"/>
      <c r="B6" s="1795" t="s">
        <v>2096</v>
      </c>
      <c r="C6" s="2374" t="s">
        <v>2091</v>
      </c>
      <c r="D6" s="2369"/>
      <c r="E6" s="2373"/>
      <c r="F6" s="1795" t="s">
        <v>2097</v>
      </c>
      <c r="G6" s="2374" t="s">
        <v>2098</v>
      </c>
      <c r="H6" s="2366"/>
      <c r="I6" s="2366"/>
      <c r="J6" s="2366"/>
      <c r="K6" s="2366"/>
      <c r="L6" s="2366"/>
      <c r="M6" s="2366"/>
      <c r="N6" s="2366"/>
      <c r="O6" s="2366"/>
      <c r="P6" s="2366"/>
      <c r="Q6" s="2366"/>
      <c r="R6" s="2366"/>
    </row>
    <row r="7" spans="1:29" ht="43.8" thickBot="1">
      <c r="A7" s="431"/>
      <c r="B7" s="1795" t="s">
        <v>2094</v>
      </c>
      <c r="C7" s="2374" t="s">
        <v>2095</v>
      </c>
      <c r="D7" s="2375"/>
      <c r="E7" s="2376"/>
      <c r="F7" s="2377" t="s">
        <v>2099</v>
      </c>
      <c r="G7" s="2378" t="s">
        <v>2100</v>
      </c>
      <c r="H7" s="2366"/>
      <c r="I7" s="2366"/>
      <c r="J7" s="2366"/>
      <c r="K7" s="2366"/>
      <c r="L7" s="2366"/>
      <c r="M7" s="2366"/>
      <c r="N7" s="2366"/>
      <c r="O7" s="2366"/>
      <c r="P7" s="2366"/>
      <c r="Q7" s="2366"/>
      <c r="R7" s="2366"/>
    </row>
    <row r="8" spans="1:29" ht="28.8">
      <c r="A8" s="431"/>
      <c r="B8" s="1795" t="s">
        <v>2097</v>
      </c>
      <c r="C8" s="2374" t="s">
        <v>2098</v>
      </c>
      <c r="D8" s="2375"/>
      <c r="E8" s="2375"/>
      <c r="F8" s="1133"/>
      <c r="G8" s="1133"/>
      <c r="H8" s="2366"/>
      <c r="I8" s="2366"/>
      <c r="J8" s="2366"/>
      <c r="K8" s="2366"/>
      <c r="L8" s="2366"/>
      <c r="M8" s="2366"/>
      <c r="N8" s="2366"/>
      <c r="O8" s="2366"/>
      <c r="P8" s="2366"/>
      <c r="Q8" s="2366"/>
      <c r="R8" s="2366"/>
    </row>
    <row r="9" spans="1:29" ht="43.2">
      <c r="A9" s="431"/>
      <c r="B9" s="1795" t="s">
        <v>2101</v>
      </c>
      <c r="C9" s="2372" t="s">
        <v>2102</v>
      </c>
      <c r="D9" s="2369"/>
      <c r="E9" s="2375"/>
      <c r="F9" s="1133"/>
      <c r="G9" s="1133"/>
      <c r="H9" s="2366"/>
      <c r="I9" s="2366"/>
      <c r="J9" s="2366"/>
      <c r="K9" s="2366"/>
      <c r="L9" s="2366"/>
      <c r="M9" s="2366"/>
      <c r="N9" s="2366"/>
      <c r="O9" s="2366"/>
      <c r="P9" s="2366"/>
      <c r="Q9" s="2366"/>
      <c r="R9" s="2366"/>
    </row>
    <row r="10" spans="1:29" s="117" customFormat="1" ht="1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2104</v>
      </c>
      <c r="B13" s="2386"/>
      <c r="C13" s="2386"/>
      <c r="D13" s="2393"/>
      <c r="E13" s="2386"/>
      <c r="F13" s="2386"/>
      <c r="G13" s="2386"/>
    </row>
    <row r="14" spans="1:29" ht="15" thickBot="1">
      <c r="A14" s="2397"/>
      <c r="B14" s="2398"/>
      <c r="C14" s="2399" t="s">
        <v>2105</v>
      </c>
      <c r="D14" s="2369"/>
      <c r="E14" s="2400"/>
      <c r="F14" s="2400"/>
      <c r="G14" s="2363" t="s">
        <v>2106</v>
      </c>
    </row>
    <row r="15" spans="1:29" ht="55.2">
      <c r="A15" s="68" t="s">
        <v>2107</v>
      </c>
      <c r="B15" s="1267" t="s">
        <v>2084</v>
      </c>
      <c r="C15" s="2401" t="str">
        <f>C3</f>
        <v>估价对象周边居住用地比例、居住小区规模和社区发展完善程度，综合评价居住社区成熟度一般</v>
      </c>
      <c r="D15" s="2369"/>
      <c r="E15" s="2402" t="s">
        <v>2108</v>
      </c>
      <c r="F15" s="1267" t="s">
        <v>2109</v>
      </c>
      <c r="G15" s="135" t="str">
        <f>G3</f>
        <v>估价对象位于XX开发区，园区建设成熟度XX，产业集聚程度XX</v>
      </c>
    </row>
    <row r="16" spans="1:29" ht="41.4">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1.4">
      <c r="A17" s="645"/>
      <c r="B17" s="2403" t="s">
        <v>2092</v>
      </c>
      <c r="C17" s="2404" t="str">
        <f>C5</f>
        <v>估价对象位于XX商圈，周边办公楼项目较多，入驻率高，办公集聚程度较好</v>
      </c>
      <c r="D17" s="2375"/>
      <c r="E17" s="2405"/>
      <c r="F17" s="2406" t="s">
        <v>2110</v>
      </c>
      <c r="G17" s="1569"/>
    </row>
    <row r="18" spans="1:18" ht="55.2">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7.6">
      <c r="A19" s="645"/>
      <c r="B19" s="2406" t="s">
        <v>2111</v>
      </c>
      <c r="C19" s="1569"/>
      <c r="D19" s="2369"/>
      <c r="E19" s="2405"/>
      <c r="F19" s="1795" t="s">
        <v>2094</v>
      </c>
      <c r="G19" s="136" t="str">
        <f>G5</f>
        <v>估价对象所在区域公共配套设施齐备情况</v>
      </c>
    </row>
    <row r="20" spans="1:18" ht="41.4">
      <c r="A20" s="645"/>
      <c r="B20" s="2406" t="s">
        <v>2112</v>
      </c>
      <c r="C20" s="2404" t="str">
        <f>C9</f>
        <v>区域自然环境：；人文环境；综合评价环境状况一般</v>
      </c>
      <c r="D20" s="2375"/>
      <c r="E20" s="2405"/>
      <c r="F20" s="1795" t="s">
        <v>2113</v>
      </c>
      <c r="G20" s="136" t="str">
        <f>G6</f>
        <v>估价对象所在区域基础设施水平</v>
      </c>
    </row>
    <row r="21" spans="1:18" ht="27.6">
      <c r="A21" s="645"/>
      <c r="B21" s="1795" t="s">
        <v>2094</v>
      </c>
      <c r="C21" s="136" t="str">
        <f>C7</f>
        <v>估价对象所在区域公共配套设施齐备情况</v>
      </c>
      <c r="D21" s="2369"/>
      <c r="E21" s="2405"/>
      <c r="F21" s="2406" t="s">
        <v>2114</v>
      </c>
      <c r="G21" s="2407"/>
    </row>
    <row r="22" spans="1:18" ht="13.5" customHeight="1">
      <c r="A22" s="645"/>
      <c r="B22" s="1795" t="s">
        <v>2097</v>
      </c>
      <c r="C22" s="136" t="str">
        <f>C8</f>
        <v>估价对象所在区域基础设施水平</v>
      </c>
      <c r="D22" s="2369"/>
      <c r="E22" s="2405"/>
      <c r="F22" s="2406" t="s">
        <v>2103</v>
      </c>
      <c r="G22" s="1569"/>
    </row>
    <row r="23" spans="1:18" s="2366" customFormat="1" ht="1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3"/>
  <sheetViews>
    <sheetView tabSelected="1" workbookViewId="0">
      <selection activeCell="D24" sqref="D24"/>
    </sheetView>
  </sheetViews>
  <sheetFormatPr defaultColWidth="9" defaultRowHeight="14.4"/>
  <cols>
    <col min="1" max="1" width="23.33203125" style="1738" customWidth="1"/>
    <col min="2" max="9" width="15.77734375" style="1738" customWidth="1"/>
    <col min="10" max="16384" width="9" style="1738"/>
  </cols>
  <sheetData>
    <row r="1" spans="1:10" ht="16.2">
      <c r="A1" s="1743" t="s">
        <v>1360</v>
      </c>
      <c r="B1" s="1743">
        <f>SUM(B14:B23)</f>
        <v>525878.72</v>
      </c>
      <c r="C1" s="1742"/>
      <c r="D1" s="1742"/>
      <c r="E1" s="1742"/>
      <c r="F1" s="1742"/>
      <c r="G1" s="1740"/>
    </row>
    <row r="2" spans="1:10" ht="16.2">
      <c r="A2" s="1743" t="s">
        <v>1348</v>
      </c>
      <c r="B2" s="1743">
        <f>SUM(C14:C23)</f>
        <v>181378.35</v>
      </c>
      <c r="C2" s="1742"/>
      <c r="D2" s="1742"/>
      <c r="E2" s="1742"/>
      <c r="F2" s="1742"/>
      <c r="G2" s="1740"/>
    </row>
    <row r="3" spans="1:10" ht="15.6">
      <c r="A3" s="1743" t="s">
        <v>1357</v>
      </c>
      <c r="B3" s="1744">
        <f>项目基本情况!D3</f>
        <v>43923</v>
      </c>
      <c r="C3" s="1742"/>
      <c r="D3" s="1742"/>
      <c r="E3" s="1742"/>
      <c r="F3" s="1742"/>
      <c r="G3" s="1740"/>
    </row>
    <row r="4" spans="1:10" ht="31.2">
      <c r="A4" s="1743" t="s">
        <v>1356</v>
      </c>
      <c r="B4" s="1743" t="s">
        <v>1355</v>
      </c>
      <c r="C4" s="1743" t="s">
        <v>1354</v>
      </c>
      <c r="D4" s="1743" t="s">
        <v>1353</v>
      </c>
      <c r="E4" s="1742"/>
      <c r="F4" s="1740"/>
      <c r="G4" s="1740"/>
    </row>
    <row r="5" spans="1:10" ht="15.6">
      <c r="A5" s="1743" t="s">
        <v>1352</v>
      </c>
      <c r="B5" s="1743">
        <f ca="1">SUM(D14:D23)</f>
        <v>345392</v>
      </c>
      <c r="C5" s="1743">
        <f ca="1">ROUND(B5*10000/$B$1,0)</f>
        <v>6568</v>
      </c>
      <c r="D5" s="1743">
        <f ca="1">ROUND(B5*10000/$B$2,0)</f>
        <v>19043</v>
      </c>
      <c r="E5" s="1742"/>
      <c r="F5" s="1740"/>
      <c r="G5" s="1740"/>
    </row>
    <row r="6" spans="1:10" ht="15.6">
      <c r="A6" s="1743" t="s">
        <v>1351</v>
      </c>
      <c r="B6" s="1743">
        <f ca="1">SUM(G14:G23)</f>
        <v>345392</v>
      </c>
      <c r="C6" s="1743">
        <f ca="1">ROUND(B6*10000/$B$1,0)</f>
        <v>6568</v>
      </c>
      <c r="D6" s="1743">
        <f ca="1">ROUND(B6*10000/$B$2,0)</f>
        <v>19043</v>
      </c>
      <c r="E6" s="1742"/>
      <c r="F6" s="1740"/>
      <c r="G6" s="1740"/>
    </row>
    <row r="7" spans="1:10" ht="15.6">
      <c r="A7" s="1743" t="s">
        <v>1359</v>
      </c>
      <c r="B7" s="1743">
        <f>SUM(H14:H23)</f>
        <v>0</v>
      </c>
      <c r="C7" s="1743">
        <f>ROUND(B7*10000/$B$1,0)</f>
        <v>0</v>
      </c>
      <c r="D7" s="1743">
        <f>ROUND(B7*10000/$B$2,0)</f>
        <v>0</v>
      </c>
      <c r="E7" s="1742"/>
      <c r="F7" s="1740"/>
      <c r="G7" s="1740"/>
    </row>
    <row r="8" spans="1:10" ht="15.6">
      <c r="A8" s="1743" t="s">
        <v>1280</v>
      </c>
      <c r="B8" s="1743">
        <f>SUM(I14:I23)</f>
        <v>0</v>
      </c>
      <c r="C8" s="1743">
        <f>ROUND(B8*10000/$B$1,0)</f>
        <v>0</v>
      </c>
      <c r="D8" s="1743">
        <f>ROUND(B8*10000/$B$2,0)</f>
        <v>0</v>
      </c>
      <c r="E8" s="1742"/>
      <c r="F8" s="1740"/>
      <c r="G8" s="1740"/>
    </row>
    <row r="9" spans="1:10" ht="15.6">
      <c r="A9" s="1743" t="s">
        <v>1350</v>
      </c>
      <c r="B9" s="1745"/>
      <c r="C9" s="1742"/>
      <c r="D9" s="1742"/>
      <c r="E9" s="1742"/>
      <c r="F9" s="1740"/>
      <c r="G9" s="1740"/>
    </row>
    <row r="10" spans="1:10" ht="15.6">
      <c r="A10" s="1743" t="s">
        <v>1349</v>
      </c>
      <c r="B10" s="1745"/>
      <c r="C10" s="1742"/>
      <c r="D10" s="1742"/>
      <c r="E10" s="1742"/>
      <c r="F10" s="1740"/>
      <c r="G10" s="1740"/>
    </row>
    <row r="11" spans="1:10" ht="15.6">
      <c r="A11" s="1743" t="s">
        <v>1365</v>
      </c>
      <c r="B11" s="1745"/>
      <c r="C11" s="1742"/>
      <c r="D11" s="1742"/>
      <c r="E11" s="1742"/>
      <c r="F11" s="1740"/>
      <c r="G11" s="1740"/>
    </row>
    <row r="12" spans="1:10" ht="15.6">
      <c r="A12" s="1742"/>
      <c r="B12" s="1742"/>
      <c r="C12" s="1742"/>
      <c r="D12" s="1742"/>
      <c r="E12" s="1742"/>
      <c r="F12" s="1740"/>
      <c r="G12" s="1740"/>
    </row>
    <row r="13" spans="1:10" ht="31.8">
      <c r="A13" s="1748" t="s">
        <v>1364</v>
      </c>
      <c r="B13" s="1741" t="s">
        <v>1361</v>
      </c>
      <c r="C13" s="1741" t="s">
        <v>1363</v>
      </c>
      <c r="D13" s="1741" t="s">
        <v>1362</v>
      </c>
      <c r="E13" s="1743" t="s">
        <v>1354</v>
      </c>
      <c r="F13" s="1743" t="s">
        <v>1353</v>
      </c>
      <c r="G13" s="1741" t="s">
        <v>1347</v>
      </c>
      <c r="H13" s="1741" t="s">
        <v>1358</v>
      </c>
      <c r="I13" s="1741" t="s">
        <v>1346</v>
      </c>
      <c r="J13" s="1740"/>
    </row>
    <row r="14" spans="1:10" ht="15.6">
      <c r="A14" s="1739" t="s">
        <v>1345</v>
      </c>
      <c r="B14" s="1741">
        <f>结果表!B118</f>
        <v>176567.06999999998</v>
      </c>
      <c r="C14" s="1741">
        <f>结果表!C118</f>
        <v>72927</v>
      </c>
      <c r="D14" s="1741">
        <f ca="1">结果表!H118</f>
        <v>170543</v>
      </c>
      <c r="E14" s="1741">
        <f ca="1">ROUND(D14*10000/B14,0)</f>
        <v>9659</v>
      </c>
      <c r="F14" s="1741">
        <f ca="1">ROUND(D14*10000/C14,0)</f>
        <v>23385</v>
      </c>
      <c r="G14" s="1741">
        <f ca="1">结果表!D122</f>
        <v>170543</v>
      </c>
      <c r="H14" s="1741" t="str">
        <f>结果表!D124</f>
        <v>——</v>
      </c>
      <c r="I14" s="1741" t="str">
        <f>结果表!D126</f>
        <v>——</v>
      </c>
      <c r="J14" s="1740"/>
    </row>
    <row r="15" spans="1:10" ht="15.6">
      <c r="A15" s="1739" t="s">
        <v>1344</v>
      </c>
      <c r="B15" s="1746">
        <f>[2]系统读取表!$B$14</f>
        <v>50721.850000000006</v>
      </c>
      <c r="C15" s="1746">
        <f>[2]系统读取表!$C$14</f>
        <v>26682</v>
      </c>
      <c r="D15" s="1746">
        <f ca="1">[2]系统读取表!$D$14</f>
        <v>49013</v>
      </c>
      <c r="E15" s="1741">
        <f t="shared" ref="E15:E23" ca="1" si="0">ROUND(D15*10000/B15,0)</f>
        <v>9663</v>
      </c>
      <c r="F15" s="1741">
        <f t="shared" ref="F15:F23" ca="1" si="1">ROUND(D15*10000/C15,0)</f>
        <v>18369</v>
      </c>
      <c r="G15" s="1747">
        <f ca="1">D15</f>
        <v>49013</v>
      </c>
      <c r="H15" s="1747"/>
      <c r="I15" s="1746"/>
      <c r="J15" s="1740"/>
    </row>
    <row r="16" spans="1:10" ht="15.6">
      <c r="A16" s="1739" t="s">
        <v>1343</v>
      </c>
      <c r="B16" s="1746">
        <f>[3]系统读取表!$B$14</f>
        <v>65653.200000000012</v>
      </c>
      <c r="C16" s="1746">
        <f>[3]系统读取表!$C$14</f>
        <v>18237</v>
      </c>
      <c r="D16" s="1746">
        <f ca="1">[3]系统读取表!$D$14</f>
        <v>45756</v>
      </c>
      <c r="E16" s="1741">
        <f t="shared" ca="1" si="0"/>
        <v>6969</v>
      </c>
      <c r="F16" s="1741">
        <f t="shared" ca="1" si="1"/>
        <v>25090</v>
      </c>
      <c r="G16" s="1747">
        <f ca="1">D16</f>
        <v>45756</v>
      </c>
      <c r="H16" s="1747"/>
      <c r="I16" s="1746"/>
    </row>
    <row r="17" spans="1:9" ht="15.6">
      <c r="A17" s="1739" t="s">
        <v>1342</v>
      </c>
      <c r="B17" s="1746">
        <f>[4]系统读取表!$B$14</f>
        <v>98971.25</v>
      </c>
      <c r="C17" s="1746">
        <f>[4]系统读取表!$C$14</f>
        <v>15399.35</v>
      </c>
      <c r="D17" s="1746">
        <f ca="1">[4]系统读取表!$D$14</f>
        <v>33879</v>
      </c>
      <c r="E17" s="1741">
        <f t="shared" ca="1" si="0"/>
        <v>3423</v>
      </c>
      <c r="F17" s="1741">
        <f t="shared" ca="1" si="1"/>
        <v>22000</v>
      </c>
      <c r="G17" s="1747">
        <f ca="1">D17</f>
        <v>33879</v>
      </c>
      <c r="H17" s="1747"/>
      <c r="I17" s="1746"/>
    </row>
    <row r="18" spans="1:9" ht="15.6">
      <c r="A18" s="1739" t="s">
        <v>1341</v>
      </c>
      <c r="B18" s="1746">
        <f>[5]系统读取表!$B$14</f>
        <v>111612.00000000001</v>
      </c>
      <c r="C18" s="1746">
        <f>[5]系统读取表!$C$14</f>
        <v>28504</v>
      </c>
      <c r="D18" s="1746">
        <f ca="1">[5]系统读取表!$D$14</f>
        <v>37895</v>
      </c>
      <c r="E18" s="1741">
        <f t="shared" ca="1" si="0"/>
        <v>3395</v>
      </c>
      <c r="F18" s="1741">
        <f t="shared" ca="1" si="1"/>
        <v>13295</v>
      </c>
      <c r="G18" s="1746">
        <f ca="1">D18</f>
        <v>37895</v>
      </c>
      <c r="H18" s="1746"/>
      <c r="I18" s="1746"/>
    </row>
    <row r="19" spans="1:9" ht="15.6">
      <c r="A19" s="1739" t="s">
        <v>1340</v>
      </c>
      <c r="B19" s="1746">
        <f>[6]系统读取表!$B$14</f>
        <v>22353.35</v>
      </c>
      <c r="C19" s="1746">
        <f>[6]系统读取表!$C$14</f>
        <v>19629</v>
      </c>
      <c r="D19" s="1746">
        <f ca="1">[6]系统读取表!$D$14</f>
        <v>8306</v>
      </c>
      <c r="E19" s="1741">
        <f t="shared" ca="1" si="0"/>
        <v>3716</v>
      </c>
      <c r="F19" s="1741">
        <f t="shared" ca="1" si="1"/>
        <v>4231</v>
      </c>
      <c r="G19" s="1746">
        <f ca="1">D19</f>
        <v>8306</v>
      </c>
      <c r="H19" s="1746"/>
      <c r="I19" s="1746"/>
    </row>
    <row r="20" spans="1:9" ht="15.6">
      <c r="A20" s="1739" t="s">
        <v>1339</v>
      </c>
      <c r="B20" s="1746"/>
      <c r="C20" s="1746"/>
      <c r="D20" s="1746"/>
      <c r="E20" s="1741" t="e">
        <f t="shared" si="0"/>
        <v>#DIV/0!</v>
      </c>
      <c r="F20" s="1741" t="e">
        <f t="shared" si="1"/>
        <v>#DIV/0!</v>
      </c>
      <c r="G20" s="1746"/>
      <c r="H20" s="1746"/>
      <c r="I20" s="1746"/>
    </row>
    <row r="21" spans="1:9" ht="15.6">
      <c r="A21" s="1739" t="s">
        <v>1338</v>
      </c>
      <c r="B21" s="1746"/>
      <c r="C21" s="1746"/>
      <c r="D21" s="1746"/>
      <c r="E21" s="1741" t="e">
        <f t="shared" si="0"/>
        <v>#DIV/0!</v>
      </c>
      <c r="F21" s="1741" t="e">
        <f t="shared" si="1"/>
        <v>#DIV/0!</v>
      </c>
      <c r="G21" s="1746"/>
      <c r="H21" s="1746"/>
      <c r="I21" s="1746"/>
    </row>
    <row r="22" spans="1:9" ht="15.6">
      <c r="A22" s="1739" t="s">
        <v>1337</v>
      </c>
      <c r="B22" s="1746"/>
      <c r="C22" s="1746"/>
      <c r="D22" s="1746"/>
      <c r="E22" s="1741" t="e">
        <f t="shared" si="0"/>
        <v>#DIV/0!</v>
      </c>
      <c r="F22" s="1741" t="e">
        <f t="shared" si="1"/>
        <v>#DIV/0!</v>
      </c>
      <c r="G22" s="1746"/>
      <c r="H22" s="1746"/>
      <c r="I22" s="1746"/>
    </row>
    <row r="23" spans="1:9" ht="15.6">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1" sqref="J21"/>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5" t="s">
        <v>2117</v>
      </c>
      <c r="B1" s="2417"/>
      <c r="C1" s="2418"/>
      <c r="D1" s="2417"/>
      <c r="E1" s="2417"/>
      <c r="F1" s="2419" t="s">
        <v>2118</v>
      </c>
      <c r="G1" s="2070" t="s">
        <v>2119</v>
      </c>
      <c r="H1" s="2420" t="str">
        <f>IF(G1="现房","——","估价对象范围")</f>
        <v>估价对象范围</v>
      </c>
      <c r="I1" s="2421"/>
    </row>
    <row r="2" spans="1:12" ht="21.75" customHeight="1" thickBot="1">
      <c r="A2" s="3121" t="str">
        <f>项目基本情况!S2</f>
        <v>出让国有建设用地使用权及在建建筑物房地产</v>
      </c>
      <c r="B2" s="3122"/>
      <c r="C2" s="3122"/>
      <c r="D2" s="3122"/>
      <c r="E2" s="3122"/>
      <c r="F2" s="3122"/>
      <c r="G2" s="3122"/>
      <c r="H2" s="3122"/>
      <c r="I2" s="3123"/>
    </row>
    <row r="3" spans="1:12" ht="13.2">
      <c r="A3" s="3125" t="s">
        <v>2120</v>
      </c>
      <c r="B3" s="3126"/>
      <c r="C3" s="3126"/>
      <c r="D3" s="3126"/>
      <c r="E3" s="3126"/>
      <c r="F3" s="3126"/>
      <c r="G3" s="3126"/>
      <c r="H3" s="3126"/>
      <c r="I3" s="3126"/>
    </row>
    <row r="4" spans="1:12" ht="14.4">
      <c r="A4" s="2424" t="s">
        <v>2121</v>
      </c>
      <c r="B4" s="2425" t="s">
        <v>2122</v>
      </c>
      <c r="C4" s="2426" t="s">
        <v>3287</v>
      </c>
      <c r="D4" s="2426" t="s">
        <v>3288</v>
      </c>
      <c r="E4" s="3118" t="s">
        <v>2123</v>
      </c>
      <c r="F4" s="3119"/>
      <c r="G4" s="3119"/>
      <c r="H4" s="3119"/>
      <c r="I4" s="3127"/>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3.2">
      <c r="A5" s="3101" t="s">
        <v>2124</v>
      </c>
      <c r="B5" s="3033">
        <v>25</v>
      </c>
      <c r="C5" s="3104"/>
      <c r="D5" s="3124"/>
      <c r="E5" s="140" t="s">
        <v>2125</v>
      </c>
      <c r="F5" s="2428"/>
      <c r="G5" s="2428"/>
      <c r="H5" s="2428"/>
      <c r="I5" s="1831"/>
    </row>
    <row r="6" spans="1:12" ht="13.2">
      <c r="A6" s="3101"/>
      <c r="B6" s="3033"/>
      <c r="C6" s="3105"/>
      <c r="D6" s="3124"/>
      <c r="E6" s="140" t="s">
        <v>2126</v>
      </c>
      <c r="F6" s="2428"/>
      <c r="G6" s="2428"/>
      <c r="H6" s="2428"/>
      <c r="I6" s="1831"/>
    </row>
    <row r="7" spans="1:12" ht="13.2">
      <c r="A7" s="3101"/>
      <c r="B7" s="3033"/>
      <c r="C7" s="3106"/>
      <c r="D7" s="3124"/>
      <c r="E7" s="140" t="s">
        <v>2127</v>
      </c>
      <c r="F7" s="2428"/>
      <c r="G7" s="2428"/>
      <c r="H7" s="2428"/>
      <c r="I7" s="1831"/>
    </row>
    <row r="8" spans="1:12" ht="13.2">
      <c r="A8" s="3101" t="s">
        <v>2128</v>
      </c>
      <c r="B8" s="3033">
        <v>15</v>
      </c>
      <c r="C8" s="3104"/>
      <c r="D8" s="3124"/>
      <c r="E8" s="140" t="s">
        <v>2129</v>
      </c>
      <c r="F8" s="2428"/>
      <c r="G8" s="2428"/>
      <c r="H8" s="2428"/>
      <c r="I8" s="1831"/>
    </row>
    <row r="9" spans="1:12" ht="13.2">
      <c r="A9" s="3101"/>
      <c r="B9" s="3033"/>
      <c r="C9" s="3106"/>
      <c r="D9" s="3124"/>
      <c r="E9" s="140" t="s">
        <v>2130</v>
      </c>
      <c r="F9" s="2428"/>
      <c r="G9" s="2428"/>
      <c r="H9" s="2428"/>
      <c r="I9" s="1831"/>
    </row>
    <row r="10" spans="1:12" ht="13.2">
      <c r="A10" s="3101" t="s">
        <v>2131</v>
      </c>
      <c r="B10" s="3033">
        <v>15</v>
      </c>
      <c r="C10" s="3104"/>
      <c r="D10" s="3124"/>
      <c r="E10" s="140" t="s">
        <v>2132</v>
      </c>
      <c r="F10" s="2428"/>
      <c r="G10" s="2428"/>
      <c r="H10" s="2428"/>
      <c r="I10" s="1831"/>
    </row>
    <row r="11" spans="1:12" ht="13.2">
      <c r="A11" s="3101"/>
      <c r="B11" s="3033"/>
      <c r="C11" s="3106"/>
      <c r="D11" s="3124"/>
      <c r="E11" s="140" t="s">
        <v>2133</v>
      </c>
      <c r="F11" s="2428"/>
      <c r="G11" s="2428"/>
      <c r="H11" s="2428"/>
      <c r="I11" s="1831"/>
    </row>
    <row r="12" spans="1:12" ht="13.2">
      <c r="A12" s="3101" t="s">
        <v>2134</v>
      </c>
      <c r="B12" s="3033">
        <v>15</v>
      </c>
      <c r="C12" s="3104"/>
      <c r="D12" s="3124"/>
      <c r="E12" s="140" t="s">
        <v>2135</v>
      </c>
      <c r="F12" s="2428"/>
      <c r="G12" s="2428"/>
      <c r="H12" s="2428"/>
      <c r="I12" s="1831"/>
    </row>
    <row r="13" spans="1:12" ht="13.2">
      <c r="A13" s="3101"/>
      <c r="B13" s="3033"/>
      <c r="C13" s="3106"/>
      <c r="D13" s="3124"/>
      <c r="E13" s="140" t="s">
        <v>2136</v>
      </c>
      <c r="F13" s="2428"/>
      <c r="G13" s="2428"/>
      <c r="H13" s="2428"/>
      <c r="I13" s="1831"/>
    </row>
    <row r="14" spans="1:12" ht="13.2">
      <c r="A14" s="3101" t="s">
        <v>2137</v>
      </c>
      <c r="B14" s="3033">
        <v>30</v>
      </c>
      <c r="C14" s="3104">
        <v>5</v>
      </c>
      <c r="D14" s="3124">
        <v>5</v>
      </c>
      <c r="E14" s="140" t="s">
        <v>2138</v>
      </c>
      <c r="F14" s="2428"/>
      <c r="G14" s="2428"/>
      <c r="H14" s="2428"/>
      <c r="I14" s="1831"/>
    </row>
    <row r="15" spans="1:12" ht="13.2">
      <c r="A15" s="3101"/>
      <c r="B15" s="3033"/>
      <c r="C15" s="3105"/>
      <c r="D15" s="3124"/>
      <c r="E15" s="140" t="s">
        <v>2139</v>
      </c>
      <c r="F15" s="2428"/>
      <c r="G15" s="2428"/>
      <c r="H15" s="2428"/>
      <c r="I15" s="1831"/>
    </row>
    <row r="16" spans="1:12" ht="13.2">
      <c r="A16" s="3101"/>
      <c r="B16" s="3033"/>
      <c r="C16" s="3106"/>
      <c r="D16" s="3124"/>
      <c r="E16" s="140" t="s">
        <v>2140</v>
      </c>
      <c r="F16" s="2428"/>
      <c r="G16" s="2428"/>
      <c r="H16" s="2428"/>
      <c r="I16" s="1831"/>
    </row>
    <row r="17" spans="1:35" ht="14.4">
      <c r="A17" s="2429" t="s">
        <v>2141</v>
      </c>
      <c r="B17" s="64"/>
      <c r="C17" s="141">
        <f>SUM(C5:C16)</f>
        <v>5</v>
      </c>
      <c r="D17" s="141">
        <f>SUM(D5:D16)</f>
        <v>5</v>
      </c>
      <c r="E17" s="138"/>
      <c r="F17" s="138"/>
      <c r="G17" s="138"/>
      <c r="H17" s="138"/>
      <c r="I17" s="138"/>
      <c r="K17" s="2427"/>
      <c r="L17" s="2430" t="s">
        <v>2142</v>
      </c>
      <c r="M17" s="2430" t="s">
        <v>2143</v>
      </c>
    </row>
    <row r="18" spans="1:35" ht="1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176567.06999999998</v>
      </c>
      <c r="M18" s="2427">
        <f>IF(C1="",'数据-汇总表'!E3,SUMIF(项目类型,C1,'数据-汇总表'!E17:E26))</f>
        <v>176567.06999999998</v>
      </c>
    </row>
    <row r="19" spans="1:35" ht="14.4">
      <c r="A19" s="2433" t="s">
        <v>2146</v>
      </c>
      <c r="B19" s="2434" t="s">
        <v>2147</v>
      </c>
      <c r="C19" s="143">
        <f ca="1">SUMIF(INDIRECT("'"&amp;C4&amp;"'"&amp;"!A:A"),结果表!B19,INDIRECT("'"&amp;C4&amp;"'"&amp;"!B:B"))</f>
        <v>183218</v>
      </c>
      <c r="D19" s="144">
        <f ca="1">SUMIF(INDIRECT("'"&amp;D4&amp;"'"&amp;"!A:A"),结果表!B19,INDIRECT("'"&amp;D4&amp;"'"&amp;"!B:B"))</f>
        <v>157867</v>
      </c>
      <c r="E19" s="2433" t="s">
        <v>2148</v>
      </c>
      <c r="F19" s="2434" t="s">
        <v>2147</v>
      </c>
      <c r="G19" s="145">
        <f ca="1">ROUND(C19*$C$18+D19*$D$18,0)</f>
        <v>170543</v>
      </c>
      <c r="H19" s="2435" t="s">
        <v>2149</v>
      </c>
      <c r="I19" s="138"/>
      <c r="J19" s="795">
        <v>151741</v>
      </c>
      <c r="K19" s="2427" t="s">
        <v>2150</v>
      </c>
      <c r="L19" s="2427">
        <f>IF(C1="",'数据-汇总表'!D3,SUMIF(项目类型,C1,'数据-汇总表'!D17:D26)+SUMIF(项目类型,C1,'数据-汇总表'!H17:H27))</f>
        <v>72927</v>
      </c>
      <c r="M19" s="2427">
        <f>IF(C1="",'数据-汇总表'!D3,SUMIF(项目类型,C1,'数据-汇总表'!D17:D26))</f>
        <v>72927</v>
      </c>
    </row>
    <row r="20" spans="1:35" ht="14.4">
      <c r="A20" s="2436"/>
      <c r="B20" s="1247" t="s">
        <v>2151</v>
      </c>
      <c r="C20" s="146">
        <f ca="1">SUMIF(INDIRECT("'"&amp;C4&amp;"'"&amp;"!A:A"),结果表!B20,INDIRECT("'"&amp;C4&amp;"'"&amp;"!B:B"))</f>
        <v>10377</v>
      </c>
      <c r="D20" s="147">
        <f ca="1">SUMIF(INDIRECT("'"&amp;D4&amp;"'"&amp;"!A:A"),结果表!B20,INDIRECT("'"&amp;D4&amp;"'"&amp;"!B:B"))</f>
        <v>8941</v>
      </c>
      <c r="E20" s="2436"/>
      <c r="F20" s="1247" t="s">
        <v>2151</v>
      </c>
      <c r="G20" s="148">
        <f ca="1">ROUND(C20*$C$18+D20*$D$18,0)</f>
        <v>9659</v>
      </c>
      <c r="H20" s="980" t="s">
        <v>2152</v>
      </c>
      <c r="I20" s="138"/>
    </row>
    <row r="21" spans="1:35" ht="15" customHeight="1" thickBot="1">
      <c r="A21" s="1000"/>
      <c r="B21" s="2437" t="s">
        <v>2153</v>
      </c>
      <c r="C21" s="789">
        <f ca="1">ROUND(C19*10000/L19,0)</f>
        <v>25123</v>
      </c>
      <c r="D21" s="790">
        <f ca="1">ROUND(D19*10000/L19,0)</f>
        <v>21647</v>
      </c>
      <c r="E21" s="1000"/>
      <c r="F21" s="2437" t="s">
        <v>2153</v>
      </c>
      <c r="G21" s="149">
        <f ca="1">ROUND(G19*10000/L19,0)</f>
        <v>23385</v>
      </c>
      <c r="H21" s="2438" t="s">
        <v>2152</v>
      </c>
      <c r="I21" s="138"/>
    </row>
    <row r="22" spans="1:35" ht="15" thickBot="1">
      <c r="A22" s="2280" t="s">
        <v>2154</v>
      </c>
      <c r="B22" s="2439"/>
      <c r="C22" s="2440"/>
      <c r="D22" s="791">
        <f ca="1">IF(C19&lt;D19,D19/C19-1,C19/D19-1)</f>
        <v>0.16058454268466504</v>
      </c>
      <c r="E22" s="138"/>
      <c r="F22" s="138"/>
      <c r="G22" s="138"/>
      <c r="H22" s="138"/>
      <c r="I22" s="138"/>
    </row>
    <row r="23" spans="1:35" ht="13.8" thickBot="1">
      <c r="A23" s="2417"/>
      <c r="B23" s="2417"/>
      <c r="C23" s="2417"/>
      <c r="D23" s="2417"/>
      <c r="E23" s="138"/>
      <c r="F23" s="138"/>
      <c r="G23" s="138"/>
      <c r="H23" s="138"/>
      <c r="I23" s="138"/>
    </row>
    <row r="24" spans="1:35" ht="14.4">
      <c r="A24" s="3095" t="s">
        <v>2155</v>
      </c>
      <c r="B24" s="2434" t="s">
        <v>2147</v>
      </c>
      <c r="C24" s="145">
        <f>IF(B30=0,0,D30)</f>
        <v>0</v>
      </c>
      <c r="D24" s="2441"/>
      <c r="E24" s="138"/>
      <c r="F24" s="138"/>
      <c r="G24" s="138"/>
      <c r="H24" s="138"/>
      <c r="I24" s="138"/>
    </row>
    <row r="25" spans="1:35" ht="14.4">
      <c r="A25" s="3096"/>
      <c r="B25" s="1247"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2160</v>
      </c>
      <c r="B30" s="151"/>
      <c r="C30" s="151"/>
      <c r="D30" s="151"/>
      <c r="E30" s="2916" t="s">
        <v>3033</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2161</v>
      </c>
      <c r="B32" s="2447"/>
      <c r="C32" s="153">
        <f ca="1">IF(D32="总价",G19-C24,G20-C25)</f>
        <v>170543</v>
      </c>
      <c r="D32" s="2448" t="s">
        <v>2162</v>
      </c>
      <c r="E32" s="138"/>
      <c r="F32" s="138"/>
      <c r="G32" s="138"/>
      <c r="H32" s="138"/>
      <c r="I32" s="138"/>
    </row>
    <row r="33" spans="1:15" ht="14.4">
      <c r="A33" s="957" t="s">
        <v>2163</v>
      </c>
      <c r="B33" s="2449"/>
      <c r="C33" s="2450" t="s">
        <v>3289</v>
      </c>
      <c r="D33" s="2451" t="s">
        <v>3287</v>
      </c>
      <c r="E33" s="2452" t="s">
        <v>2164</v>
      </c>
      <c r="F33" s="2453" t="str">
        <f>IF(D32="楼面单价","取值（单价）","取值（总价）")</f>
        <v>取值（总价）</v>
      </c>
      <c r="G33" s="138"/>
      <c r="H33" s="138"/>
      <c r="I33" s="138"/>
    </row>
    <row r="34" spans="1:15" ht="14.4">
      <c r="A34" s="2454"/>
      <c r="B34" s="2455" t="s">
        <v>2165</v>
      </c>
      <c r="C34" s="157">
        <f ca="1">IF(C33="自定义",F34,C32-C35)</f>
        <v>167303</v>
      </c>
      <c r="D34" s="1055">
        <f ca="1">IF(C33="自定义",ROUND(C34/C32,3),IF(C33="收益比率",SUMIF(INDIRECT("'"&amp;D33&amp;"'"&amp;"!b:b"),"土地收益比率",INDIRECT("'"&amp;D33&amp;"'"&amp;"!c:c")),SUMIF(INDIRECT("'"&amp;D33&amp;"'"&amp;"!b:b"),"土地成本比率",INDIRECT("'"&amp;D33&amp;"'"&amp;"!c:c"))))</f>
        <v>0.98099999999999998</v>
      </c>
      <c r="E34" s="2456" t="s">
        <v>2166</v>
      </c>
      <c r="F34" s="1736"/>
      <c r="G34" s="138"/>
      <c r="H34" s="138"/>
      <c r="I34" s="138"/>
    </row>
    <row r="35" spans="1:15" ht="15" thickBot="1">
      <c r="A35" s="2457"/>
      <c r="B35" s="2458" t="s">
        <v>2167</v>
      </c>
      <c r="C35" s="1441">
        <f ca="1">IF(C33="自定义",F35,ROUND(C32*D35,0))</f>
        <v>3240</v>
      </c>
      <c r="D35" s="1442">
        <f ca="1">IF(C33="自定义",ROUND(C35/C32,3),IF(C33="收益比率",SUMIF(INDIRECT("'"&amp;D33&amp;"'"&amp;"!b:b"),"建筑物收益比率",INDIRECT("'"&amp;D33&amp;"'"&amp;"!c:c")),SUMIF(INDIRECT("'"&amp;D33&amp;"'"&amp;"!b:b"),"建筑物成本比率",INDIRECT("'"&amp;D33&amp;"'"&amp;"!c:c"))))</f>
        <v>1.9E-2</v>
      </c>
      <c r="E35" s="2459" t="s">
        <v>2168</v>
      </c>
      <c r="F35" s="163"/>
      <c r="G35" s="138"/>
      <c r="H35" s="138"/>
      <c r="I35" s="138"/>
    </row>
    <row r="36" spans="1:15" ht="15" thickBot="1">
      <c r="A36" s="3113" t="s">
        <v>2169</v>
      </c>
      <c r="B36" s="2460" t="s">
        <v>2170</v>
      </c>
      <c r="C36" s="154"/>
      <c r="D36" s="2461"/>
      <c r="E36" s="2462"/>
      <c r="F36" s="2463"/>
      <c r="G36" s="138"/>
      <c r="H36" s="138"/>
      <c r="I36" s="138"/>
    </row>
    <row r="37" spans="1:15" ht="15" thickBot="1">
      <c r="A37" s="3114"/>
      <c r="B37" s="2266" t="s">
        <v>2171</v>
      </c>
      <c r="C37" s="156"/>
      <c r="D37" s="1392"/>
      <c r="E37" s="1392"/>
      <c r="F37" s="2463"/>
      <c r="G37" s="138"/>
      <c r="H37" s="138"/>
      <c r="I37" s="138"/>
    </row>
    <row r="38" spans="1:15" ht="15" thickBot="1">
      <c r="A38" s="3115"/>
      <c r="B38" s="2464" t="s">
        <v>2172</v>
      </c>
      <c r="C38" s="727"/>
      <c r="D38" s="2465" t="s">
        <v>2173</v>
      </c>
      <c r="E38" s="1392"/>
      <c r="F38" s="2463"/>
      <c r="G38" s="138"/>
      <c r="H38" s="138"/>
      <c r="I38" s="138"/>
    </row>
    <row r="39" spans="1:15" ht="14.4">
      <c r="A39" s="2436" t="s">
        <v>2174</v>
      </c>
      <c r="B39" s="2466" t="s">
        <v>2175</v>
      </c>
      <c r="C39" s="2467" t="s">
        <v>2176</v>
      </c>
      <c r="D39" s="2467" t="s">
        <v>2177</v>
      </c>
      <c r="E39" s="2468" t="s">
        <v>2178</v>
      </c>
      <c r="F39" s="2463"/>
      <c r="G39" s="138"/>
      <c r="H39" s="138"/>
      <c r="I39" s="138"/>
    </row>
    <row r="40" spans="1:15" ht="13.8">
      <c r="A40" s="2469" t="s">
        <v>2179</v>
      </c>
      <c r="B40" s="158"/>
      <c r="C40" s="159"/>
      <c r="D40" s="159"/>
      <c r="E40" s="160"/>
      <c r="F40" s="2463"/>
      <c r="G40" s="138"/>
      <c r="H40" s="138"/>
      <c r="I40" s="138"/>
    </row>
    <row r="41" spans="1:15" ht="13.8">
      <c r="A41" s="2469" t="s">
        <v>2180</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5"/>
      <c r="B43" s="2165"/>
      <c r="C43" s="2165"/>
      <c r="D43" s="2165"/>
      <c r="E43" s="2165"/>
      <c r="F43" s="2471"/>
      <c r="G43" s="2471"/>
      <c r="H43" s="2471"/>
      <c r="I43" s="2472"/>
    </row>
    <row r="44" spans="1:15" ht="17.399999999999999">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092" t="s">
        <v>2183</v>
      </c>
      <c r="B45" s="3093"/>
      <c r="C45" s="3094"/>
      <c r="D45" s="164">
        <f ca="1">ROUND(H101*F45,0)</f>
        <v>170543</v>
      </c>
      <c r="E45" s="165" t="s">
        <v>2184</v>
      </c>
      <c r="F45" s="166">
        <v>1</v>
      </c>
      <c r="G45" s="167" t="s">
        <v>2185</v>
      </c>
      <c r="H45" s="138"/>
      <c r="I45" s="138"/>
      <c r="J45" s="3152" t="s">
        <v>2186</v>
      </c>
      <c r="K45" s="3152"/>
      <c r="L45" s="3152"/>
      <c r="M45" s="3152"/>
      <c r="N45" s="3152"/>
      <c r="O45" s="3152"/>
    </row>
    <row r="46" spans="1:15" ht="14.25" customHeight="1">
      <c r="A46" s="3089" t="s">
        <v>2187</v>
      </c>
      <c r="B46" s="3090"/>
      <c r="C46" s="3090"/>
      <c r="D46" s="3090"/>
      <c r="E46" s="3090"/>
      <c r="F46" s="3090"/>
      <c r="G46" s="3091"/>
      <c r="H46" s="2479"/>
      <c r="I46" s="168"/>
      <c r="J46" s="1809">
        <v>1</v>
      </c>
      <c r="K46" s="3152" t="s">
        <v>2188</v>
      </c>
      <c r="L46" s="3152"/>
      <c r="M46" s="3172"/>
      <c r="N46" s="3172"/>
      <c r="O46" s="3172"/>
    </row>
    <row r="47" spans="1:15" ht="12" customHeight="1">
      <c r="A47" s="169" t="s">
        <v>2189</v>
      </c>
      <c r="B47" s="170"/>
      <c r="C47" s="171"/>
      <c r="D47" s="172" t="s">
        <v>2190</v>
      </c>
      <c r="E47" s="24" t="s">
        <v>2191</v>
      </c>
      <c r="F47" s="173" t="s">
        <v>2192</v>
      </c>
      <c r="G47" s="174" t="s">
        <v>2193</v>
      </c>
      <c r="H47" s="2479"/>
      <c r="I47" s="168"/>
      <c r="J47" s="1809">
        <v>2</v>
      </c>
      <c r="K47" s="3152" t="s">
        <v>2194</v>
      </c>
      <c r="L47" s="3152"/>
      <c r="M47" s="3173">
        <f>'数据-取费表'!B2</f>
        <v>43923</v>
      </c>
      <c r="N47" s="3173"/>
      <c r="O47" s="3173"/>
    </row>
    <row r="48" spans="1:15" ht="26.4">
      <c r="A48" s="3120" t="s">
        <v>2195</v>
      </c>
      <c r="B48" s="3103"/>
      <c r="C48" s="3103"/>
      <c r="D48" s="140">
        <f>IF(H48="情况1",0,IF(H48="情况2",D52,IF(H48="情况3",D53,IF(H48="情况4",D54))))</f>
        <v>0</v>
      </c>
      <c r="E48" s="1798" t="str">
        <f>IF(H48="情况4","(销售额-原购置价)×税（费）率","销售额×税（费）率")</f>
        <v>销售额×税（费）率</v>
      </c>
      <c r="F48" s="175" t="str">
        <f>IF(H48="情况1","免征",'数据-取费表'!B41)</f>
        <v>免征</v>
      </c>
      <c r="G48" s="2480" t="s">
        <v>2196</v>
      </c>
      <c r="H48" s="2481" t="s">
        <v>2197</v>
      </c>
      <c r="I48" s="2479"/>
      <c r="J48" s="1809">
        <v>3</v>
      </c>
      <c r="K48" s="3152" t="s">
        <v>2198</v>
      </c>
      <c r="L48" s="3152"/>
      <c r="M48" s="3174">
        <f ca="1">H101</f>
        <v>170543</v>
      </c>
      <c r="N48" s="3174"/>
      <c r="O48" s="3174"/>
    </row>
    <row r="49" spans="1:35" ht="25.5" customHeight="1">
      <c r="A49" s="176" t="s">
        <v>2199</v>
      </c>
      <c r="B49" s="3088" t="s">
        <v>2200</v>
      </c>
      <c r="C49" s="3088"/>
      <c r="D49" s="177">
        <v>0</v>
      </c>
      <c r="E49" s="23" t="s">
        <v>2201</v>
      </c>
      <c r="F49" s="28" t="s">
        <v>34</v>
      </c>
      <c r="G49" s="3158"/>
      <c r="H49" s="138"/>
      <c r="I49" s="2482"/>
      <c r="J49" s="1809">
        <v>4</v>
      </c>
      <c r="K49" s="3152" t="str">
        <f>IF(项目基本情况!E8="房地产抵押价值","房地产抵押价值","抵押担保权已注销时的房地产抵押价值")</f>
        <v>抵押担保权已注销时的房地产抵押价值</v>
      </c>
      <c r="L49" s="3152"/>
      <c r="M49" s="3174" t="str">
        <f>IF(项目基本情况!E8="房地产抵押价值",H107,H109)</f>
        <v>——</v>
      </c>
      <c r="N49" s="3174"/>
      <c r="O49" s="3174"/>
    </row>
    <row r="50" spans="1:35" ht="25.5" customHeight="1">
      <c r="A50" s="178"/>
      <c r="B50" s="3088" t="s">
        <v>2202</v>
      </c>
      <c r="C50" s="3088"/>
      <c r="D50" s="179"/>
      <c r="E50" s="31"/>
      <c r="F50" s="180"/>
      <c r="G50" s="3159"/>
      <c r="H50" s="138"/>
      <c r="I50" s="2482"/>
      <c r="J50" s="3152" t="s">
        <v>2203</v>
      </c>
      <c r="K50" s="3152"/>
      <c r="L50" s="3152"/>
      <c r="M50" s="3152"/>
      <c r="N50" s="3152"/>
      <c r="O50" s="3152"/>
    </row>
    <row r="51" spans="1:35" ht="12" customHeight="1">
      <c r="A51" s="181"/>
      <c r="B51" s="3088" t="s">
        <v>2204</v>
      </c>
      <c r="C51" s="3088"/>
      <c r="D51" s="182"/>
      <c r="E51" s="30"/>
      <c r="F51" s="180"/>
      <c r="G51" s="3160"/>
      <c r="H51" s="138"/>
      <c r="I51" s="2482"/>
      <c r="J51" s="2483" t="s">
        <v>2205</v>
      </c>
      <c r="K51" s="3152" t="s">
        <v>2206</v>
      </c>
      <c r="L51" s="3152"/>
      <c r="M51" s="2483" t="s">
        <v>2207</v>
      </c>
      <c r="N51" s="2483" t="s">
        <v>2208</v>
      </c>
      <c r="O51" s="2483" t="s">
        <v>2209</v>
      </c>
    </row>
    <row r="52" spans="1:35" ht="24" customHeight="1">
      <c r="A52" s="183" t="s">
        <v>2210</v>
      </c>
      <c r="B52" s="3088" t="s">
        <v>2211</v>
      </c>
      <c r="C52" s="3088"/>
      <c r="D52" s="182">
        <f ca="1">ROUND(D45*'数据-取费表'!B41/(1+'数据-取费表'!C42),0)</f>
        <v>9096</v>
      </c>
      <c r="E52" s="11" t="s">
        <v>2212</v>
      </c>
      <c r="F52" s="184">
        <f>'数据-取费表'!B41</f>
        <v>5.6000000000000001E-2</v>
      </c>
      <c r="G52" s="2484"/>
      <c r="H52" s="138"/>
      <c r="I52" s="2482"/>
      <c r="J52" s="1809">
        <v>1</v>
      </c>
      <c r="K52" s="3153" t="s">
        <v>2213</v>
      </c>
      <c r="L52" s="3153"/>
      <c r="M52" s="1751">
        <f>D48</f>
        <v>0</v>
      </c>
      <c r="N52" s="1809" t="str">
        <f>E48</f>
        <v>销售额×税（费）率</v>
      </c>
      <c r="O52" s="1752" t="str">
        <f>F48</f>
        <v>免征</v>
      </c>
    </row>
    <row r="53" spans="1:35" ht="12" customHeight="1">
      <c r="A53" s="183" t="s">
        <v>2214</v>
      </c>
      <c r="B53" s="3111" t="s">
        <v>2215</v>
      </c>
      <c r="C53" s="3112"/>
      <c r="D53" s="182">
        <f ca="1">ROUND(D45*'数据-取费表'!B41/(1+'数据-取费表'!C42),0)</f>
        <v>9096</v>
      </c>
      <c r="E53" s="11" t="s">
        <v>2212</v>
      </c>
      <c r="F53" s="184">
        <f>'数据-取费表'!B41</f>
        <v>5.6000000000000001E-2</v>
      </c>
      <c r="G53" s="2484"/>
      <c r="H53" s="138"/>
      <c r="I53" s="2482"/>
      <c r="J53" s="1809">
        <v>2</v>
      </c>
      <c r="K53" s="3153" t="s">
        <v>2216</v>
      </c>
      <c r="L53" s="3153"/>
      <c r="M53" s="1751">
        <f t="shared" ref="M53:O54" ca="1" si="0">D55</f>
        <v>85</v>
      </c>
      <c r="N53" s="1809" t="str">
        <f t="shared" si="0"/>
        <v>销售额×税（费）率</v>
      </c>
      <c r="O53" s="1752">
        <f t="shared" si="0"/>
        <v>5.0000000000000001E-4</v>
      </c>
    </row>
    <row r="54" spans="1:35" ht="12" customHeight="1">
      <c r="A54" s="183" t="s">
        <v>2217</v>
      </c>
      <c r="B54" s="3111" t="s">
        <v>2218</v>
      </c>
      <c r="C54" s="3112"/>
      <c r="D54" s="182">
        <f ca="1">C68</f>
        <v>9096</v>
      </c>
      <c r="E54" s="30" t="s">
        <v>2219</v>
      </c>
      <c r="F54" s="184">
        <f>'数据-取费表'!B41</f>
        <v>5.6000000000000001E-2</v>
      </c>
      <c r="G54" s="2484"/>
      <c r="H54" s="2485"/>
      <c r="I54" s="2482"/>
      <c r="J54" s="1809">
        <v>3</v>
      </c>
      <c r="K54" s="3153" t="s">
        <v>2220</v>
      </c>
      <c r="L54" s="3153"/>
      <c r="M54" s="1751">
        <f t="shared" ca="1" si="0"/>
        <v>96527</v>
      </c>
      <c r="N54" s="1809" t="str">
        <f t="shared" si="0"/>
        <v>增值额×税（费）率</v>
      </c>
      <c r="O54" s="1753" t="str">
        <f t="shared" si="0"/>
        <v>——</v>
      </c>
    </row>
    <row r="55" spans="1:35" ht="24" customHeight="1">
      <c r="A55" s="3102" t="s">
        <v>2221</v>
      </c>
      <c r="B55" s="3103"/>
      <c r="C55" s="3103"/>
      <c r="D55" s="185">
        <f ca="1">IF(H55="个人住宅",0,ROUND(D45*I55,0))</f>
        <v>85</v>
      </c>
      <c r="E55" s="11" t="s">
        <v>2222</v>
      </c>
      <c r="F55" s="184">
        <f>IF(H55="正常",I55,"免征")</f>
        <v>5.0000000000000001E-4</v>
      </c>
      <c r="G55" s="2484"/>
      <c r="H55" s="2481" t="s">
        <v>2223</v>
      </c>
      <c r="I55" s="186">
        <f>'数据-取费表'!B49</f>
        <v>5.0000000000000001E-4</v>
      </c>
      <c r="J55" s="1809" t="str">
        <f>IF(H59="非个人房产","",4)</f>
        <v/>
      </c>
      <c r="K55" s="3153" t="str">
        <f>IF(H59="非个人房产","——","个人所得税")</f>
        <v>——</v>
      </c>
      <c r="L55" s="3153"/>
      <c r="M55" s="1754" t="str">
        <f>D59</f>
        <v>——</v>
      </c>
      <c r="N55" s="1807" t="str">
        <f>E59</f>
        <v>——</v>
      </c>
      <c r="O55" s="1755" t="str">
        <f>F59</f>
        <v>——</v>
      </c>
    </row>
    <row r="56" spans="1:35" ht="25.2">
      <c r="A56" s="3102" t="s">
        <v>2224</v>
      </c>
      <c r="B56" s="3103"/>
      <c r="C56" s="3103"/>
      <c r="D56" s="185">
        <f ca="1">IF(H56="个人住宅",D57,D58)</f>
        <v>96527</v>
      </c>
      <c r="E56" s="11" t="s">
        <v>2225</v>
      </c>
      <c r="F56" s="184" t="str">
        <f>IF(H56="正常",F58,"免征")</f>
        <v>——</v>
      </c>
      <c r="G56" s="2486" t="s">
        <v>2226</v>
      </c>
      <c r="H56" s="2487" t="s">
        <v>2223</v>
      </c>
      <c r="I56" s="2488"/>
      <c r="J56" s="1809" t="str">
        <f>IF(项目基本情况!K6="上海银行",IF(J55="",4,J55+1),"")</f>
        <v/>
      </c>
      <c r="K56" s="3176" t="str">
        <f>IF(项目基本情况!K6="上海银行","其他处置费用","")</f>
        <v/>
      </c>
      <c r="L56" s="3177"/>
      <c r="M56" s="1751" t="str">
        <f>IF(项目基本情况!K6="上海银行",M69,"")</f>
        <v/>
      </c>
      <c r="N56" s="3179" t="str">
        <f>IF(项目基本情况!K6="上海银行","包含处置中涉及的律师、诉讼、拍卖、评估等费用","")</f>
        <v/>
      </c>
      <c r="O56" s="3180"/>
    </row>
    <row r="57" spans="1:35" ht="13.2">
      <c r="A57" s="183" t="s">
        <v>2199</v>
      </c>
      <c r="B57" s="3118" t="s">
        <v>2227</v>
      </c>
      <c r="C57" s="3127"/>
      <c r="D57" s="187">
        <v>0</v>
      </c>
      <c r="E57" s="23" t="s">
        <v>2201</v>
      </c>
      <c r="F57" s="155"/>
      <c r="G57" s="2484"/>
      <c r="H57" s="2488"/>
      <c r="I57" s="2488"/>
      <c r="J57" s="3153">
        <f>IF(AND(J55="",J56=""),4,IF(项目基本情况!K6="上海银行",结果表!J56+1,结果表!J55+1))</f>
        <v>4</v>
      </c>
      <c r="K57" s="3153" t="s">
        <v>2228</v>
      </c>
      <c r="L57" s="2489" t="s">
        <v>2229</v>
      </c>
      <c r="M57" s="1756"/>
      <c r="N57" s="1757">
        <f ca="1">SUMIF(M52:M56,"&lt;9e307")</f>
        <v>96612</v>
      </c>
      <c r="O57" s="2490"/>
      <c r="P57" s="1750" t="e">
        <f ca="1">N57/M49</f>
        <v>#VALUE!</v>
      </c>
    </row>
    <row r="58" spans="1:35" ht="25.2">
      <c r="A58" s="183" t="s">
        <v>2210</v>
      </c>
      <c r="B58" s="3118" t="s">
        <v>2230</v>
      </c>
      <c r="C58" s="3119"/>
      <c r="D58" s="185">
        <f ca="1">IF(H58="转让取得",C81,C97)</f>
        <v>96527</v>
      </c>
      <c r="E58" s="11" t="s">
        <v>2225</v>
      </c>
      <c r="F58" s="24" t="s">
        <v>34</v>
      </c>
      <c r="G58" s="2484"/>
      <c r="H58" s="2487" t="s">
        <v>2231</v>
      </c>
      <c r="I58" s="2488"/>
      <c r="J58" s="3153"/>
      <c r="K58" s="3153"/>
      <c r="L58" s="2489" t="s">
        <v>2232</v>
      </c>
      <c r="M58" s="1758"/>
      <c r="N58" s="2491" t="str">
        <f ca="1">NUMBERSTRING(INT(N57*10000),2)&amp;"元整"</f>
        <v>玖亿陆仟陆佰壹拾贰万元整</v>
      </c>
      <c r="O58" s="2492"/>
    </row>
    <row r="59" spans="1:35" ht="24.6" thickBot="1">
      <c r="A59" s="3156" t="s">
        <v>2233</v>
      </c>
      <c r="B59" s="3157"/>
      <c r="C59" s="3157"/>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54">
        <f>J57+1</f>
        <v>5</v>
      </c>
      <c r="K59" s="3153" t="s">
        <v>2235</v>
      </c>
      <c r="L59" s="1809" t="s">
        <v>2229</v>
      </c>
      <c r="M59" s="1759"/>
      <c r="N59" s="1760" t="e">
        <f ca="1">M49-N57</f>
        <v>#VALUE!</v>
      </c>
      <c r="O59" s="2494"/>
    </row>
    <row r="60" spans="1:35" ht="12" customHeight="1">
      <c r="A60" s="2495"/>
      <c r="B60" s="2417"/>
      <c r="C60" s="2417"/>
      <c r="D60" s="2417"/>
      <c r="E60" s="2166"/>
      <c r="F60" s="2488"/>
      <c r="G60" s="2488"/>
      <c r="H60" s="2496"/>
      <c r="I60" s="138"/>
      <c r="J60" s="3155"/>
      <c r="K60" s="3153"/>
      <c r="L60" s="2489" t="s">
        <v>2232</v>
      </c>
      <c r="M60" s="1758"/>
      <c r="N60" s="2491" t="e">
        <f ca="1">NUMBERSTRING(INT(N59*10000),2)&amp;"元整"</f>
        <v>#VALUE!</v>
      </c>
      <c r="O60" s="2492"/>
    </row>
    <row r="61" spans="1:35" ht="13.8" thickBot="1">
      <c r="A61" s="3100" t="s">
        <v>2236</v>
      </c>
      <c r="B61" s="3100"/>
      <c r="C61" s="3100"/>
      <c r="D61" s="3100"/>
      <c r="E61" s="3100"/>
      <c r="F61" s="2488"/>
      <c r="G61" s="2488"/>
      <c r="H61" s="2496"/>
      <c r="I61" s="138"/>
      <c r="J61" s="1809">
        <f>J59+1</f>
        <v>6</v>
      </c>
      <c r="K61" s="3153" t="s">
        <v>2237</v>
      </c>
      <c r="L61" s="3153"/>
      <c r="M61" s="1761"/>
      <c r="N61" s="1762" t="e">
        <f ca="1">ROUND(N59*10000/'数据-汇总表'!E3,0)</f>
        <v>#VALUE!</v>
      </c>
      <c r="O61" s="2497"/>
    </row>
    <row r="62" spans="1:35" ht="13.2">
      <c r="A62" s="3116" t="s">
        <v>2238</v>
      </c>
      <c r="B62" s="3117"/>
      <c r="C62" s="1801"/>
      <c r="D62" s="1801" t="s">
        <v>2239</v>
      </c>
      <c r="E62" s="192" t="s">
        <v>2240</v>
      </c>
      <c r="F62" s="2488"/>
      <c r="G62" s="2488"/>
      <c r="H62" s="2496"/>
      <c r="I62" s="138"/>
    </row>
    <row r="63" spans="1:35" ht="13.2">
      <c r="A63" s="203" t="s">
        <v>775</v>
      </c>
      <c r="B63" s="193" t="s">
        <v>2241</v>
      </c>
      <c r="C63" s="194">
        <f ca="1">ROUND((C64+C65)/(1+'数据-取费表'!C42),0)</f>
        <v>162422</v>
      </c>
      <c r="D63" s="195"/>
      <c r="E63" s="196"/>
      <c r="F63" s="2488"/>
      <c r="G63" s="2488"/>
      <c r="H63" s="2496"/>
      <c r="I63" s="138"/>
      <c r="J63" s="3178" t="s">
        <v>2242</v>
      </c>
      <c r="K63" s="2498" t="s">
        <v>2243</v>
      </c>
      <c r="L63" s="1749"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170543</v>
      </c>
      <c r="D64" s="200" t="s">
        <v>32</v>
      </c>
      <c r="E64" s="201"/>
      <c r="F64" s="2488"/>
      <c r="G64" s="2488"/>
      <c r="H64" s="2496"/>
      <c r="I64" s="138"/>
      <c r="J64" s="3178"/>
      <c r="K64" s="2498"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78"/>
      <c r="K65" s="2498" t="s">
        <v>2248</v>
      </c>
      <c r="L65" s="1749"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3" t="s">
        <v>1366</v>
      </c>
      <c r="F66" s="2488"/>
      <c r="G66" s="2488"/>
      <c r="H66" s="2496"/>
      <c r="I66" s="138"/>
      <c r="J66" s="3178"/>
      <c r="K66" s="2498" t="s">
        <v>2250</v>
      </c>
      <c r="L66" s="1749" t="e">
        <f>M49*0.5%</f>
        <v>#VALUE!</v>
      </c>
      <c r="M66" s="24" t="e">
        <f>IF(L66&gt;0.5,0.5,ROUND(L66,0))</f>
        <v>#VALUE!</v>
      </c>
      <c r="N66" s="138" t="s">
        <v>2251</v>
      </c>
      <c r="Z66" s="2422"/>
      <c r="AI66" s="2423"/>
    </row>
    <row r="67" spans="1:35" ht="14.25" customHeight="1">
      <c r="A67" s="203" t="s">
        <v>773</v>
      </c>
      <c r="B67" s="204" t="s">
        <v>2252</v>
      </c>
      <c r="C67" s="207">
        <f ca="1">C63-C66</f>
        <v>162422</v>
      </c>
      <c r="D67" s="200" t="s">
        <v>32</v>
      </c>
      <c r="E67" s="201"/>
      <c r="F67" s="2488"/>
      <c r="G67" s="2488"/>
      <c r="H67" s="2496"/>
      <c r="I67" s="138"/>
      <c r="J67" s="3178"/>
      <c r="K67" s="2498"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9096</v>
      </c>
      <c r="D68" s="211">
        <f>'数据-取费表'!B41</f>
        <v>5.6000000000000001E-2</v>
      </c>
      <c r="E68" s="212"/>
      <c r="F68" s="2488"/>
      <c r="G68" s="2488"/>
      <c r="H68" s="2496"/>
      <c r="I68" s="138"/>
      <c r="J68" s="3178"/>
      <c r="K68" s="2498" t="s">
        <v>2255</v>
      </c>
      <c r="L68" s="1749"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6"/>
      <c r="G69" s="2166"/>
      <c r="H69" s="2165"/>
      <c r="I69" s="2417"/>
      <c r="J69" s="3178"/>
      <c r="K69" s="2498" t="s">
        <v>2256</v>
      </c>
      <c r="L69" s="2504"/>
      <c r="M69" s="24" t="e">
        <f>ROUND(SUM(M63:M68),0)</f>
        <v>#VALUE!</v>
      </c>
      <c r="N69" s="1750"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37" t="s">
        <v>2257</v>
      </c>
      <c r="B70" s="3138"/>
      <c r="C70" s="3138"/>
      <c r="D70" s="3138"/>
      <c r="E70" s="3138"/>
      <c r="F70" s="3138"/>
      <c r="G70" s="3138"/>
      <c r="H70" s="313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16" t="s">
        <v>2238</v>
      </c>
      <c r="B71" s="3117"/>
      <c r="C71" s="1801"/>
      <c r="D71" s="1801"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2258</v>
      </c>
      <c r="C72" s="207">
        <f ca="1">ROUND(D45/(1+'数据-取费表'!C42),0)</f>
        <v>162422</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2259</v>
      </c>
      <c r="C73" s="207">
        <f ca="1">C74+C78</f>
        <v>975</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11" t="s">
        <v>2266</v>
      </c>
      <c r="F76" s="3088"/>
      <c r="G76" s="3088"/>
      <c r="H76" s="313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975</v>
      </c>
      <c r="D78" s="226">
        <f>'数据-取费表'!B43</f>
        <v>6.000000000000001E-3</v>
      </c>
      <c r="E78" s="3097" t="s">
        <v>2271</v>
      </c>
      <c r="F78" s="3098"/>
      <c r="G78" s="3098"/>
      <c r="H78" s="310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2272</v>
      </c>
      <c r="C79" s="207">
        <f ca="1">C72-C73</f>
        <v>161447</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165.58666666666667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2274</v>
      </c>
      <c r="C81" s="228">
        <f ca="1">ROUND(IF(C79&lt;=0,0,IF(C80&gt;=200%,C79*60%-C73*35%,IF(C80&gt;=100%,C79*50%-C73*15%,IF(C80&gt;=50%,C79*40%-C73*5%,IF(C80&lt;50%,C79*30%,0))))),0)</f>
        <v>96527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37" t="s">
        <v>2275</v>
      </c>
      <c r="B83" s="3138"/>
      <c r="C83" s="3138"/>
      <c r="D83" s="3138"/>
      <c r="E83" s="3138"/>
      <c r="F83" s="3138"/>
      <c r="G83" s="3138"/>
      <c r="H83" s="313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16" t="s">
        <v>2238</v>
      </c>
      <c r="B84" s="3117"/>
      <c r="C84" s="1801"/>
      <c r="D84" s="1801"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2258</v>
      </c>
      <c r="C85" s="207">
        <f ca="1">ROUND(D45/(1+'数据-取费表'!C42),0)</f>
        <v>162422</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2259</v>
      </c>
      <c r="C86" s="207">
        <f ca="1">IF(H88="仅含出让金",C87+C90+C91+C92+C93+C94,C87+C91+C92+C93+C94)</f>
        <v>975</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2276</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2277</v>
      </c>
      <c r="C88" s="236"/>
      <c r="D88" s="226"/>
      <c r="E88" s="237" t="s">
        <v>2278</v>
      </c>
      <c r="F88" s="1797"/>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2267</v>
      </c>
      <c r="C89" s="225">
        <f>ROUND(C88*D89,0)</f>
        <v>0</v>
      </c>
      <c r="D89" s="226">
        <f>'数据-取费表'!B48+'数据-取费表'!B49</f>
        <v>3.0499999999999999E-2</v>
      </c>
      <c r="E89" s="237" t="s">
        <v>2280</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2281</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097" t="s">
        <v>2284</v>
      </c>
      <c r="F91" s="3098"/>
      <c r="G91" s="3098"/>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097" t="s">
        <v>2288</v>
      </c>
      <c r="F92" s="3098"/>
      <c r="G92" s="3098"/>
      <c r="H92" s="310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975</v>
      </c>
      <c r="D93" s="226">
        <f>'数据-取费表'!B43</f>
        <v>6.000000000000001E-3</v>
      </c>
      <c r="E93" s="3097" t="s">
        <v>2271</v>
      </c>
      <c r="F93" s="3098"/>
      <c r="G93" s="3098"/>
      <c r="H93" s="310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08" t="s">
        <v>2292</v>
      </c>
      <c r="F94" s="3109"/>
      <c r="G94" s="3109"/>
      <c r="H94" s="311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2272</v>
      </c>
      <c r="C95" s="207">
        <f ca="1">ROUND(C85-C86,0)</f>
        <v>161447</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165.58666666666667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2274</v>
      </c>
      <c r="C97" s="228">
        <f ca="1">ROUND(IF(C95&lt;=0,0,IF(C96&gt;=200%,C95*60%-C86*35%,IF(C96&gt;=100%,C95*50%-C86*15%,IF(C96&gt;=50%,C95*40%-C86*5%,IF(C96&lt;50%,C95*30%,0))))),0)</f>
        <v>96527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2293</v>
      </c>
      <c r="B99" s="2417"/>
      <c r="C99" s="2417"/>
      <c r="D99" s="2417"/>
      <c r="E99" s="2166"/>
      <c r="F99" s="2166"/>
      <c r="G99" s="2166"/>
      <c r="H99" s="2165"/>
      <c r="I99" s="138"/>
    </row>
    <row r="100" spans="1:35" ht="18.75" customHeight="1">
      <c r="A100" s="3078" t="s">
        <v>2294</v>
      </c>
      <c r="B100" s="3079"/>
      <c r="C100" s="3079"/>
      <c r="D100" s="3099"/>
      <c r="E100" s="3079" t="s">
        <v>2295</v>
      </c>
      <c r="F100" s="3079"/>
      <c r="G100" s="3079"/>
      <c r="H100" s="3099"/>
      <c r="I100" s="138"/>
    </row>
    <row r="101" spans="1:35" ht="18.75" customHeight="1">
      <c r="A101" s="3161" t="s">
        <v>2296</v>
      </c>
      <c r="B101" s="3162"/>
      <c r="C101" s="736" t="str">
        <f>C4</f>
        <v>成本法</v>
      </c>
      <c r="D101" s="737" t="str">
        <f>D4</f>
        <v>假设开发法</v>
      </c>
      <c r="E101" s="3175" t="s">
        <v>2297</v>
      </c>
      <c r="F101" s="3129"/>
      <c r="G101" s="2519" t="s">
        <v>2298</v>
      </c>
      <c r="H101" s="1045">
        <f ca="1">H118</f>
        <v>170543</v>
      </c>
      <c r="I101" s="138"/>
    </row>
    <row r="102" spans="1:35" ht="18.75" customHeight="1">
      <c r="A102" s="3131" t="s">
        <v>2299</v>
      </c>
      <c r="B102" s="2519" t="s">
        <v>2298</v>
      </c>
      <c r="C102" s="736">
        <f ca="1">C19</f>
        <v>183218</v>
      </c>
      <c r="D102" s="737">
        <f ca="1">D19</f>
        <v>157867</v>
      </c>
      <c r="E102" s="3175"/>
      <c r="F102" s="3129"/>
      <c r="G102" s="2519" t="s">
        <v>2300</v>
      </c>
      <c r="H102" s="371">
        <f ca="1">I118</f>
        <v>9659</v>
      </c>
      <c r="I102" s="138"/>
    </row>
    <row r="103" spans="1:35" ht="42.75" customHeight="1">
      <c r="A103" s="3131"/>
      <c r="B103" s="2519" t="s">
        <v>2300</v>
      </c>
      <c r="C103" s="738">
        <f ca="1">C20</f>
        <v>10377</v>
      </c>
      <c r="D103" s="739">
        <f ca="1">D20</f>
        <v>8941</v>
      </c>
      <c r="E103" s="3170" t="s">
        <v>2301</v>
      </c>
      <c r="F103" s="3171"/>
      <c r="G103" s="2520" t="s">
        <v>2302</v>
      </c>
      <c r="H103" s="1045">
        <f>IF(D36="正常操作",H104+H105+H106,H105+H106)</f>
        <v>0</v>
      </c>
      <c r="I103" s="138"/>
    </row>
    <row r="104" spans="1:35" ht="18.75" customHeight="1">
      <c r="A104" s="3131" t="s">
        <v>2303</v>
      </c>
      <c r="B104" s="2521" t="s">
        <v>2298</v>
      </c>
      <c r="C104" s="740">
        <f ca="1">H118</f>
        <v>170543</v>
      </c>
      <c r="D104" s="741"/>
      <c r="E104" s="2266" t="s">
        <v>2304</v>
      </c>
      <c r="F104" s="2258"/>
      <c r="G104" s="2520" t="s">
        <v>2302</v>
      </c>
      <c r="H104" s="1046">
        <f>IF(D36="同一抵押权人同一抵押物续贷",C36&amp;"（未扣减，详见特别提示）",C36)</f>
        <v>0</v>
      </c>
      <c r="I104" s="138"/>
    </row>
    <row r="105" spans="1:35" ht="18.75" customHeight="1" thickBot="1">
      <c r="A105" s="3132"/>
      <c r="B105" s="2522" t="s">
        <v>2300</v>
      </c>
      <c r="C105" s="742">
        <f ca="1">I118</f>
        <v>9659</v>
      </c>
      <c r="D105" s="743"/>
      <c r="E105" s="2266" t="s">
        <v>2305</v>
      </c>
      <c r="F105" s="2258"/>
      <c r="G105" s="2520" t="s">
        <v>2302</v>
      </c>
      <c r="H105" s="1046">
        <f>C37</f>
        <v>0</v>
      </c>
      <c r="I105" s="138"/>
    </row>
    <row r="106" spans="1:35" ht="18.75" customHeight="1">
      <c r="A106" s="2417" t="s">
        <v>2306</v>
      </c>
      <c r="B106" s="2417"/>
      <c r="C106" s="2417"/>
      <c r="D106" s="2417"/>
      <c r="E106" s="2523" t="s">
        <v>2307</v>
      </c>
      <c r="F106" s="2258"/>
      <c r="G106" s="2520" t="s">
        <v>2302</v>
      </c>
      <c r="H106" s="1046">
        <f>C38</f>
        <v>0</v>
      </c>
      <c r="I106" s="138"/>
    </row>
    <row r="107" spans="1:35" ht="18.75" customHeight="1">
      <c r="A107" s="138"/>
      <c r="B107" s="138"/>
      <c r="C107" s="138"/>
      <c r="D107" s="138"/>
      <c r="E107" s="3128" t="str">
        <f>IF(项目基本情况!E8="已注销","——","3.房地产抵押价值")</f>
        <v>3.房地产抵押价值</v>
      </c>
      <c r="F107" s="3129"/>
      <c r="G107" s="2519" t="s">
        <v>2298</v>
      </c>
      <c r="H107" s="1045">
        <f ca="1">IF(E107="——","——",H101-H103)</f>
        <v>170543</v>
      </c>
      <c r="I107" s="138"/>
    </row>
    <row r="108" spans="1:35" ht="18.75" customHeight="1">
      <c r="A108" s="138"/>
      <c r="B108" s="138"/>
      <c r="C108" s="138"/>
      <c r="D108" s="138"/>
      <c r="E108" s="3128"/>
      <c r="F108" s="3129"/>
      <c r="G108" s="2519" t="s">
        <v>2300</v>
      </c>
      <c r="H108" s="371">
        <f ca="1">ROUND(H107*10000/'数据-汇总表'!E3,0)</f>
        <v>9659</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129"/>
      <c r="G109" s="2519" t="s">
        <v>2298</v>
      </c>
      <c r="H109" s="348" t="str">
        <f>IF(E109="——","——",H101-H105-H106)</f>
        <v>——</v>
      </c>
      <c r="I109" s="138"/>
    </row>
    <row r="110" spans="1:35" ht="18.75" customHeight="1">
      <c r="A110" s="138"/>
      <c r="B110" s="138"/>
      <c r="C110" s="138"/>
      <c r="D110" s="138"/>
      <c r="E110" s="3128"/>
      <c r="F110" s="3129"/>
      <c r="G110" s="2519" t="s">
        <v>2300</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19" t="s">
        <v>2298</v>
      </c>
      <c r="H111" s="1045" t="str">
        <f>IF(E111="——","——",N59)</f>
        <v>——</v>
      </c>
      <c r="I111" s="138"/>
    </row>
    <row r="112" spans="1:35" ht="18.75" customHeight="1" thickBot="1">
      <c r="A112" s="138"/>
      <c r="B112" s="138"/>
      <c r="C112" s="138"/>
      <c r="D112" s="138"/>
      <c r="E112" s="3165"/>
      <c r="F112" s="3166"/>
      <c r="G112" s="2524" t="s">
        <v>2300</v>
      </c>
      <c r="H112" s="790" t="str">
        <f>IF(E111="——","——",N61)</f>
        <v>——</v>
      </c>
      <c r="I112" s="138"/>
    </row>
    <row r="113" spans="1:11" ht="18.75" customHeight="1">
      <c r="A113" s="138"/>
      <c r="B113" s="138"/>
      <c r="C113" s="138"/>
      <c r="D113" s="138"/>
      <c r="E113" s="3133" t="s">
        <v>2306</v>
      </c>
      <c r="F113" s="3133"/>
      <c r="G113" s="3133"/>
      <c r="H113" s="3133"/>
      <c r="I113" s="138"/>
    </row>
    <row r="114" spans="1:11" ht="3.75" customHeight="1">
      <c r="A114" s="2417"/>
      <c r="B114" s="2417"/>
      <c r="C114" s="2417"/>
      <c r="D114" s="2417"/>
      <c r="E114" s="2495"/>
      <c r="F114" s="2495"/>
      <c r="G114" s="2495"/>
      <c r="H114" s="2495"/>
      <c r="I114" s="2417"/>
    </row>
    <row r="115" spans="1:11" ht="18.75" customHeight="1">
      <c r="A115" s="3146" t="s">
        <v>2308</v>
      </c>
      <c r="B115" s="3147"/>
      <c r="C115" s="3147"/>
      <c r="D115" s="3147"/>
      <c r="E115" s="3147"/>
      <c r="F115" s="3147"/>
      <c r="G115" s="3147"/>
      <c r="H115" s="3147"/>
      <c r="I115" s="3148"/>
    </row>
    <row r="116" spans="1:11" ht="27" customHeight="1">
      <c r="A116" s="3033" t="s">
        <v>2309</v>
      </c>
      <c r="B116" s="3134" t="s">
        <v>2310</v>
      </c>
      <c r="C116" s="3134" t="s">
        <v>2311</v>
      </c>
      <c r="D116" s="3150" t="s">
        <v>2312</v>
      </c>
      <c r="E116" s="3151"/>
      <c r="F116" s="3142" t="s">
        <v>2313</v>
      </c>
      <c r="G116" s="3142"/>
      <c r="H116" s="3033" t="s">
        <v>2314</v>
      </c>
      <c r="I116" s="3033"/>
    </row>
    <row r="117" spans="1:11" ht="18.75" customHeight="1">
      <c r="A117" s="3033"/>
      <c r="B117" s="3135"/>
      <c r="C117" s="3135"/>
      <c r="D117" s="1795" t="s">
        <v>2315</v>
      </c>
      <c r="E117" s="1795" t="s">
        <v>2316</v>
      </c>
      <c r="F117" s="1795" t="s">
        <v>2315</v>
      </c>
      <c r="G117" s="1795" t="s">
        <v>2317</v>
      </c>
      <c r="H117" s="1795" t="s">
        <v>2315</v>
      </c>
      <c r="I117" s="1795" t="s">
        <v>2317</v>
      </c>
    </row>
    <row r="118" spans="1:11" ht="24.75" customHeight="1">
      <c r="A118" s="2525" t="str">
        <f>项目基本情况!S2</f>
        <v>出让国有建设用地使用权及在建建筑物房地产</v>
      </c>
      <c r="B118" s="1795">
        <f>M18</f>
        <v>176567.06999999998</v>
      </c>
      <c r="C118" s="1795">
        <f>M19</f>
        <v>72927</v>
      </c>
      <c r="D118" s="1795">
        <f ca="1">ROUND(IF(D32="总价",C34,E118*B118/10000),0)</f>
        <v>167303</v>
      </c>
      <c r="E118" s="1795">
        <f ca="1">ROUND(IF(C33="自定义",IF(D32="楼面单价",C34,D118*10000/B118),I118-G118),0)</f>
        <v>9476</v>
      </c>
      <c r="F118" s="1795">
        <f ca="1">ROUND(IF(D32="总价",C35,G118*B118/10000),0)</f>
        <v>3240</v>
      </c>
      <c r="G118" s="1795">
        <f ca="1">ROUND(IF(D32="楼面单价",C35,F118*10000/B118),0)</f>
        <v>183</v>
      </c>
      <c r="H118" s="1795">
        <f ca="1">ROUND(IF(D32="总价",C32,I118*B118/10000),0)</f>
        <v>170543</v>
      </c>
      <c r="I118" s="1795">
        <f ca="1">ROUND(IF(D32="楼面单价",C32,H118*10000/B118),0)</f>
        <v>9659</v>
      </c>
    </row>
    <row r="119" spans="1:11" ht="18.75" customHeight="1">
      <c r="A119" s="3033" t="s">
        <v>2318</v>
      </c>
      <c r="B119" s="3033"/>
      <c r="C119" s="3033"/>
      <c r="D119" s="3139" t="str">
        <f ca="1">NUMBERSTRING(INT(D118*10000),2)&amp;"元整"</f>
        <v>壹拾陆亿柒仟叁佰零叁万元整</v>
      </c>
      <c r="E119" s="3141"/>
      <c r="F119" s="3139" t="str">
        <f ca="1">NUMBERSTRING(INT(F118*10000),2)&amp;"元整"</f>
        <v>叁仟贰佰肆拾万元整</v>
      </c>
      <c r="G119" s="3141"/>
      <c r="H119" s="3139" t="str">
        <f ca="1">NUMBERSTRING(INT(H118*10000),2)&amp;"元整"</f>
        <v>壹拾柒亿零伍佰肆拾叁万元整</v>
      </c>
      <c r="I119" s="3141"/>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22" t="str">
        <f>IF(D120=0,"故，本次评估不存在"&amp;A120,"故，本次评估"&amp;A120&amp;"为人民币"&amp;D120&amp;"万元整。")</f>
        <v>故，本次评估不存在估价师知悉的法定优先受偿款</v>
      </c>
    </row>
    <row r="121" spans="1:11" ht="18.75" customHeight="1">
      <c r="A121" s="3143" t="s">
        <v>2318</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房地产抵押价值</v>
      </c>
      <c r="B122" s="3130"/>
      <c r="C122" s="3130"/>
      <c r="D122" s="3167">
        <f ca="1">H107</f>
        <v>170543</v>
      </c>
      <c r="E122" s="3168"/>
      <c r="F122" s="3168"/>
      <c r="G122" s="3168"/>
      <c r="H122" s="3168"/>
      <c r="I122" s="3169"/>
    </row>
    <row r="123" spans="1:11" ht="18.75" customHeight="1">
      <c r="A123" s="3033" t="s">
        <v>2318</v>
      </c>
      <c r="B123" s="3033"/>
      <c r="C123" s="3033"/>
      <c r="D123" s="3139" t="str">
        <f ca="1">NUMBERSTRING(INT(D122*10000),2)&amp;"元整"</f>
        <v>壹拾柒亿零伍佰肆拾叁万元整</v>
      </c>
      <c r="E123" s="3140"/>
      <c r="F123" s="3140"/>
      <c r="G123" s="3140"/>
      <c r="H123" s="3140"/>
      <c r="I123" s="3141"/>
    </row>
    <row r="124" spans="1:11" ht="18.75" customHeight="1">
      <c r="A124" s="3130" t="str">
        <f>IF(项目基本情况!B9="房地产市场价值","",MID(E109,3,LEN(E109)-2))</f>
        <v/>
      </c>
      <c r="B124" s="3130"/>
      <c r="C124" s="3130"/>
      <c r="D124" s="3167" t="str">
        <f>H109</f>
        <v>——</v>
      </c>
      <c r="E124" s="3168"/>
      <c r="F124" s="3168"/>
      <c r="G124" s="3168"/>
      <c r="H124" s="3168"/>
      <c r="I124" s="3169"/>
    </row>
    <row r="125" spans="1:11" ht="18.75" customHeight="1">
      <c r="A125" s="3033" t="s">
        <v>2318</v>
      </c>
      <c r="B125" s="3033"/>
      <c r="C125" s="3033"/>
      <c r="D125" s="3139" t="e">
        <f>NUMBERSTRING(INT(D124*10000),2)&amp;"元整"</f>
        <v>#VALUE!</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3" t="s">
        <v>2318</v>
      </c>
      <c r="B127" s="3033"/>
      <c r="C127" s="3033"/>
      <c r="D127" s="3139" t="e">
        <f>NUMBERSTRING(INT(D126*10000),2)&amp;"元整"</f>
        <v>#VALUE!</v>
      </c>
      <c r="E127" s="3140"/>
      <c r="F127" s="3140"/>
      <c r="G127" s="3140"/>
      <c r="H127" s="3140"/>
      <c r="I127" s="3141"/>
    </row>
    <row r="128" spans="1:11" ht="21.75" customHeight="1">
      <c r="A128" s="3149" t="s">
        <v>2319</v>
      </c>
      <c r="B128" s="3149"/>
      <c r="C128" s="3149"/>
      <c r="D128" s="3149"/>
      <c r="E128" s="3149"/>
      <c r="F128" s="3149"/>
      <c r="G128" s="3149"/>
      <c r="H128" s="3149"/>
      <c r="I128" s="3149"/>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89" t="str">
        <f>项目基本情况!B1</f>
        <v>出让国有建设用地使用权及在建建筑物预评估</v>
      </c>
      <c r="C37" s="2989"/>
      <c r="D37" s="2989"/>
      <c r="E37" s="2989"/>
      <c r="F37" s="2989"/>
      <c r="G37" s="2989"/>
      <c r="H37" s="2989"/>
      <c r="I37" s="2989"/>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6"/>
      <c r="C1" s="242"/>
      <c r="D1" s="242"/>
      <c r="E1" s="242"/>
      <c r="F1" s="242"/>
      <c r="G1" s="1379">
        <f>MATCH(B1,'数据-取费表'!A6:A16,0)+5</f>
        <v>10</v>
      </c>
    </row>
    <row r="2" spans="1:9" s="244" customFormat="1" ht="18" customHeight="1">
      <c r="A2" s="245" t="s">
        <v>2328</v>
      </c>
      <c r="B2" s="246">
        <f ca="1">IF(D2="——",C52,C52-E2)</f>
        <v>183218</v>
      </c>
      <c r="C2" s="243" t="s">
        <v>2329</v>
      </c>
      <c r="D2" s="2548" t="s">
        <v>70</v>
      </c>
      <c r="E2" s="1440"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10377</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C6+C7+C8</f>
        <v>156419</v>
      </c>
      <c r="D5" s="255" t="s">
        <v>2335</v>
      </c>
      <c r="E5" s="256" t="s">
        <v>2336</v>
      </c>
      <c r="F5" s="256" t="s">
        <v>2337</v>
      </c>
      <c r="G5" s="257"/>
    </row>
    <row r="6" spans="1:9" s="258" customFormat="1" ht="13.5" customHeight="1">
      <c r="A6" s="949" t="s">
        <v>2338</v>
      </c>
      <c r="B6" s="259" t="s">
        <v>2339</v>
      </c>
      <c r="C6" s="260">
        <f>'土地比较法-住宅、综合'!B2</f>
        <v>151789</v>
      </c>
      <c r="D6" s="261"/>
      <c r="E6" s="262"/>
      <c r="F6" s="262"/>
      <c r="G6" s="263"/>
    </row>
    <row r="7" spans="1:9" s="258" customFormat="1" ht="13.5" customHeight="1">
      <c r="A7" s="949" t="s">
        <v>2340</v>
      </c>
      <c r="B7" s="259" t="s">
        <v>2341</v>
      </c>
      <c r="C7" s="264">
        <f>ROUND(C6*F7,0)</f>
        <v>4630</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51" t="s">
        <v>3056</v>
      </c>
    </row>
    <row r="9" spans="1:9" s="258" customFormat="1" ht="13.5" customHeight="1">
      <c r="A9" s="950" t="s">
        <v>800</v>
      </c>
      <c r="B9" s="268" t="s">
        <v>2344</v>
      </c>
      <c r="C9" s="269">
        <f ca="1">ROUND(D9*E9/10000,0)</f>
        <v>3262</v>
      </c>
      <c r="D9" s="1032">
        <f ca="1">IF(B1="",'数据-汇总表'!E5,IF(INDIRECT("'数据-取费表'!c"&amp;$G$1)="住宅",INDIRECT("'数据-取费表'!k"&amp;$G$1),0))</f>
        <v>132590.15999999997</v>
      </c>
      <c r="E9" s="269">
        <f>'数据-取费表'!B27</f>
        <v>246</v>
      </c>
      <c r="F9" s="265"/>
      <c r="G9" s="2552"/>
      <c r="H9" s="1390"/>
      <c r="I9" s="2553" t="s">
        <v>2345</v>
      </c>
    </row>
    <row r="10" spans="1:9" s="258" customFormat="1" ht="13.5" customHeight="1">
      <c r="A10" s="950" t="s">
        <v>801</v>
      </c>
      <c r="B10" s="268" t="s">
        <v>2346</v>
      </c>
      <c r="C10" s="269">
        <f ca="1">ROUND(D10*E10/10000,0)</f>
        <v>1082</v>
      </c>
      <c r="D10" s="1032">
        <f ca="1">IF(B1="",'数据-汇总表'!E6,IF(INDIRECT("'数据-取费表'!c"&amp;$G$1)="住宅",INDIRECT("'数据-取费表'!s"&amp;$G$1),INDIRECT("'数据-取费表'!k"&amp;$G$1)+INDIRECT("'数据-取费表'!s"&amp;$G$1)))</f>
        <v>43976.91</v>
      </c>
      <c r="E10" s="269">
        <f>'数据-取费表'!B28</f>
        <v>246</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176567.06999999998</v>
      </c>
      <c r="E19" s="255">
        <f>'数据-取费表'!B31</f>
        <v>200</v>
      </c>
      <c r="F19" s="275"/>
      <c r="G19" s="2551" t="s">
        <v>3057</v>
      </c>
    </row>
    <row r="20" spans="1:7" s="258" customFormat="1" ht="13.5" customHeight="1">
      <c r="A20" s="299" t="s">
        <v>2359</v>
      </c>
      <c r="B20" s="254" t="s">
        <v>2360</v>
      </c>
      <c r="C20" s="276">
        <f>ROUND((C5+C19)*F20,0)</f>
        <v>3128</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3709</v>
      </c>
      <c r="D22" s="279">
        <f ca="1">C26</f>
        <v>2.0000000000000001E-4</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3672</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37</v>
      </c>
      <c r="D25" s="282"/>
      <c r="E25" s="285"/>
      <c r="F25" s="283"/>
      <c r="G25" s="286" t="s">
        <v>2376</v>
      </c>
    </row>
    <row r="26" spans="1:7" s="258" customFormat="1">
      <c r="A26" s="951" t="s">
        <v>795</v>
      </c>
      <c r="B26" s="259" t="s">
        <v>2377</v>
      </c>
      <c r="C26" s="282">
        <f ca="1">ROUND(IF('数据-取费表'!B22&lt;=1,F21*F22*'数据-取费表'!B23/2,F21*(POWER((1+F22),'数据-取费表'!B23/2)-1)),4)</f>
        <v>2.0000000000000001E-4</v>
      </c>
      <c r="D26" s="282"/>
      <c r="E26" s="285"/>
      <c r="F26" s="283"/>
      <c r="G26" s="287"/>
    </row>
    <row r="27" spans="1:7" s="258" customFormat="1" ht="26.4">
      <c r="A27" s="299" t="s">
        <v>2378</v>
      </c>
      <c r="B27" s="288" t="s">
        <v>2379</v>
      </c>
      <c r="C27" s="289">
        <f ca="1">C28</f>
        <v>3191</v>
      </c>
      <c r="D27" s="279">
        <f ca="1">C29</f>
        <v>4.0000000000000002E-4</v>
      </c>
      <c r="E27" s="280" t="s">
        <v>2380</v>
      </c>
      <c r="F27" s="290">
        <f ca="1">IF(B1="",'数据-取费表'!Q16,INDIRECT("'数据-取费表'!q"&amp;$G$1))</f>
        <v>0.12</v>
      </c>
      <c r="G27" s="291" t="s">
        <v>2381</v>
      </c>
    </row>
    <row r="28" spans="1:7" s="258" customFormat="1" ht="13.5" customHeight="1">
      <c r="A28" s="951" t="s">
        <v>791</v>
      </c>
      <c r="B28" s="292" t="s">
        <v>2382</v>
      </c>
      <c r="C28" s="293">
        <f ca="1">ROUND((C5+C19+C20)*F27*'数据-取费表'!B21/'数据-取费表'!B20,0)</f>
        <v>3191</v>
      </c>
      <c r="D28" s="279"/>
      <c r="E28" s="280"/>
      <c r="F28" s="290"/>
      <c r="G28" s="291"/>
    </row>
    <row r="29" spans="1:7" s="258" customFormat="1" ht="13.5" customHeight="1">
      <c r="A29" s="951" t="s">
        <v>792</v>
      </c>
      <c r="B29" s="292" t="s">
        <v>2383</v>
      </c>
      <c r="C29" s="282">
        <f ca="1">ROUND(C21*F27*'数据-取费表'!B21/'数据-取费表'!B20,4)</f>
        <v>4.0000000000000002E-4</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179729</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2792</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2408</v>
      </c>
      <c r="D34" s="261"/>
      <c r="E34" s="264"/>
      <c r="F34" s="301">
        <f ca="1">IF('数据-取费表'!B24=0,1,IF(B1="",'数据-取费表'!N16,INDIRECT("'数据-取费表'!n"&amp;$G$1)))</f>
        <v>0.05</v>
      </c>
      <c r="G34" s="263" t="s">
        <v>2392</v>
      </c>
    </row>
    <row r="35" spans="1:7" ht="13.5" customHeight="1">
      <c r="A35" s="951" t="s">
        <v>796</v>
      </c>
      <c r="B35" s="259" t="s">
        <v>2393</v>
      </c>
      <c r="C35" s="264">
        <f ca="1">ROUND(C34*F35,0)</f>
        <v>72</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99</v>
      </c>
      <c r="D36" s="264"/>
      <c r="E36" s="264"/>
      <c r="F36" s="303">
        <f>'数据-取费表'!B34</f>
        <v>0.05</v>
      </c>
      <c r="G36" s="304" t="s">
        <v>2396</v>
      </c>
    </row>
    <row r="37" spans="1:7" s="302" customFormat="1" ht="13.5" customHeight="1">
      <c r="A37" s="951" t="s">
        <v>798</v>
      </c>
      <c r="B37" s="259" t="s">
        <v>2397</v>
      </c>
      <c r="C37" s="293">
        <f ca="1">ROUND(E37*D37*F34/10000,0)</f>
        <v>177</v>
      </c>
      <c r="D37" s="261">
        <f ca="1">D19</f>
        <v>176567.06999999998</v>
      </c>
      <c r="E37" s="293">
        <f>'数据-取费表'!B35</f>
        <v>200</v>
      </c>
      <c r="F37" s="303"/>
      <c r="G37" s="305" t="s">
        <v>2398</v>
      </c>
    </row>
    <row r="38" spans="1:7" ht="13.5" customHeight="1">
      <c r="A38" s="951" t="s">
        <v>799</v>
      </c>
      <c r="B38" s="259" t="s">
        <v>2399</v>
      </c>
      <c r="C38" s="264">
        <f ca="1">ROUND(C34*F38,0)</f>
        <v>36</v>
      </c>
      <c r="D38" s="264"/>
      <c r="E38" s="264"/>
      <c r="F38" s="303">
        <f>'数据-取费表'!B36</f>
        <v>1.4999999999999999E-2</v>
      </c>
      <c r="G38" s="263" t="s">
        <v>2394</v>
      </c>
    </row>
    <row r="39" spans="1:7" s="258" customFormat="1" ht="13.5" customHeight="1">
      <c r="A39" s="299" t="s">
        <v>2400</v>
      </c>
      <c r="B39" s="254" t="s">
        <v>2401</v>
      </c>
      <c r="C39" s="276">
        <f ca="1">ROUND(C33*F20,0)</f>
        <v>56</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34</v>
      </c>
      <c r="D41" s="279">
        <f ca="1">C44</f>
        <v>2.0000000000000001E-4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33</v>
      </c>
      <c r="D42" s="282"/>
      <c r="E42" s="282"/>
      <c r="F42" s="283"/>
      <c r="G42" s="3181" t="s">
        <v>2410</v>
      </c>
    </row>
    <row r="43" spans="1:7" ht="13.5" customHeight="1">
      <c r="A43" s="951" t="s">
        <v>792</v>
      </c>
      <c r="B43" s="259" t="s">
        <v>2411</v>
      </c>
      <c r="C43" s="282">
        <f ca="1">ROUND(IF('数据-取费表'!B22&lt;=1,C39*F22*'数据-取费表'!B21/2,C39*(POWER((1+F22),'数据-取费表'!B21/2)-1)),0)</f>
        <v>1</v>
      </c>
      <c r="D43" s="282"/>
      <c r="E43" s="282"/>
      <c r="F43" s="283"/>
      <c r="G43" s="3182"/>
    </row>
    <row r="44" spans="1:7" ht="13.5" customHeight="1">
      <c r="A44" s="951" t="s">
        <v>793</v>
      </c>
      <c r="B44" s="259" t="s">
        <v>2412</v>
      </c>
      <c r="C44" s="282">
        <f ca="1">ROUND(IF('数据-取费表'!B22&lt;=1,C40*F22*'数据-取费表'!B21/2,C40*(POWER((1+F22),'数据-取费表'!B21/2)-1)),4)</f>
        <v>2.0000000000000001E-4</v>
      </c>
      <c r="D44" s="282"/>
      <c r="E44" s="282"/>
      <c r="F44" s="283"/>
      <c r="G44" s="3183"/>
    </row>
    <row r="45" spans="1:7" s="258" customFormat="1" ht="13.5" customHeight="1">
      <c r="A45" s="299" t="s">
        <v>2413</v>
      </c>
      <c r="B45" s="288" t="s">
        <v>2379</v>
      </c>
      <c r="C45" s="289">
        <f ca="1">C46</f>
        <v>342</v>
      </c>
      <c r="D45" s="279">
        <f ca="1">C47</f>
        <v>2.3999999999999998E-3</v>
      </c>
      <c r="E45" s="280" t="s">
        <v>2405</v>
      </c>
      <c r="F45" s="290"/>
      <c r="G45" s="291" t="s">
        <v>2414</v>
      </c>
    </row>
    <row r="46" spans="1:7" s="258" customFormat="1" ht="13.5" customHeight="1">
      <c r="A46" s="951" t="s">
        <v>791</v>
      </c>
      <c r="B46" s="292" t="s">
        <v>2415</v>
      </c>
      <c r="C46" s="293">
        <f ca="1">ROUND((C33+C39)*F27,0)</f>
        <v>342</v>
      </c>
      <c r="D46" s="307"/>
      <c r="E46" s="280"/>
      <c r="F46" s="290"/>
      <c r="G46" s="291"/>
    </row>
    <row r="47" spans="1:7" s="258" customFormat="1" ht="13.5" customHeight="1">
      <c r="A47" s="951" t="s">
        <v>792</v>
      </c>
      <c r="B47" s="292" t="s">
        <v>2416</v>
      </c>
      <c r="C47" s="282">
        <f ca="1">ROUND(C40*F27,4)</f>
        <v>2.3999999999999998E-3</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3489</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3489</v>
      </c>
      <c r="D51" s="276"/>
      <c r="E51" s="276"/>
      <c r="F51" s="308"/>
      <c r="G51" s="278" t="s">
        <v>2426</v>
      </c>
    </row>
    <row r="52" spans="1:7" s="252" customFormat="1" ht="16.8" thickBot="1">
      <c r="A52" s="309" t="s">
        <v>2427</v>
      </c>
      <c r="B52" s="310"/>
      <c r="C52" s="311">
        <f ca="1">C31+C51</f>
        <v>183218</v>
      </c>
      <c r="D52" s="310"/>
      <c r="E52" s="310"/>
      <c r="F52" s="310"/>
      <c r="G52" s="312"/>
    </row>
    <row r="55" spans="1:7" ht="15">
      <c r="B55" s="314" t="s">
        <v>2428</v>
      </c>
      <c r="C55" s="315"/>
    </row>
    <row r="56" spans="1:7">
      <c r="B56" s="317" t="s">
        <v>1507</v>
      </c>
      <c r="C56" s="319">
        <f ca="1">1-C57</f>
        <v>0.98099999999999998</v>
      </c>
    </row>
    <row r="57" spans="1:7">
      <c r="B57" s="317" t="s">
        <v>1508</v>
      </c>
      <c r="C57" s="318">
        <f ca="1">ROUND(C51/C52,3)</f>
        <v>1.9E-2</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6"/>
      <c r="C1" s="2554" t="s">
        <v>2429</v>
      </c>
      <c r="D1" s="242"/>
      <c r="E1" s="242"/>
      <c r="F1" s="242"/>
      <c r="G1" s="1379">
        <f>MATCH(B1,'数据-取费表'!A6:A16,0)+5</f>
        <v>10</v>
      </c>
      <c r="H1" s="1282" t="str">
        <f>IF(ISERROR(FIND("住宅",B1)),"非住宅","住宅")</f>
        <v>非住宅</v>
      </c>
    </row>
    <row r="2" spans="1:8" s="244" customFormat="1" ht="18" customHeight="1">
      <c r="A2" s="245" t="s">
        <v>2328</v>
      </c>
      <c r="B2" s="246">
        <f ca="1">ROUND(IF(D2="——",C52/10000,C52/10000-E2),0)</f>
        <v>84585</v>
      </c>
      <c r="C2" s="243" t="s">
        <v>2329</v>
      </c>
      <c r="D2" s="2548" t="s">
        <v>70</v>
      </c>
      <c r="E2" s="1440"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4791</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43435499</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43435499</v>
      </c>
      <c r="D8" s="266"/>
      <c r="E8" s="264"/>
      <c r="F8" s="265"/>
      <c r="G8" s="2551"/>
    </row>
    <row r="9" spans="1:8" s="258" customFormat="1" ht="13.5" customHeight="1">
      <c r="A9" s="950" t="s">
        <v>800</v>
      </c>
      <c r="B9" s="268" t="s">
        <v>2344</v>
      </c>
      <c r="C9" s="269">
        <f ca="1">ROUND(D9*E9,0)</f>
        <v>32617179</v>
      </c>
      <c r="D9" s="1032">
        <f ca="1">IF(B1="",'数据-汇总表'!E5,IF(INDIRECT("'数据-取费表'!c"&amp;$G$1)="住宅",INDIRECT("'数据-取费表'!k"&amp;$G$1),0))</f>
        <v>132590.15999999997</v>
      </c>
      <c r="E9" s="269">
        <f>'数据-取费表'!B27</f>
        <v>246</v>
      </c>
      <c r="F9" s="265"/>
      <c r="G9" s="270"/>
    </row>
    <row r="10" spans="1:8" s="258" customFormat="1" ht="13.5" customHeight="1">
      <c r="A10" s="950" t="s">
        <v>801</v>
      </c>
      <c r="B10" s="268" t="s">
        <v>2346</v>
      </c>
      <c r="C10" s="269">
        <f ca="1">ROUND(D10*E10,0)</f>
        <v>10818320</v>
      </c>
      <c r="D10" s="1032">
        <f ca="1">IF(B1="",'数据-汇总表'!E6,IF(INDIRECT("'数据-取费表'!c"&amp;$G$1)="住宅",INDIRECT("'数据-取费表'!s"&amp;$G$1),INDIRECT("'数据-取费表'!k"&amp;$G$1)+INDIRECT("'数据-取费表'!s"&amp;$G$1)))</f>
        <v>43976.91</v>
      </c>
      <c r="E10" s="269">
        <f>'数据-取费表'!B28</f>
        <v>246</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35313414</v>
      </c>
      <c r="D19" s="1036">
        <f ca="1">D9+D10</f>
        <v>176567.06999999998</v>
      </c>
      <c r="E19" s="255">
        <f>'数据-取费表'!B31</f>
        <v>200</v>
      </c>
      <c r="F19" s="275"/>
      <c r="G19" s="2551"/>
    </row>
    <row r="20" spans="1:7" s="258" customFormat="1" ht="13.5" customHeight="1">
      <c r="A20" s="299" t="s">
        <v>2440</v>
      </c>
      <c r="B20" s="254" t="s">
        <v>2441</v>
      </c>
      <c r="C20" s="276">
        <f ca="1">ROUND((C5+C19)*F20,0)</f>
        <v>1574978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11876731</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6488218</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5274974</v>
      </c>
      <c r="D24" s="282"/>
      <c r="E24" s="282"/>
      <c r="F24" s="283"/>
      <c r="G24" s="284" t="s">
        <v>2452</v>
      </c>
    </row>
    <row r="25" spans="1:7" s="258" customFormat="1" ht="24">
      <c r="A25" s="951" t="s">
        <v>2342</v>
      </c>
      <c r="B25" s="259" t="s">
        <v>2453</v>
      </c>
      <c r="C25" s="1381">
        <f ca="1">ROUND(IF('数据-取费表'!B22&lt;=1,C20*F22*'数据-取费表'!B22/2,C20*(POWER((1+F22),'数据-取费表'!B22/2)-1)),0)</f>
        <v>113539</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6.4">
      <c r="A27" s="299" t="s">
        <v>2378</v>
      </c>
      <c r="B27" s="288" t="s">
        <v>2379</v>
      </c>
      <c r="C27" s="289">
        <f ca="1">C28</f>
        <v>9638867</v>
      </c>
      <c r="D27" s="279">
        <f ca="1">C29</f>
        <v>2.3999999999999998E-3</v>
      </c>
      <c r="E27" s="280" t="s">
        <v>2380</v>
      </c>
      <c r="F27" s="290">
        <f ca="1">IF(B1="",'数据-取费表'!Q16,INDIRECT("'数据-取费表'!q"&amp;$G$1))</f>
        <v>0.12</v>
      </c>
      <c r="G27" s="291" t="s">
        <v>2381</v>
      </c>
    </row>
    <row r="28" spans="1:7" s="258" customFormat="1" ht="13.5" customHeight="1">
      <c r="A28" s="951" t="s">
        <v>791</v>
      </c>
      <c r="B28" s="292" t="s">
        <v>2382</v>
      </c>
      <c r="C28" s="293">
        <f ca="1">ROUND((C5+C19+C20)*F27,0)</f>
        <v>9638867</v>
      </c>
      <c r="D28" s="279"/>
      <c r="E28" s="280"/>
      <c r="F28" s="290"/>
      <c r="G28" s="291"/>
    </row>
    <row r="29" spans="1:7" s="258" customFormat="1" ht="13.5" customHeight="1">
      <c r="A29" s="951" t="s">
        <v>792</v>
      </c>
      <c r="B29" s="292" t="s">
        <v>2383</v>
      </c>
      <c r="C29" s="282">
        <f ca="1">ROUND(C21*F27,4)</f>
        <v>2.3999999999999998E-3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110347263</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558248045</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481383834</v>
      </c>
      <c r="D34" s="261"/>
      <c r="E34" s="264"/>
      <c r="F34" s="301"/>
      <c r="G34" s="263"/>
    </row>
    <row r="35" spans="1:7" ht="13.5" customHeight="1">
      <c r="A35" s="951" t="s">
        <v>796</v>
      </c>
      <c r="B35" s="259" t="s">
        <v>2393</v>
      </c>
      <c r="C35" s="264">
        <f ca="1">ROUND(C34*F35,0)</f>
        <v>14441515</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19888524</v>
      </c>
      <c r="D36" s="264"/>
      <c r="E36" s="264"/>
      <c r="F36" s="303">
        <f>'数据-取费表'!B34</f>
        <v>0.05</v>
      </c>
      <c r="G36" s="304" t="s">
        <v>2396</v>
      </c>
    </row>
    <row r="37" spans="1:7" s="302" customFormat="1" ht="13.5" customHeight="1">
      <c r="A37" s="951" t="s">
        <v>798</v>
      </c>
      <c r="B37" s="259" t="s">
        <v>2397</v>
      </c>
      <c r="C37" s="293">
        <f ca="1">ROUND(E37*D37,0)</f>
        <v>35313414</v>
      </c>
      <c r="D37" s="261">
        <f ca="1">D19</f>
        <v>176567.06999999998</v>
      </c>
      <c r="E37" s="293">
        <f>'数据-取费表'!B35</f>
        <v>200</v>
      </c>
      <c r="F37" s="303"/>
      <c r="G37" s="305"/>
    </row>
    <row r="38" spans="1:7" ht="13.5" customHeight="1">
      <c r="A38" s="951" t="s">
        <v>799</v>
      </c>
      <c r="B38" s="259" t="s">
        <v>2399</v>
      </c>
      <c r="C38" s="264">
        <f ca="1">ROUND(C34*F38,0)</f>
        <v>7220758</v>
      </c>
      <c r="D38" s="264"/>
      <c r="E38" s="264"/>
      <c r="F38" s="303">
        <f>'数据-取费表'!B36</f>
        <v>1.4999999999999999E-2</v>
      </c>
      <c r="G38" s="263" t="s">
        <v>2394</v>
      </c>
    </row>
    <row r="39" spans="1:7" s="258" customFormat="1" ht="13.5" customHeight="1">
      <c r="A39" s="299" t="s">
        <v>2400</v>
      </c>
      <c r="B39" s="254" t="s">
        <v>2401</v>
      </c>
      <c r="C39" s="276">
        <f ca="1">ROUND(C33*F20,0)</f>
        <v>11164961</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41048706</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40243829</v>
      </c>
      <c r="D42" s="282"/>
      <c r="E42" s="282"/>
      <c r="F42" s="283"/>
      <c r="G42" s="3181" t="s">
        <v>2457</v>
      </c>
    </row>
    <row r="43" spans="1:7" ht="13.5" customHeight="1">
      <c r="A43" s="951" t="s">
        <v>792</v>
      </c>
      <c r="B43" s="259" t="s">
        <v>2411</v>
      </c>
      <c r="C43" s="282">
        <f ca="1">ROUND(IF('数据-取费表'!B22&lt;=1,C39*F22*'数据-取费表'!B20/2,C39*(POWER((1+F22),'数据-取费表'!B20/2)-1)),0)</f>
        <v>804877</v>
      </c>
      <c r="D43" s="282"/>
      <c r="E43" s="282"/>
      <c r="F43" s="283"/>
      <c r="G43" s="3182"/>
    </row>
    <row r="44" spans="1:7" ht="13.5" customHeight="1">
      <c r="A44" s="951" t="s">
        <v>793</v>
      </c>
      <c r="B44" s="259" t="s">
        <v>2412</v>
      </c>
      <c r="C44" s="282">
        <f ca="1">ROUND(IF('数据-取费表'!B22&lt;=1,C40*F22*'数据-取费表'!B20/2,C40*(POWER((1+F22),'数据-取费表'!B20/2)-1)),4)</f>
        <v>1.4E-3</v>
      </c>
      <c r="D44" s="282"/>
      <c r="E44" s="282"/>
      <c r="F44" s="283"/>
      <c r="G44" s="3183"/>
    </row>
    <row r="45" spans="1:7" s="258" customFormat="1" ht="13.5" customHeight="1">
      <c r="A45" s="299" t="s">
        <v>2413</v>
      </c>
      <c r="B45" s="288" t="s">
        <v>2379</v>
      </c>
      <c r="C45" s="289">
        <f ca="1">C46</f>
        <v>68329561</v>
      </c>
      <c r="D45" s="279">
        <f ca="1">C47</f>
        <v>2.3999999999999998E-3</v>
      </c>
      <c r="E45" s="280" t="s">
        <v>2405</v>
      </c>
      <c r="F45" s="290"/>
      <c r="G45" s="291" t="s">
        <v>2414</v>
      </c>
    </row>
    <row r="46" spans="1:7" s="258" customFormat="1" ht="13.5" customHeight="1">
      <c r="A46" s="951" t="s">
        <v>791</v>
      </c>
      <c r="B46" s="292" t="s">
        <v>2415</v>
      </c>
      <c r="C46" s="293">
        <f ca="1">ROUND((C33+C39)*F27,0)</f>
        <v>68329561</v>
      </c>
      <c r="D46" s="307"/>
      <c r="E46" s="280"/>
      <c r="F46" s="290"/>
      <c r="G46" s="291"/>
    </row>
    <row r="47" spans="1:7" s="258" customFormat="1" ht="13.5" customHeight="1">
      <c r="A47" s="951" t="s">
        <v>792</v>
      </c>
      <c r="B47" s="292" t="s">
        <v>2416</v>
      </c>
      <c r="C47" s="282">
        <f ca="1">ROUND(C40*F27,4)</f>
        <v>2.3999999999999998E-3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735498183</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735498183</v>
      </c>
      <c r="D51" s="276"/>
      <c r="E51" s="276"/>
      <c r="F51" s="308"/>
      <c r="G51" s="278" t="s">
        <v>2426</v>
      </c>
    </row>
    <row r="52" spans="1:7" s="252" customFormat="1" ht="16.8" thickBot="1">
      <c r="A52" s="309" t="s">
        <v>2427</v>
      </c>
      <c r="B52" s="310"/>
      <c r="C52" s="311">
        <f ca="1">C31+C51</f>
        <v>845845446</v>
      </c>
      <c r="D52" s="310"/>
      <c r="E52" s="310"/>
      <c r="F52" s="310"/>
      <c r="G52" s="312"/>
    </row>
    <row r="55" spans="1:7" ht="15">
      <c r="B55" s="314" t="s">
        <v>2428</v>
      </c>
      <c r="C55" s="315"/>
    </row>
    <row r="56" spans="1:7">
      <c r="B56" s="317" t="s">
        <v>1507</v>
      </c>
      <c r="C56" s="319">
        <f ca="1">1-C57</f>
        <v>0.13</v>
      </c>
    </row>
    <row r="57" spans="1:7">
      <c r="B57" s="317" t="s">
        <v>1508</v>
      </c>
      <c r="C57" s="318">
        <f ca="1">ROUND(C51/C52,3)</f>
        <v>0.87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3" zoomScale="80" zoomScaleNormal="80" workbookViewId="0">
      <selection activeCell="L17" sqref="L17"/>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151789</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8597</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2643</v>
      </c>
      <c r="B4" s="402"/>
      <c r="C4" s="3188" t="s">
        <v>2644</v>
      </c>
      <c r="D4" s="3201"/>
      <c r="E4" s="3202" t="s">
        <v>2645</v>
      </c>
      <c r="F4" s="3203"/>
      <c r="G4" s="3188" t="s">
        <v>2646</v>
      </c>
      <c r="H4" s="3201"/>
      <c r="I4" s="3188" t="s">
        <v>2647</v>
      </c>
      <c r="J4" s="3201"/>
      <c r="K4" s="610" t="s">
        <v>2648</v>
      </c>
      <c r="L4" s="1130"/>
      <c r="M4" s="1131"/>
      <c r="N4" s="1131"/>
      <c r="O4" s="1131"/>
      <c r="P4" s="3204" t="s">
        <v>2649</v>
      </c>
      <c r="Q4" s="3205"/>
      <c r="R4" s="3210" t="s">
        <v>2645</v>
      </c>
      <c r="S4" s="3211"/>
      <c r="T4" s="3210" t="s">
        <v>2646</v>
      </c>
      <c r="U4" s="3211"/>
      <c r="V4" s="3197" t="s">
        <v>2647</v>
      </c>
      <c r="W4" s="3197"/>
      <c r="X4" s="1813"/>
      <c r="Y4" s="3210" t="s">
        <v>2649</v>
      </c>
      <c r="Z4" s="3211"/>
      <c r="AA4" s="3198" t="s">
        <v>2645</v>
      </c>
      <c r="AB4" s="3199" t="s">
        <v>2646</v>
      </c>
      <c r="AC4" s="3198" t="s">
        <v>2647</v>
      </c>
    </row>
    <row r="5" spans="1:30">
      <c r="A5" s="404"/>
      <c r="B5" s="405"/>
      <c r="C5" s="3218" t="s">
        <v>2540</v>
      </c>
      <c r="D5" s="3219"/>
      <c r="E5" s="3225" t="s">
        <v>2541</v>
      </c>
      <c r="F5" s="3226"/>
      <c r="G5" s="3218" t="s">
        <v>2542</v>
      </c>
      <c r="H5" s="3219"/>
      <c r="I5" s="3218" t="s">
        <v>2543</v>
      </c>
      <c r="J5" s="3219"/>
      <c r="K5" s="610"/>
      <c r="L5" s="1130"/>
      <c r="M5" s="1131"/>
      <c r="N5" s="1131"/>
      <c r="O5" s="1131"/>
      <c r="P5" s="3206"/>
      <c r="Q5" s="3207"/>
      <c r="R5" s="3212"/>
      <c r="S5" s="3213"/>
      <c r="T5" s="3212"/>
      <c r="U5" s="3213"/>
      <c r="V5" s="3197"/>
      <c r="W5" s="3197"/>
      <c r="X5" s="1813"/>
      <c r="Y5" s="3212"/>
      <c r="Z5" s="3213"/>
      <c r="AA5" s="3199"/>
      <c r="AB5" s="3199"/>
      <c r="AC5" s="3199"/>
    </row>
    <row r="6" spans="1:30" ht="15" thickBot="1">
      <c r="A6" s="406"/>
      <c r="B6" s="407"/>
      <c r="C6" s="3216" t="s">
        <v>2544</v>
      </c>
      <c r="D6" s="3217"/>
      <c r="E6" s="3223" t="s">
        <v>2544</v>
      </c>
      <c r="F6" s="3224"/>
      <c r="G6" s="3216" t="s">
        <v>2544</v>
      </c>
      <c r="H6" s="3217"/>
      <c r="I6" s="3216" t="s">
        <v>2544</v>
      </c>
      <c r="J6" s="3217"/>
      <c r="K6" s="610" t="s">
        <v>2545</v>
      </c>
      <c r="L6" s="1130"/>
      <c r="M6" s="1131"/>
      <c r="N6" s="1131"/>
      <c r="O6" s="1131"/>
      <c r="P6" s="3208"/>
      <c r="Q6" s="3209"/>
      <c r="R6" s="3212"/>
      <c r="S6" s="3213"/>
      <c r="T6" s="3214"/>
      <c r="U6" s="3215"/>
      <c r="V6" s="3197"/>
      <c r="W6" s="3197"/>
      <c r="X6" s="1813"/>
      <c r="Y6" s="3214"/>
      <c r="Z6" s="3215"/>
      <c r="AA6" s="3200"/>
      <c r="AB6" s="3200"/>
      <c r="AC6" s="3200"/>
    </row>
    <row r="7" spans="1:30" s="117" customFormat="1" ht="15" thickBot="1">
      <c r="A7" s="408" t="s">
        <v>2546</v>
      </c>
      <c r="B7" s="409"/>
      <c r="C7" s="410">
        <f>'数据-取费表'!B2</f>
        <v>43923</v>
      </c>
      <c r="D7" s="411">
        <v>100</v>
      </c>
      <c r="E7" s="412">
        <f>C7</f>
        <v>43923</v>
      </c>
      <c r="F7" s="413">
        <f>SUMIF(70:70,YEAR(E7)&amp;"-"&amp;INT((MONTH(E7)+2)/3),71:71)</f>
        <v>100</v>
      </c>
      <c r="G7" s="2697">
        <f>C7</f>
        <v>43923</v>
      </c>
      <c r="H7" s="411">
        <f>SUMIF(70:70,YEAR(G7)&amp;"-"&amp;INT((MONTH(G7)+2)/3),71:71)</f>
        <v>100</v>
      </c>
      <c r="I7" s="2697">
        <f>C7</f>
        <v>43923</v>
      </c>
      <c r="J7" s="411">
        <f>SUMIF(70:70,YEAR(I7)&amp;"-"&amp;INT((MONTH(I7)+2)/3),71:71)</f>
        <v>100</v>
      </c>
      <c r="K7" s="611"/>
      <c r="L7" s="1132"/>
      <c r="M7" s="1133"/>
      <c r="N7" s="1133"/>
      <c r="O7" s="1133"/>
      <c r="P7" s="3220" t="s">
        <v>2547</v>
      </c>
      <c r="Q7" s="3222"/>
      <c r="R7" s="770" t="s">
        <v>17</v>
      </c>
      <c r="S7" s="771">
        <f t="shared" ref="S7:S15" si="0">F7</f>
        <v>100</v>
      </c>
      <c r="T7" s="770" t="s">
        <v>17</v>
      </c>
      <c r="U7" s="771">
        <f t="shared" ref="U7:U15" si="1">H7</f>
        <v>100</v>
      </c>
      <c r="V7" s="770" t="s">
        <v>17</v>
      </c>
      <c r="W7" s="771">
        <f t="shared" ref="W7:W15" si="2">J7</f>
        <v>100</v>
      </c>
      <c r="X7" s="772"/>
      <c r="Y7" s="3220" t="s">
        <v>2547</v>
      </c>
      <c r="Z7" s="3221"/>
      <c r="AA7" s="773">
        <f>D7/F7</f>
        <v>1</v>
      </c>
      <c r="AB7" s="773">
        <f>D7/H7</f>
        <v>1</v>
      </c>
      <c r="AC7" s="773">
        <f>D7/J7</f>
        <v>1</v>
      </c>
    </row>
    <row r="8" spans="1:30" s="117" customFormat="1" ht="15" thickBot="1">
      <c r="A8" s="408" t="s">
        <v>2548</v>
      </c>
      <c r="B8" s="409"/>
      <c r="C8" s="414" t="s">
        <v>2549</v>
      </c>
      <c r="D8" s="411">
        <v>100</v>
      </c>
      <c r="E8" s="414" t="s">
        <v>3307</v>
      </c>
      <c r="F8" s="413">
        <f>SUMIF(73:73,E8,74:74)-SUMIF(73:73,C8,74:74)+100</f>
        <v>100</v>
      </c>
      <c r="G8" s="414" t="s">
        <v>3307</v>
      </c>
      <c r="H8" s="411">
        <f>SUMIF(73:73,G8,74:74)-SUMIF(73:73,C8,74:74)+100</f>
        <v>100</v>
      </c>
      <c r="I8" s="414" t="s">
        <v>3307</v>
      </c>
      <c r="J8" s="411">
        <f>SUMIF(73:73,I8,74:74)-SUMIF(73:73,C8,74:74)+100</f>
        <v>100</v>
      </c>
      <c r="K8" s="611"/>
      <c r="L8" s="1132"/>
      <c r="M8" s="1133"/>
      <c r="N8" s="1133"/>
      <c r="O8" s="1133"/>
      <c r="P8" s="3220" t="s">
        <v>2550</v>
      </c>
      <c r="Q8" s="3221"/>
      <c r="R8" s="770" t="s">
        <v>17</v>
      </c>
      <c r="S8" s="771">
        <f t="shared" si="0"/>
        <v>100</v>
      </c>
      <c r="T8" s="770" t="s">
        <v>17</v>
      </c>
      <c r="U8" s="771">
        <f t="shared" si="1"/>
        <v>100</v>
      </c>
      <c r="V8" s="770" t="s">
        <v>17</v>
      </c>
      <c r="W8" s="771">
        <f t="shared" si="2"/>
        <v>100</v>
      </c>
      <c r="X8" s="772"/>
      <c r="Y8" s="3220" t="s">
        <v>2550</v>
      </c>
      <c r="Z8" s="3221"/>
      <c r="AA8" s="773">
        <f t="shared" ref="AA8:AA45" si="3">D8/F8</f>
        <v>1</v>
      </c>
      <c r="AB8" s="773">
        <f t="shared" ref="AB8:AB45" si="4">D8/H8</f>
        <v>1</v>
      </c>
      <c r="AC8" s="773">
        <f t="shared" ref="AC8:AC45" si="5">D8/J8</f>
        <v>1</v>
      </c>
    </row>
    <row r="9" spans="1:30" s="117" customFormat="1" ht="14.4">
      <c r="A9" s="415" t="s">
        <v>2551</v>
      </c>
      <c r="B9" s="71" t="s">
        <v>2552</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191" t="s">
        <v>2553</v>
      </c>
      <c r="Q9" s="1795"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30" s="427" customFormat="1" ht="28.8">
      <c r="A10" s="421"/>
      <c r="B10" s="422" t="s">
        <v>2555</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191"/>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30" ht="15">
      <c r="A11" s="428"/>
      <c r="B11" s="422" t="s">
        <v>2556</v>
      </c>
      <c r="C11" s="429">
        <v>1.9</v>
      </c>
      <c r="D11" s="136">
        <v>100</v>
      </c>
      <c r="E11" s="429">
        <v>1.4</v>
      </c>
      <c r="F11" s="136">
        <f>LOOKUP(E11,80:80,81:81)-LOOKUP(C11,80:80,81:81)+100</f>
        <v>100</v>
      </c>
      <c r="G11" s="430">
        <v>1.4</v>
      </c>
      <c r="H11" s="136">
        <f>LOOKUP(G11,80:80,81:81)-LOOKUP(C11,80:80,81:81)+100</f>
        <v>100</v>
      </c>
      <c r="I11" s="429">
        <v>1.4</v>
      </c>
      <c r="J11" s="136">
        <f>LOOKUP(I11,80:80,81:81)-LOOKUP(C11,80:80,81:81)+100</f>
        <v>100</v>
      </c>
      <c r="K11" s="673">
        <v>10</v>
      </c>
      <c r="L11" s="1138"/>
      <c r="M11" s="1131"/>
      <c r="N11" s="1131"/>
      <c r="O11" s="1139"/>
      <c r="P11" s="3191"/>
      <c r="Q11" s="1795" t="str">
        <f t="shared" si="6"/>
        <v>容积率</v>
      </c>
      <c r="R11" s="770" t="s">
        <v>17</v>
      </c>
      <c r="S11" s="771">
        <f t="shared" si="0"/>
        <v>100</v>
      </c>
      <c r="T11" s="770" t="s">
        <v>17</v>
      </c>
      <c r="U11" s="771">
        <f t="shared" si="1"/>
        <v>100</v>
      </c>
      <c r="V11" s="770" t="s">
        <v>17</v>
      </c>
      <c r="W11" s="771">
        <f t="shared" si="2"/>
        <v>100</v>
      </c>
      <c r="X11" s="772"/>
      <c r="Y11" s="3033"/>
      <c r="Z11" s="55" t="str">
        <f t="shared" si="7"/>
        <v>容积率</v>
      </c>
      <c r="AA11" s="773">
        <f t="shared" si="3"/>
        <v>1</v>
      </c>
      <c r="AB11" s="773">
        <f t="shared" si="4"/>
        <v>1</v>
      </c>
      <c r="AC11" s="773">
        <f t="shared" si="5"/>
        <v>1</v>
      </c>
    </row>
    <row r="12" spans="1:30" s="117" customFormat="1" ht="15">
      <c r="A12" s="431"/>
      <c r="B12" s="2601"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1"/>
      <c r="Q12" s="1795"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1"/>
      <c r="Q14" s="1795">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96.6">
      <c r="A15" s="440" t="s">
        <v>2557</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3" t="s">
        <v>2558</v>
      </c>
      <c r="Q15" s="1810" t="str">
        <f t="shared" si="6"/>
        <v>居住社区成熟度</v>
      </c>
      <c r="R15" s="774" t="s">
        <v>17</v>
      </c>
      <c r="S15" s="775">
        <f t="shared" si="0"/>
        <v>100</v>
      </c>
      <c r="T15" s="774" t="s">
        <v>17</v>
      </c>
      <c r="U15" s="775">
        <f t="shared" si="1"/>
        <v>100</v>
      </c>
      <c r="V15" s="774" t="s">
        <v>17</v>
      </c>
      <c r="W15" s="775">
        <f t="shared" si="2"/>
        <v>100</v>
      </c>
      <c r="X15" s="1813"/>
      <c r="Y15" s="3193" t="s">
        <v>2558</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194"/>
      <c r="Q16" s="1810"/>
      <c r="R16" s="774"/>
      <c r="S16" s="775"/>
      <c r="T16" s="774"/>
      <c r="U16" s="775"/>
      <c r="V16" s="774"/>
      <c r="W16" s="775"/>
      <c r="X16" s="1813"/>
      <c r="Y16" s="3194"/>
      <c r="Z16" s="1814"/>
      <c r="AA16" s="1811">
        <v>1</v>
      </c>
      <c r="AB16" s="1811">
        <v>1</v>
      </c>
      <c r="AC16" s="1811">
        <v>1</v>
      </c>
    </row>
    <row r="17" spans="1:29" ht="82.8">
      <c r="A17" s="428"/>
      <c r="B17" s="451" t="s">
        <v>2651</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4"/>
      <c r="Q17" s="1810" t="str">
        <f>B17</f>
        <v>商业繁华度</v>
      </c>
      <c r="R17" s="774" t="s">
        <v>17</v>
      </c>
      <c r="S17" s="775">
        <f>F17</f>
        <v>100</v>
      </c>
      <c r="T17" s="774" t="s">
        <v>17</v>
      </c>
      <c r="U17" s="775">
        <f>H17</f>
        <v>100</v>
      </c>
      <c r="V17" s="774" t="s">
        <v>17</v>
      </c>
      <c r="W17" s="775">
        <f>J17</f>
        <v>100</v>
      </c>
      <c r="X17" s="1813"/>
      <c r="Y17" s="3194"/>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194"/>
      <c r="Q18" s="1810"/>
      <c r="R18" s="774"/>
      <c r="S18" s="775"/>
      <c r="T18" s="774"/>
      <c r="U18" s="775"/>
      <c r="V18" s="774"/>
      <c r="W18" s="775"/>
      <c r="X18" s="1813"/>
      <c r="Y18" s="3194"/>
      <c r="Z18" s="1814"/>
      <c r="AA18" s="1811">
        <v>1</v>
      </c>
      <c r="AB18" s="1811">
        <v>1</v>
      </c>
      <c r="AC18" s="1811">
        <v>1</v>
      </c>
    </row>
    <row r="19" spans="1:29" ht="82.8">
      <c r="A19" s="428"/>
      <c r="B19" s="451" t="s">
        <v>2685</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4"/>
      <c r="Q19" s="1810" t="str">
        <f>B19</f>
        <v>办公集聚程度</v>
      </c>
      <c r="R19" s="774" t="s">
        <v>17</v>
      </c>
      <c r="S19" s="775">
        <f>F19</f>
        <v>100</v>
      </c>
      <c r="T19" s="774" t="s">
        <v>17</v>
      </c>
      <c r="U19" s="775">
        <f>H19</f>
        <v>100</v>
      </c>
      <c r="V19" s="774" t="s">
        <v>17</v>
      </c>
      <c r="W19" s="775">
        <f>J19</f>
        <v>100</v>
      </c>
      <c r="X19" s="1813"/>
      <c r="Y19" s="3194"/>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194"/>
      <c r="Q20" s="1810"/>
      <c r="R20" s="774"/>
      <c r="S20" s="775"/>
      <c r="T20" s="774"/>
      <c r="U20" s="775"/>
      <c r="V20" s="774"/>
      <c r="W20" s="775"/>
      <c r="X20" s="1813"/>
      <c r="Y20" s="3194"/>
      <c r="Z20" s="1814"/>
      <c r="AA20" s="1811">
        <v>1</v>
      </c>
      <c r="AB20" s="1811">
        <v>1</v>
      </c>
      <c r="AC20" s="1811">
        <v>1</v>
      </c>
    </row>
    <row r="21" spans="1:29" ht="96.6">
      <c r="A21" s="428"/>
      <c r="B21" s="451" t="s">
        <v>2707</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4"/>
      <c r="Q21" s="1810" t="str">
        <f>B21</f>
        <v>交通便捷度</v>
      </c>
      <c r="R21" s="774" t="s">
        <v>17</v>
      </c>
      <c r="S21" s="775">
        <f>F21</f>
        <v>100</v>
      </c>
      <c r="T21" s="774" t="s">
        <v>17</v>
      </c>
      <c r="U21" s="775">
        <f>H21</f>
        <v>100</v>
      </c>
      <c r="V21" s="774" t="s">
        <v>17</v>
      </c>
      <c r="W21" s="775">
        <f>J21</f>
        <v>100</v>
      </c>
      <c r="X21" s="1813"/>
      <c r="Y21" s="3194"/>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194"/>
      <c r="Q22" s="1810"/>
      <c r="R22" s="774"/>
      <c r="S22" s="775"/>
      <c r="T22" s="774"/>
      <c r="U22" s="775"/>
      <c r="V22" s="774"/>
      <c r="W22" s="775"/>
      <c r="X22" s="1813"/>
      <c r="Y22" s="3194"/>
      <c r="Z22" s="1814"/>
      <c r="AA22" s="1811">
        <v>1</v>
      </c>
      <c r="AB22" s="1811">
        <v>1</v>
      </c>
      <c r="AC22" s="1811">
        <v>1</v>
      </c>
    </row>
    <row r="23" spans="1:29" ht="28.8">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4"/>
      <c r="Q23" s="1810" t="str">
        <f t="shared" ref="Q23:Q37" si="8">B23</f>
        <v>区域土地利用方向</v>
      </c>
      <c r="R23" s="774" t="s">
        <v>17</v>
      </c>
      <c r="S23" s="775">
        <f>F23</f>
        <v>100</v>
      </c>
      <c r="T23" s="774" t="s">
        <v>17</v>
      </c>
      <c r="U23" s="775">
        <f>H23</f>
        <v>100</v>
      </c>
      <c r="V23" s="774" t="s">
        <v>17</v>
      </c>
      <c r="W23" s="775">
        <f>J23</f>
        <v>100</v>
      </c>
      <c r="X23" s="1813"/>
      <c r="Y23" s="3194"/>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194"/>
      <c r="Q24" s="1810"/>
      <c r="R24" s="774"/>
      <c r="S24" s="775"/>
      <c r="T24" s="774"/>
      <c r="U24" s="775"/>
      <c r="V24" s="774"/>
      <c r="W24" s="775"/>
      <c r="X24" s="1813"/>
      <c r="Y24" s="3194"/>
      <c r="Z24" s="1814"/>
      <c r="AA24" s="1811"/>
      <c r="AB24" s="1811"/>
      <c r="AC24" s="1811"/>
    </row>
    <row r="25" spans="1:29" ht="55.2">
      <c r="A25" s="404"/>
      <c r="B25" s="1384" t="s">
        <v>2747</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4"/>
      <c r="Q25" s="1810" t="str">
        <f t="shared" si="8"/>
        <v>自然及人文环境状况</v>
      </c>
      <c r="R25" s="774" t="s">
        <v>17</v>
      </c>
      <c r="S25" s="775">
        <f>F25</f>
        <v>100</v>
      </c>
      <c r="T25" s="774" t="s">
        <v>17</v>
      </c>
      <c r="U25" s="775">
        <f>H25</f>
        <v>100</v>
      </c>
      <c r="V25" s="774" t="s">
        <v>17</v>
      </c>
      <c r="W25" s="775">
        <f>J25</f>
        <v>100</v>
      </c>
      <c r="X25" s="1813"/>
      <c r="Y25" s="3194"/>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194"/>
      <c r="Q26" s="1810"/>
      <c r="R26" s="774"/>
      <c r="S26" s="775"/>
      <c r="T26" s="774"/>
      <c r="U26" s="775"/>
      <c r="V26" s="774"/>
      <c r="W26" s="775"/>
      <c r="X26" s="1813"/>
      <c r="Y26" s="3194"/>
      <c r="Z26" s="1814"/>
      <c r="AA26" s="1811">
        <v>1</v>
      </c>
      <c r="AB26" s="1811">
        <v>1</v>
      </c>
      <c r="AC26" s="1811">
        <v>1</v>
      </c>
    </row>
    <row r="27" spans="1:29" s="117" customFormat="1" ht="41.4">
      <c r="A27" s="649"/>
      <c r="B27" s="1384" t="s">
        <v>2652</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4"/>
      <c r="Q27" s="1795" t="str">
        <f t="shared" si="8"/>
        <v>公共配套设施</v>
      </c>
      <c r="R27" s="770" t="s">
        <v>17</v>
      </c>
      <c r="S27" s="771">
        <f>F27</f>
        <v>100</v>
      </c>
      <c r="T27" s="770" t="s">
        <v>17</v>
      </c>
      <c r="U27" s="771">
        <f>H27</f>
        <v>100</v>
      </c>
      <c r="V27" s="770" t="s">
        <v>17</v>
      </c>
      <c r="W27" s="771">
        <f>J27</f>
        <v>100</v>
      </c>
      <c r="X27" s="772"/>
      <c r="Y27" s="3194"/>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194"/>
      <c r="Q28" s="1795"/>
      <c r="R28" s="770"/>
      <c r="S28" s="771"/>
      <c r="T28" s="770"/>
      <c r="U28" s="771"/>
      <c r="V28" s="770"/>
      <c r="W28" s="771"/>
      <c r="X28" s="772"/>
      <c r="Y28" s="3194"/>
      <c r="Z28" s="55"/>
      <c r="AA28" s="1811">
        <v>1</v>
      </c>
      <c r="AB28" s="1811">
        <v>1</v>
      </c>
      <c r="AC28" s="1811">
        <v>1</v>
      </c>
    </row>
    <row r="29" spans="1:29" s="117" customFormat="1" ht="41.4">
      <c r="A29" s="649"/>
      <c r="B29" s="1384" t="s">
        <v>2653</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4"/>
      <c r="Q29" s="1795"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194"/>
      <c r="Q30" s="1795"/>
      <c r="R30" s="770"/>
      <c r="S30" s="771"/>
      <c r="T30" s="770"/>
      <c r="U30" s="771"/>
      <c r="V30" s="770"/>
      <c r="W30" s="771"/>
      <c r="X30" s="772"/>
      <c r="Y30" s="3194"/>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4"/>
      <c r="Z31" s="1814" t="str">
        <f t="shared" ref="Z31:Z45" si="13">Q31</f>
        <v>临街状况</v>
      </c>
      <c r="AA31" s="1811">
        <f t="shared" si="3"/>
        <v>1</v>
      </c>
      <c r="AB31" s="1811">
        <f t="shared" si="4"/>
        <v>1</v>
      </c>
      <c r="AC31" s="1811">
        <f t="shared" si="5"/>
        <v>1</v>
      </c>
    </row>
    <row r="32" spans="1:29" ht="28.8">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4"/>
      <c r="Q32" s="1810" t="str">
        <f t="shared" si="8"/>
        <v>毗邻道路的类型与等级</v>
      </c>
      <c r="R32" s="774" t="s">
        <v>17</v>
      </c>
      <c r="S32" s="775">
        <f t="shared" si="10"/>
        <v>100</v>
      </c>
      <c r="T32" s="774" t="s">
        <v>17</v>
      </c>
      <c r="U32" s="775">
        <f t="shared" si="11"/>
        <v>100</v>
      </c>
      <c r="V32" s="774" t="s">
        <v>17</v>
      </c>
      <c r="W32" s="775">
        <f t="shared" si="12"/>
        <v>100</v>
      </c>
      <c r="X32" s="1813"/>
      <c r="Y32" s="3194"/>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194"/>
      <c r="Q33" s="1810"/>
      <c r="R33" s="774"/>
      <c r="S33" s="775"/>
      <c r="T33" s="774"/>
      <c r="U33" s="775"/>
      <c r="V33" s="774"/>
      <c r="W33" s="775"/>
      <c r="X33" s="1813"/>
      <c r="Y33" s="3194"/>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4"/>
      <c r="Q34" s="1810" t="str">
        <f t="shared" si="8"/>
        <v>土地级别</v>
      </c>
      <c r="R34" s="774" t="s">
        <v>17</v>
      </c>
      <c r="S34" s="775">
        <f t="shared" si="10"/>
        <v>100</v>
      </c>
      <c r="T34" s="774" t="s">
        <v>17</v>
      </c>
      <c r="U34" s="775">
        <f t="shared" si="11"/>
        <v>100</v>
      </c>
      <c r="V34" s="774" t="s">
        <v>17</v>
      </c>
      <c r="W34" s="775">
        <f t="shared" si="12"/>
        <v>100</v>
      </c>
      <c r="X34" s="1813"/>
      <c r="Y34" s="319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4"/>
      <c r="Q35" s="1810">
        <f t="shared" si="8"/>
        <v>111</v>
      </c>
      <c r="R35" s="774" t="s">
        <v>17</v>
      </c>
      <c r="S35" s="775">
        <f t="shared" si="10"/>
        <v>100</v>
      </c>
      <c r="T35" s="774" t="s">
        <v>17</v>
      </c>
      <c r="U35" s="775">
        <f t="shared" si="11"/>
        <v>100</v>
      </c>
      <c r="V35" s="774" t="s">
        <v>17</v>
      </c>
      <c r="W35" s="775">
        <f t="shared" si="12"/>
        <v>100</v>
      </c>
      <c r="X35" s="1813"/>
      <c r="Y35" s="319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5" t="s">
        <v>2563</v>
      </c>
      <c r="Q36" s="1810">
        <f t="shared" si="8"/>
        <v>111</v>
      </c>
      <c r="R36" s="774" t="s">
        <v>17</v>
      </c>
      <c r="S36" s="775">
        <f t="shared" si="10"/>
        <v>100</v>
      </c>
      <c r="T36" s="774" t="s">
        <v>17</v>
      </c>
      <c r="U36" s="775">
        <f t="shared" si="11"/>
        <v>100</v>
      </c>
      <c r="V36" s="774" t="s">
        <v>17</v>
      </c>
      <c r="W36" s="775">
        <f t="shared" si="12"/>
        <v>100</v>
      </c>
      <c r="X36" s="1813"/>
      <c r="Y36" s="3196" t="s">
        <v>2563</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6"/>
      <c r="Q37" s="1810">
        <f t="shared" si="8"/>
        <v>111</v>
      </c>
      <c r="R37" s="777" t="s">
        <v>17</v>
      </c>
      <c r="S37" s="778">
        <f t="shared" si="10"/>
        <v>100</v>
      </c>
      <c r="T37" s="777" t="s">
        <v>17</v>
      </c>
      <c r="U37" s="778">
        <f t="shared" si="11"/>
        <v>100</v>
      </c>
      <c r="V37" s="777" t="s">
        <v>17</v>
      </c>
      <c r="W37" s="778">
        <f t="shared" si="12"/>
        <v>100</v>
      </c>
      <c r="X37" s="779"/>
      <c r="Y37" s="3196"/>
      <c r="Z37" s="780">
        <f t="shared" si="13"/>
        <v>111</v>
      </c>
      <c r="AA37" s="1811">
        <f t="shared" si="3"/>
        <v>1</v>
      </c>
      <c r="AB37" s="1811">
        <f t="shared" si="4"/>
        <v>1</v>
      </c>
      <c r="AC37" s="1811">
        <f t="shared" si="5"/>
        <v>1</v>
      </c>
    </row>
    <row r="38" spans="1:29" ht="15.6">
      <c r="A38" s="472" t="s">
        <v>2561</v>
      </c>
      <c r="B38" s="456" t="s">
        <v>2749</v>
      </c>
      <c r="C38" s="679"/>
      <c r="D38" s="467">
        <v>100</v>
      </c>
      <c r="E38" s="679"/>
      <c r="F38" s="467">
        <f>LOOKUP(E38,117:117,118:118)-LOOKUP(C38,117:117,118:118)+100</f>
        <v>100</v>
      </c>
      <c r="G38" s="679"/>
      <c r="H38" s="467">
        <f>LOOKUP(G38,117:117,118:118)-LOOKUP(C38,117:117,118:118)+100</f>
        <v>100</v>
      </c>
      <c r="I38" s="530"/>
      <c r="J38" s="467">
        <f>LOOKUP(I38,117:117,118:118)-LOOKUP(C38,117:117,118:118)+100</f>
        <v>100</v>
      </c>
      <c r="K38" s="613"/>
      <c r="L38" s="1140"/>
      <c r="M38" s="1131"/>
      <c r="N38" s="1131"/>
      <c r="O38" s="1139"/>
      <c r="P38" s="3196"/>
      <c r="Q38" s="1810" t="str">
        <f>B38</f>
        <v>宗地面积</v>
      </c>
      <c r="R38" s="774" t="s">
        <v>17</v>
      </c>
      <c r="S38" s="775">
        <f t="shared" si="10"/>
        <v>100</v>
      </c>
      <c r="T38" s="774" t="s">
        <v>17</v>
      </c>
      <c r="U38" s="775">
        <f t="shared" si="11"/>
        <v>100</v>
      </c>
      <c r="V38" s="774" t="s">
        <v>17</v>
      </c>
      <c r="W38" s="775">
        <f t="shared" si="12"/>
        <v>100</v>
      </c>
      <c r="X38" s="1813"/>
      <c r="Y38" s="3196"/>
      <c r="Z38" s="1814" t="str">
        <f t="shared" si="13"/>
        <v>宗地面积</v>
      </c>
      <c r="AA38" s="1811">
        <f t="shared" si="3"/>
        <v>1</v>
      </c>
      <c r="AB38" s="1811">
        <f t="shared" si="4"/>
        <v>1</v>
      </c>
      <c r="AC38" s="1811">
        <f t="shared" si="5"/>
        <v>1</v>
      </c>
    </row>
    <row r="39" spans="1:29" ht="15">
      <c r="A39" s="472"/>
      <c r="B39" s="422" t="s">
        <v>2750</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196"/>
      <c r="Q39" s="1810" t="str">
        <f t="shared" ref="Q39:Q45" si="14">B39</f>
        <v>宗地形状</v>
      </c>
      <c r="R39" s="774" t="s">
        <v>17</v>
      </c>
      <c r="S39" s="775">
        <f t="shared" si="10"/>
        <v>100</v>
      </c>
      <c r="T39" s="774" t="s">
        <v>17</v>
      </c>
      <c r="U39" s="775">
        <f t="shared" si="11"/>
        <v>100</v>
      </c>
      <c r="V39" s="774" t="s">
        <v>17</v>
      </c>
      <c r="W39" s="775">
        <f t="shared" si="12"/>
        <v>100</v>
      </c>
      <c r="X39" s="1813"/>
      <c r="Y39" s="3196"/>
      <c r="Z39" s="1814" t="str">
        <f t="shared" si="13"/>
        <v>宗地形状</v>
      </c>
      <c r="AA39" s="1811">
        <f t="shared" si="3"/>
        <v>1</v>
      </c>
      <c r="AB39" s="1811">
        <f t="shared" si="4"/>
        <v>1</v>
      </c>
      <c r="AC39" s="1811">
        <f t="shared" si="5"/>
        <v>1</v>
      </c>
    </row>
    <row r="40" spans="1:29" ht="15">
      <c r="A40" s="472"/>
      <c r="B40" s="422" t="s">
        <v>2751</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196"/>
      <c r="Q40" s="1810" t="str">
        <f t="shared" si="14"/>
        <v>临街宽度及深度</v>
      </c>
      <c r="R40" s="774" t="s">
        <v>17</v>
      </c>
      <c r="S40" s="775">
        <f t="shared" si="10"/>
        <v>100</v>
      </c>
      <c r="T40" s="774" t="s">
        <v>17</v>
      </c>
      <c r="U40" s="775">
        <f t="shared" si="11"/>
        <v>100</v>
      </c>
      <c r="V40" s="774" t="s">
        <v>17</v>
      </c>
      <c r="W40" s="775">
        <f t="shared" si="12"/>
        <v>100</v>
      </c>
      <c r="X40" s="1813"/>
      <c r="Y40" s="3196"/>
      <c r="Z40" s="1814" t="str">
        <f t="shared" si="13"/>
        <v>临街宽度及深度</v>
      </c>
      <c r="AA40" s="1811">
        <f t="shared" si="3"/>
        <v>1</v>
      </c>
      <c r="AB40" s="1811">
        <f t="shared" si="4"/>
        <v>1</v>
      </c>
      <c r="AC40" s="1811">
        <f t="shared" si="5"/>
        <v>1</v>
      </c>
    </row>
    <row r="41" spans="1:29" s="117" customFormat="1" ht="15">
      <c r="A41" s="473"/>
      <c r="B41" s="422" t="s">
        <v>2752</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196"/>
      <c r="Q41" s="1810"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
      <c r="A42" s="472"/>
      <c r="B42" s="422" t="s">
        <v>2753</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196" t="s">
        <v>2563</v>
      </c>
      <c r="Q42" s="1810" t="str">
        <f t="shared" si="14"/>
        <v>工程地质条件</v>
      </c>
      <c r="R42" s="774" t="s">
        <v>17</v>
      </c>
      <c r="S42" s="775">
        <f t="shared" si="10"/>
        <v>100</v>
      </c>
      <c r="T42" s="774" t="s">
        <v>17</v>
      </c>
      <c r="U42" s="775">
        <f t="shared" si="11"/>
        <v>100</v>
      </c>
      <c r="V42" s="774" t="s">
        <v>17</v>
      </c>
      <c r="W42" s="775">
        <f t="shared" si="12"/>
        <v>100</v>
      </c>
      <c r="X42" s="1813"/>
      <c r="Y42" s="3196"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6"/>
      <c r="Q43" s="1810">
        <f t="shared" si="14"/>
        <v>111</v>
      </c>
      <c r="R43" s="774" t="s">
        <v>17</v>
      </c>
      <c r="S43" s="775">
        <f t="shared" si="10"/>
        <v>100</v>
      </c>
      <c r="T43" s="774" t="s">
        <v>17</v>
      </c>
      <c r="U43" s="775">
        <f t="shared" si="11"/>
        <v>100</v>
      </c>
      <c r="V43" s="774" t="s">
        <v>17</v>
      </c>
      <c r="W43" s="775">
        <f t="shared" si="12"/>
        <v>100</v>
      </c>
      <c r="X43" s="1813"/>
      <c r="Y43" s="319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6"/>
      <c r="Q44" s="1810">
        <f t="shared" si="14"/>
        <v>111</v>
      </c>
      <c r="R44" s="774" t="s">
        <v>17</v>
      </c>
      <c r="S44" s="775">
        <f t="shared" si="10"/>
        <v>100</v>
      </c>
      <c r="T44" s="774" t="s">
        <v>17</v>
      </c>
      <c r="U44" s="775">
        <f t="shared" si="11"/>
        <v>100</v>
      </c>
      <c r="V44" s="774" t="s">
        <v>17</v>
      </c>
      <c r="W44" s="775">
        <f t="shared" si="12"/>
        <v>100</v>
      </c>
      <c r="X44" s="1813"/>
      <c r="Y44" s="3196"/>
      <c r="Z44" s="1814">
        <f t="shared" si="13"/>
        <v>111</v>
      </c>
      <c r="AA44" s="1811">
        <f t="shared" si="3"/>
        <v>1</v>
      </c>
      <c r="AB44" s="1811">
        <f t="shared" si="4"/>
        <v>1</v>
      </c>
      <c r="AC44" s="1811">
        <f t="shared" si="5"/>
        <v>1</v>
      </c>
    </row>
    <row r="45" spans="1:29" s="471" customFormat="1" ht="15.6"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6"/>
      <c r="Q45" s="1810">
        <f t="shared" si="14"/>
        <v>111</v>
      </c>
      <c r="R45" s="777" t="s">
        <v>17</v>
      </c>
      <c r="S45" s="778">
        <f t="shared" si="10"/>
        <v>100</v>
      </c>
      <c r="T45" s="777" t="s">
        <v>17</v>
      </c>
      <c r="U45" s="778">
        <f t="shared" si="11"/>
        <v>100</v>
      </c>
      <c r="V45" s="777" t="s">
        <v>17</v>
      </c>
      <c r="W45" s="778">
        <f t="shared" si="12"/>
        <v>100</v>
      </c>
      <c r="X45" s="779"/>
      <c r="Y45" s="3196"/>
      <c r="Z45" s="780">
        <f t="shared" si="13"/>
        <v>111</v>
      </c>
      <c r="AA45" s="1811">
        <f t="shared" si="3"/>
        <v>1</v>
      </c>
      <c r="AB45" s="1811">
        <f t="shared" si="4"/>
        <v>1</v>
      </c>
      <c r="AC45" s="1811">
        <f t="shared" si="5"/>
        <v>1</v>
      </c>
    </row>
    <row r="46" spans="1:29" ht="14.4">
      <c r="A46" s="479" t="s">
        <v>2718</v>
      </c>
      <c r="B46" s="2705" t="s">
        <v>3309</v>
      </c>
      <c r="C46" s="682" t="s">
        <v>1</v>
      </c>
      <c r="D46" s="481"/>
      <c r="E46" s="482">
        <v>11800</v>
      </c>
      <c r="F46" s="483"/>
      <c r="G46" s="484">
        <v>11697</v>
      </c>
      <c r="H46" s="485"/>
      <c r="I46" s="482">
        <v>10847</v>
      </c>
      <c r="J46" s="485"/>
      <c r="K46" s="783"/>
      <c r="L46" s="1143"/>
      <c r="M46" s="1144"/>
      <c r="N46" s="1131"/>
      <c r="O46" s="1144"/>
      <c r="P46" s="3191" t="str">
        <f>A46</f>
        <v>成交单价</v>
      </c>
      <c r="Q46" s="3191"/>
      <c r="R46" s="3197">
        <f>E46</f>
        <v>11800</v>
      </c>
      <c r="S46" s="3197"/>
      <c r="T46" s="3197">
        <f>G46</f>
        <v>11697</v>
      </c>
      <c r="U46" s="3197"/>
      <c r="V46" s="3197">
        <f>I46</f>
        <v>10847</v>
      </c>
      <c r="W46" s="3197"/>
      <c r="X46" s="759"/>
      <c r="Y46" s="781"/>
      <c r="Z46" s="759"/>
      <c r="AA46" s="759"/>
      <c r="AB46" s="759"/>
      <c r="AC46" s="759"/>
    </row>
    <row r="47" spans="1:29" ht="15" thickBot="1">
      <c r="A47" s="486" t="s">
        <v>2667</v>
      </c>
      <c r="B47" s="683"/>
      <c r="C47" s="490">
        <f>R48</f>
        <v>11448</v>
      </c>
      <c r="D47" s="489"/>
      <c r="E47" s="490">
        <f>R47</f>
        <v>11800</v>
      </c>
      <c r="F47" s="491"/>
      <c r="G47" s="488">
        <f>T47</f>
        <v>11697</v>
      </c>
      <c r="H47" s="489"/>
      <c r="I47" s="490">
        <f>V47</f>
        <v>10847</v>
      </c>
      <c r="J47" s="489"/>
      <c r="K47" s="784"/>
      <c r="L47" s="1143"/>
      <c r="M47" s="1144"/>
      <c r="N47" s="1144"/>
      <c r="O47" s="1144"/>
      <c r="P47" s="3191" t="str">
        <f>A47</f>
        <v>比较价值（元/平方米）</v>
      </c>
      <c r="Q47" s="3191"/>
      <c r="R47" s="3184">
        <f>ROUND(PRODUCT(R46,AA7:AA45),0)</f>
        <v>11800</v>
      </c>
      <c r="S47" s="3184"/>
      <c r="T47" s="3184">
        <f>ROUND(PRODUCT(T46,AB7:AB45),0)</f>
        <v>11697</v>
      </c>
      <c r="U47" s="3184"/>
      <c r="V47" s="3184">
        <f>ROUND(PRODUCT(V46,AC7:AC45),0)</f>
        <v>10847</v>
      </c>
      <c r="W47" s="3184"/>
      <c r="X47" s="759"/>
      <c r="Y47" s="759"/>
      <c r="Z47" s="759"/>
      <c r="AA47" s="759"/>
      <c r="AB47" s="759"/>
      <c r="AC47" s="759"/>
    </row>
    <row r="48" spans="1:29" ht="15" thickBot="1">
      <c r="A48" s="492" t="s">
        <v>2754</v>
      </c>
      <c r="B48" s="493"/>
      <c r="C48" s="494">
        <f>R48</f>
        <v>11448</v>
      </c>
      <c r="D48" s="494"/>
      <c r="E48" s="494"/>
      <c r="F48" s="494"/>
      <c r="G48" s="494"/>
      <c r="H48" s="494"/>
      <c r="I48" s="494"/>
      <c r="J48" s="494"/>
      <c r="K48" s="785"/>
      <c r="L48" s="1143"/>
      <c r="M48" s="1144"/>
      <c r="N48" s="1144"/>
      <c r="O48" s="1144"/>
      <c r="P48" s="3185" t="str">
        <f>A48</f>
        <v>估价对象XX用房的比较价值（楼面单价，元/平方米）</v>
      </c>
      <c r="Q48" s="3186"/>
      <c r="R48" s="3187">
        <f>ROUND(AVERAGE(R47:V47),0)</f>
        <v>11448</v>
      </c>
      <c r="S48" s="3187"/>
      <c r="T48" s="3187"/>
      <c r="U48" s="3187"/>
      <c r="V48" s="3187"/>
      <c r="W48" s="318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f>IF(E46&lt;E47,E47/E46-1,E46/E47-1)</f>
        <v>0</v>
      </c>
      <c r="F51" s="500" t="str">
        <f>IF(OR(E51&gt;=0.3,E51&lt;=-0.3),"超过30%","")</f>
        <v/>
      </c>
      <c r="G51" s="499">
        <f>IF(G46&lt;G47,G47/G46-1,G46/G47-1)</f>
        <v>0</v>
      </c>
      <c r="H51" s="500" t="str">
        <f>IF(OR(G51&gt;=0.3,G51&lt;=-0.3),"超过30%","")</f>
        <v/>
      </c>
      <c r="I51" s="499">
        <f>IF(I46&lt;I47,I47/I46-1,I46/I47-1)</f>
        <v>0</v>
      </c>
      <c r="J51" s="500" t="str">
        <f>IF(OR(I51&gt;=0.3,I51&lt;=-0.3),"超过30%","")</f>
        <v/>
      </c>
      <c r="K51" s="1105"/>
      <c r="L51" s="1106"/>
      <c r="M51" s="1144"/>
      <c r="N51" s="1144"/>
      <c r="O51" s="1144"/>
    </row>
    <row r="52" spans="1:15" ht="13.5" customHeight="1">
      <c r="A52" s="1144"/>
      <c r="B52" s="1144"/>
      <c r="C52" s="497" t="s">
        <v>2670</v>
      </c>
      <c r="D52" s="501"/>
      <c r="E52" s="499">
        <f>IF(E47&lt;G47,G47/E47-1,E47/G47-1)</f>
        <v>8.8056766692314881E-3</v>
      </c>
      <c r="F52" s="500" t="str">
        <f>IF(OR(E52&gt;=0.2,E52&lt;=-0.2),"超过20%","")</f>
        <v/>
      </c>
      <c r="G52" s="499">
        <f>IF(G47&lt;I47,I47/G47-1,G47/I47-1)</f>
        <v>7.8362680925601502E-2</v>
      </c>
      <c r="H52" s="500" t="str">
        <f>IF(OR(G52&gt;=0.2,G52&lt;=-0.2),"超过20%","")</f>
        <v/>
      </c>
      <c r="I52" s="499">
        <f>IF(I47&lt;E47,E47/I47-1,I47/E47-1)</f>
        <v>8.7858394025998043E-2</v>
      </c>
      <c r="J52" s="500" t="str">
        <f>IF(OR(I52&gt;=0.2,I52&lt;=-0.2),"超过20%","")</f>
        <v/>
      </c>
      <c r="K52" s="1105"/>
      <c r="L52" s="1106"/>
      <c r="M52" s="1144"/>
      <c r="N52" s="1144"/>
      <c r="O52" s="1144"/>
    </row>
    <row r="53" spans="1:15" s="502" customFormat="1" ht="13.5" customHeight="1">
      <c r="A53" s="1145"/>
      <c r="B53" s="1145"/>
      <c r="C53" s="497" t="s">
        <v>2671</v>
      </c>
      <c r="D53" s="501"/>
      <c r="E53" s="499">
        <f>IF(E46&lt;G46,G46/E46-1,E46/G46-1)</f>
        <v>8.8056766692314881E-3</v>
      </c>
      <c r="F53" s="500" t="str">
        <f>IF(OR(E53&gt;=0.3,E53&lt;=-0.3),"超过30%","")</f>
        <v/>
      </c>
      <c r="G53" s="499">
        <f>IF(G46&lt;I46,I46/G46-1,G46/I46-1)</f>
        <v>7.8362680925601502E-2</v>
      </c>
      <c r="H53" s="500" t="str">
        <f>IF(OR(G53&gt;=0.3,G53&lt;=-0.3),"超过30%","")</f>
        <v/>
      </c>
      <c r="I53" s="499">
        <f>IF(I46&lt;E46,E46/I46-1,I46/E46-1)</f>
        <v>8.7858394025998043E-2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6" t="s">
        <v>2757</v>
      </c>
      <c r="D55" s="2707" t="s">
        <v>2758</v>
      </c>
      <c r="E55" s="686" t="s">
        <v>2759</v>
      </c>
      <c r="F55" s="1107" t="s">
        <v>2760</v>
      </c>
      <c r="G55" s="3188" t="s">
        <v>2761</v>
      </c>
      <c r="H55" s="3189"/>
      <c r="I55" s="144" t="s">
        <v>2762</v>
      </c>
      <c r="J55" s="2708">
        <f>项目基本情况!F35</f>
        <v>0</v>
      </c>
      <c r="K55" s="2709" t="s">
        <v>2763</v>
      </c>
      <c r="L55" s="1106"/>
      <c r="M55" s="1144"/>
      <c r="N55" s="1144"/>
      <c r="O55" s="1144"/>
    </row>
    <row r="56" spans="1:15" s="692" customFormat="1">
      <c r="A56" s="688" t="s">
        <v>2764</v>
      </c>
      <c r="B56" s="689">
        <f>C48</f>
        <v>11448</v>
      </c>
      <c r="C56" s="690">
        <v>1</v>
      </c>
      <c r="D56" s="1163">
        <v>1</v>
      </c>
      <c r="E56" s="690">
        <f>'数据-汇总表'!E8+'数据-汇总表'!E9</f>
        <v>132590.15999999997</v>
      </c>
      <c r="F56" s="1103">
        <f t="shared" ref="F56:F65" si="15">ROUND(B56*E56/10000,0)</f>
        <v>151789</v>
      </c>
      <c r="G56" s="3190"/>
      <c r="H56" s="3191"/>
      <c r="I56" s="1108">
        <v>1</v>
      </c>
      <c r="J56" s="1111">
        <v>1</v>
      </c>
      <c r="K56" s="1145"/>
      <c r="L56" s="941"/>
      <c r="M56" s="941"/>
      <c r="N56" s="941"/>
      <c r="O56" s="941"/>
    </row>
    <row r="57" spans="1:15" s="692" customFormat="1">
      <c r="A57" s="693" t="s">
        <v>2765</v>
      </c>
      <c r="B57" s="262">
        <f>ROUND($C$48*C57*D57,0)</f>
        <v>0</v>
      </c>
      <c r="C57" s="200">
        <f t="shared" ref="C57:C65" si="16">IF($C$55="北京市系数",I57,J57)</f>
        <v>0</v>
      </c>
      <c r="D57" s="1164">
        <v>0.25</v>
      </c>
      <c r="E57" s="694"/>
      <c r="F57" s="1103">
        <f t="shared" si="15"/>
        <v>0</v>
      </c>
      <c r="G57" s="3192" t="s">
        <v>2766</v>
      </c>
      <c r="H57" s="1104">
        <f>项目基本情况!B37</f>
        <v>0</v>
      </c>
      <c r="I57" s="1108">
        <f>SUMIF(修正!A45:A56,H57,修正!B45:B56)</f>
        <v>0</v>
      </c>
      <c r="J57" s="1112"/>
      <c r="K57" s="1144"/>
      <c r="L57" s="941"/>
      <c r="M57" s="941"/>
      <c r="N57" s="941"/>
      <c r="O57" s="941"/>
    </row>
    <row r="58" spans="1:15" s="692" customFormat="1">
      <c r="A58" s="693" t="s">
        <v>2767</v>
      </c>
      <c r="B58" s="262">
        <f t="shared" ref="B58:B65" si="17">ROUND($C$48*C58*D58,0)</f>
        <v>0</v>
      </c>
      <c r="C58" s="200">
        <f t="shared" si="16"/>
        <v>0</v>
      </c>
      <c r="D58" s="1164">
        <v>0.25</v>
      </c>
      <c r="E58" s="694"/>
      <c r="F58" s="1103">
        <f t="shared" si="15"/>
        <v>0</v>
      </c>
      <c r="G58" s="3192"/>
      <c r="H58" s="1104">
        <f>项目基本情况!B37</f>
        <v>0</v>
      </c>
      <c r="I58" s="1108">
        <f>SUMIF(修正!A45:A56,H58,修正!C45:C56)</f>
        <v>0</v>
      </c>
      <c r="J58" s="1112"/>
      <c r="K58" s="1145"/>
      <c r="L58" s="941"/>
      <c r="M58" s="941"/>
      <c r="N58" s="941"/>
      <c r="O58" s="941"/>
    </row>
    <row r="59" spans="1:15" s="692" customFormat="1">
      <c r="A59" s="693" t="s">
        <v>2768</v>
      </c>
      <c r="B59" s="262">
        <f t="shared" si="17"/>
        <v>0</v>
      </c>
      <c r="C59" s="200">
        <f t="shared" si="16"/>
        <v>0</v>
      </c>
      <c r="D59" s="1164">
        <v>0.25</v>
      </c>
      <c r="E59" s="694"/>
      <c r="F59" s="1103">
        <f t="shared" si="15"/>
        <v>0</v>
      </c>
      <c r="G59" s="3192"/>
      <c r="H59" s="1104">
        <f>项目基本情况!B37</f>
        <v>0</v>
      </c>
      <c r="I59" s="1108">
        <f>SUMIF(修正!A45:A56,H59,修正!D45:D56)</f>
        <v>0</v>
      </c>
      <c r="J59" s="1112"/>
      <c r="K59" s="1144"/>
      <c r="L59" s="941"/>
      <c r="M59" s="941"/>
      <c r="N59" s="941"/>
      <c r="O59" s="941"/>
    </row>
    <row r="60" spans="1:15" s="692" customFormat="1">
      <c r="A60" s="693" t="s">
        <v>2769</v>
      </c>
      <c r="B60" s="262">
        <f t="shared" si="17"/>
        <v>0</v>
      </c>
      <c r="C60" s="200">
        <f t="shared" si="16"/>
        <v>0</v>
      </c>
      <c r="D60" s="1164">
        <v>0.25</v>
      </c>
      <c r="E60" s="694"/>
      <c r="F60" s="1103">
        <f t="shared" si="15"/>
        <v>0</v>
      </c>
      <c r="G60" s="3192"/>
      <c r="H60" s="1104">
        <f>项目基本情况!B37</f>
        <v>0</v>
      </c>
      <c r="I60" s="1108">
        <f>SUMIF(修正!A45:A56,H60,修正!E45:E56)</f>
        <v>0</v>
      </c>
      <c r="J60" s="1112"/>
      <c r="K60" s="1145"/>
      <c r="L60" s="941"/>
      <c r="M60" s="941"/>
      <c r="N60" s="941"/>
      <c r="O60" s="941"/>
    </row>
    <row r="61" spans="1:15" s="692" customFormat="1">
      <c r="A61" s="693" t="s">
        <v>2770</v>
      </c>
      <c r="B61" s="262">
        <f t="shared" si="17"/>
        <v>0</v>
      </c>
      <c r="C61" s="200">
        <f t="shared" si="16"/>
        <v>0</v>
      </c>
      <c r="D61" s="1164">
        <v>0.25</v>
      </c>
      <c r="E61" s="261">
        <f>'数据-汇总表'!E11</f>
        <v>0</v>
      </c>
      <c r="F61" s="1103">
        <f t="shared" si="15"/>
        <v>0</v>
      </c>
      <c r="G61" s="2710" t="s">
        <v>2771</v>
      </c>
      <c r="H61" s="1104">
        <f>项目基本情况!C37</f>
        <v>0</v>
      </c>
      <c r="I61" s="1108">
        <f>SUMIF(修正!A45:A56,H61,修正!F45:F56)</f>
        <v>0</v>
      </c>
      <c r="J61" s="1112"/>
      <c r="K61" s="1144"/>
      <c r="L61" s="941"/>
      <c r="M61" s="941"/>
      <c r="N61" s="941"/>
      <c r="O61" s="941"/>
    </row>
    <row r="62" spans="1:15" s="692" customFormat="1">
      <c r="A62" s="693" t="s">
        <v>2772</v>
      </c>
      <c r="B62" s="262">
        <f t="shared" si="17"/>
        <v>0</v>
      </c>
      <c r="C62" s="200">
        <f t="shared" si="16"/>
        <v>0</v>
      </c>
      <c r="D62" s="1164">
        <v>0.25</v>
      </c>
      <c r="E62" s="261">
        <f>'数据-汇总表'!E12</f>
        <v>6592.079999999999</v>
      </c>
      <c r="F62" s="1103">
        <f t="shared" si="15"/>
        <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f t="shared" si="17"/>
        <v>0</v>
      </c>
      <c r="C63" s="200">
        <f t="shared" si="16"/>
        <v>0</v>
      </c>
      <c r="D63" s="1164">
        <v>0.25</v>
      </c>
      <c r="E63" s="261">
        <f>'数据-汇总表'!E13</f>
        <v>31413.989999999998</v>
      </c>
      <c r="F63" s="1103">
        <f t="shared" si="15"/>
        <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f t="shared" si="17"/>
        <v>0</v>
      </c>
      <c r="C64" s="200">
        <f t="shared" si="16"/>
        <v>0</v>
      </c>
      <c r="D64" s="1164">
        <v>0.25</v>
      </c>
      <c r="E64" s="261">
        <f>'数据-汇总表'!E14</f>
        <v>0</v>
      </c>
      <c r="F64" s="1103">
        <f t="shared" si="15"/>
        <v>0</v>
      </c>
      <c r="G64" s="2710" t="s">
        <v>2766</v>
      </c>
      <c r="H64" s="1104">
        <f>项目基本情况!B37</f>
        <v>0</v>
      </c>
      <c r="I64" s="1108">
        <f>SUMIF(修正!A45:A56,H64,修正!H45:H56)</f>
        <v>0</v>
      </c>
      <c r="J64" s="1112"/>
      <c r="K64" s="1145"/>
      <c r="L64" s="941"/>
      <c r="M64" s="941"/>
      <c r="N64" s="941"/>
      <c r="O64" s="941"/>
    </row>
    <row r="65" spans="1:17" s="692" customFormat="1" ht="14.4" thickBot="1">
      <c r="A65" s="693" t="s">
        <v>2777</v>
      </c>
      <c r="B65" s="262">
        <f t="shared" si="17"/>
        <v>0</v>
      </c>
      <c r="C65" s="200">
        <f t="shared" si="16"/>
        <v>0</v>
      </c>
      <c r="D65" s="1164">
        <v>0.25</v>
      </c>
      <c r="E65" s="261">
        <f>'数据-汇总表'!E15</f>
        <v>0</v>
      </c>
      <c r="F65" s="1103">
        <f t="shared" si="15"/>
        <v>0</v>
      </c>
      <c r="G65" s="2711" t="s">
        <v>2771</v>
      </c>
      <c r="H65" s="1114">
        <f>项目基本情况!C37</f>
        <v>0</v>
      </c>
      <c r="I65" s="1110">
        <f>SUMIF(修正!A45:A56,H65,修正!H45:H56)</f>
        <v>0</v>
      </c>
      <c r="J65" s="1113"/>
      <c r="K65" s="1144"/>
      <c r="L65" s="941"/>
      <c r="M65" s="941"/>
      <c r="N65" s="941"/>
      <c r="O65" s="941"/>
    </row>
    <row r="66" spans="1:17" s="692" customFormat="1" thickBot="1">
      <c r="A66" s="695" t="s">
        <v>2778</v>
      </c>
      <c r="B66" s="696" t="s">
        <v>28</v>
      </c>
      <c r="C66" s="696" t="s">
        <v>29</v>
      </c>
      <c r="D66" s="696" t="s">
        <v>1025</v>
      </c>
      <c r="E66" s="696">
        <f>IF(B46="楼面地价",SUM(E56:E65),'数据-汇总表'!D3)</f>
        <v>170596.22999999995</v>
      </c>
      <c r="F66" s="697">
        <f>IF(B46="楼面地价",SUM(F56:F65),ROUND(C48*E66/10000,0))</f>
        <v>151789</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2.2" thickBot="1">
      <c r="A69" s="763" t="s">
        <v>2672</v>
      </c>
      <c r="B69" s="759"/>
      <c r="C69" s="764"/>
      <c r="D69" s="764"/>
      <c r="E69" s="764"/>
      <c r="F69" s="765"/>
      <c r="G69" s="765"/>
      <c r="H69" s="764"/>
      <c r="I69" s="764"/>
      <c r="J69" s="1159"/>
      <c r="K69" s="1160"/>
      <c r="L69" s="1161"/>
      <c r="M69" s="1159"/>
      <c r="N69" s="1159"/>
      <c r="O69" s="1159"/>
      <c r="P69" s="503"/>
      <c r="Q69" s="504"/>
    </row>
    <row r="70" spans="1:17" s="508" customFormat="1" ht="14.4">
      <c r="A70" s="2712" t="s">
        <v>2779</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3" t="s">
        <v>2780</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 thickBot="1">
      <c r="A72" s="515" t="s">
        <v>2583</v>
      </c>
      <c r="B72" s="516"/>
      <c r="C72" s="517"/>
      <c r="D72" s="518"/>
      <c r="E72" s="518"/>
      <c r="F72" s="518"/>
      <c r="G72" s="518"/>
      <c r="H72" s="518"/>
      <c r="I72" s="518"/>
      <c r="J72" s="518"/>
      <c r="K72" s="518"/>
      <c r="L72" s="518"/>
      <c r="M72" s="519"/>
      <c r="N72" s="518"/>
      <c r="O72" s="1162"/>
      <c r="P72" s="504"/>
      <c r="Q72" s="504"/>
    </row>
    <row r="73" spans="1:17" s="117" customFormat="1" ht="14.4">
      <c r="A73" s="521" t="s">
        <v>2548</v>
      </c>
      <c r="B73" s="510"/>
      <c r="C73" s="522" t="s">
        <v>2650</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2586</v>
      </c>
      <c r="B75" s="528" t="s">
        <v>2552</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2555</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2556</v>
      </c>
      <c r="C79" s="547" t="str">
        <f>C80&amp;"（含）"&amp;"-"&amp;D80</f>
        <v>0（含）-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v>0</v>
      </c>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90</v>
      </c>
      <c r="E81" s="544">
        <f t="shared" si="21"/>
        <v>80</v>
      </c>
      <c r="F81" s="544">
        <f t="shared" si="21"/>
        <v>70</v>
      </c>
      <c r="G81" s="544">
        <f t="shared" si="21"/>
        <v>60</v>
      </c>
      <c r="H81" s="544">
        <f t="shared" si="21"/>
        <v>50</v>
      </c>
      <c r="I81" s="544">
        <f t="shared" si="21"/>
        <v>40</v>
      </c>
      <c r="J81" s="544">
        <f t="shared" si="21"/>
        <v>30</v>
      </c>
      <c r="K81" s="544">
        <f t="shared" si="21"/>
        <v>20</v>
      </c>
      <c r="L81" s="544">
        <f t="shared" si="21"/>
        <v>10</v>
      </c>
      <c r="M81" s="544">
        <f t="shared" si="21"/>
        <v>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2781</v>
      </c>
      <c r="C90" s="578" t="s">
        <v>2595</v>
      </c>
      <c r="D90" s="578" t="s">
        <v>2596</v>
      </c>
      <c r="E90" s="578" t="s">
        <v>2597</v>
      </c>
      <c r="F90" s="578" t="s">
        <v>2598</v>
      </c>
      <c r="G90" s="578" t="s">
        <v>2599</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2782</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2783</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2689</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2748</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2561</v>
      </c>
      <c r="B116" s="528" t="s">
        <v>2788</v>
      </c>
      <c r="C116" s="529" t="str">
        <f>C117&amp;"(含)"&amp;"-"&amp;D117</f>
        <v>0(含)-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v>0</v>
      </c>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outlinePr summaryBelow="0" summaryRight="0"/>
    <pageSetUpPr autoPageBreaks="0" fitToPage="1"/>
  </sheetPr>
  <dimension ref="A1:P51"/>
  <sheetViews>
    <sheetView workbookViewId="0">
      <selection activeCell="A5" sqref="A5:XFD5"/>
    </sheetView>
  </sheetViews>
  <sheetFormatPr defaultRowHeight="13.2"/>
  <cols>
    <col min="1" max="1" width="39" style="2975" customWidth="1"/>
    <col min="2" max="2" width="6.21875" style="2975" customWidth="1"/>
    <col min="3" max="3" width="13.88671875" style="2975" customWidth="1"/>
    <col min="4" max="4" width="16.88671875" style="2975" customWidth="1"/>
    <col min="5" max="5" width="13.88671875" style="2975" customWidth="1"/>
    <col min="6" max="6" width="46.88671875" style="2975" customWidth="1"/>
    <col min="7" max="7" width="7.88671875" style="2975" customWidth="1"/>
    <col min="8" max="8" width="9" style="2975" customWidth="1"/>
    <col min="9" max="10" width="10.6640625" style="2975" customWidth="1"/>
    <col min="11" max="11" width="14.33203125" style="2975" customWidth="1"/>
    <col min="12" max="12" width="6.21875" style="2975" customWidth="1"/>
    <col min="13" max="13" width="42.6640625" style="2975" customWidth="1"/>
    <col min="14" max="14" width="7.88671875" style="2975" customWidth="1"/>
    <col min="15" max="256" width="9" style="2975"/>
    <col min="257" max="257" width="39" style="2975" customWidth="1"/>
    <col min="258" max="258" width="6.21875" style="2975" customWidth="1"/>
    <col min="259" max="261" width="13.88671875" style="2975" customWidth="1"/>
    <col min="262" max="262" width="36.109375" style="2975" customWidth="1"/>
    <col min="263" max="263" width="7.88671875" style="2975" customWidth="1"/>
    <col min="264" max="264" width="9" style="2975" customWidth="1"/>
    <col min="265" max="266" width="10.6640625" style="2975" customWidth="1"/>
    <col min="267" max="267" width="14.33203125" style="2975" customWidth="1"/>
    <col min="268" max="268" width="6.21875" style="2975" customWidth="1"/>
    <col min="269" max="269" width="42.6640625" style="2975" customWidth="1"/>
    <col min="270" max="270" width="7.88671875" style="2975" customWidth="1"/>
    <col min="271" max="512" width="9" style="2975"/>
    <col min="513" max="513" width="39" style="2975" customWidth="1"/>
    <col min="514" max="514" width="6.21875" style="2975" customWidth="1"/>
    <col min="515" max="517" width="13.88671875" style="2975" customWidth="1"/>
    <col min="518" max="518" width="36.109375" style="2975" customWidth="1"/>
    <col min="519" max="519" width="7.88671875" style="2975" customWidth="1"/>
    <col min="520" max="520" width="9" style="2975" customWidth="1"/>
    <col min="521" max="522" width="10.6640625" style="2975" customWidth="1"/>
    <col min="523" max="523" width="14.33203125" style="2975" customWidth="1"/>
    <col min="524" max="524" width="6.21875" style="2975" customWidth="1"/>
    <col min="525" max="525" width="42.6640625" style="2975" customWidth="1"/>
    <col min="526" max="526" width="7.88671875" style="2975" customWidth="1"/>
    <col min="527" max="768" width="9" style="2975"/>
    <col min="769" max="769" width="39" style="2975" customWidth="1"/>
    <col min="770" max="770" width="6.21875" style="2975" customWidth="1"/>
    <col min="771" max="773" width="13.88671875" style="2975" customWidth="1"/>
    <col min="774" max="774" width="36.109375" style="2975" customWidth="1"/>
    <col min="775" max="775" width="7.88671875" style="2975" customWidth="1"/>
    <col min="776" max="776" width="9" style="2975" customWidth="1"/>
    <col min="777" max="778" width="10.6640625" style="2975" customWidth="1"/>
    <col min="779" max="779" width="14.33203125" style="2975" customWidth="1"/>
    <col min="780" max="780" width="6.21875" style="2975" customWidth="1"/>
    <col min="781" max="781" width="42.6640625" style="2975" customWidth="1"/>
    <col min="782" max="782" width="7.88671875" style="2975" customWidth="1"/>
    <col min="783" max="1024" width="9" style="2975"/>
    <col min="1025" max="1025" width="39" style="2975" customWidth="1"/>
    <col min="1026" max="1026" width="6.21875" style="2975" customWidth="1"/>
    <col min="1027" max="1029" width="13.88671875" style="2975" customWidth="1"/>
    <col min="1030" max="1030" width="36.109375" style="2975" customWidth="1"/>
    <col min="1031" max="1031" width="7.88671875" style="2975" customWidth="1"/>
    <col min="1032" max="1032" width="9" style="2975" customWidth="1"/>
    <col min="1033" max="1034" width="10.6640625" style="2975" customWidth="1"/>
    <col min="1035" max="1035" width="14.33203125" style="2975" customWidth="1"/>
    <col min="1036" max="1036" width="6.21875" style="2975" customWidth="1"/>
    <col min="1037" max="1037" width="42.6640625" style="2975" customWidth="1"/>
    <col min="1038" max="1038" width="7.88671875" style="2975" customWidth="1"/>
    <col min="1039" max="1280" width="9" style="2975"/>
    <col min="1281" max="1281" width="39" style="2975" customWidth="1"/>
    <col min="1282" max="1282" width="6.21875" style="2975" customWidth="1"/>
    <col min="1283" max="1285" width="13.88671875" style="2975" customWidth="1"/>
    <col min="1286" max="1286" width="36.109375" style="2975" customWidth="1"/>
    <col min="1287" max="1287" width="7.88671875" style="2975" customWidth="1"/>
    <col min="1288" max="1288" width="9" style="2975" customWidth="1"/>
    <col min="1289" max="1290" width="10.6640625" style="2975" customWidth="1"/>
    <col min="1291" max="1291" width="14.33203125" style="2975" customWidth="1"/>
    <col min="1292" max="1292" width="6.21875" style="2975" customWidth="1"/>
    <col min="1293" max="1293" width="42.6640625" style="2975" customWidth="1"/>
    <col min="1294" max="1294" width="7.88671875" style="2975" customWidth="1"/>
    <col min="1295" max="1536" width="9" style="2975"/>
    <col min="1537" max="1537" width="39" style="2975" customWidth="1"/>
    <col min="1538" max="1538" width="6.21875" style="2975" customWidth="1"/>
    <col min="1539" max="1541" width="13.88671875" style="2975" customWidth="1"/>
    <col min="1542" max="1542" width="36.109375" style="2975" customWidth="1"/>
    <col min="1543" max="1543" width="7.88671875" style="2975" customWidth="1"/>
    <col min="1544" max="1544" width="9" style="2975" customWidth="1"/>
    <col min="1545" max="1546" width="10.6640625" style="2975" customWidth="1"/>
    <col min="1547" max="1547" width="14.33203125" style="2975" customWidth="1"/>
    <col min="1548" max="1548" width="6.21875" style="2975" customWidth="1"/>
    <col min="1549" max="1549" width="42.6640625" style="2975" customWidth="1"/>
    <col min="1550" max="1550" width="7.88671875" style="2975" customWidth="1"/>
    <col min="1551" max="1792" width="9" style="2975"/>
    <col min="1793" max="1793" width="39" style="2975" customWidth="1"/>
    <col min="1794" max="1794" width="6.21875" style="2975" customWidth="1"/>
    <col min="1795" max="1797" width="13.88671875" style="2975" customWidth="1"/>
    <col min="1798" max="1798" width="36.109375" style="2975" customWidth="1"/>
    <col min="1799" max="1799" width="7.88671875" style="2975" customWidth="1"/>
    <col min="1800" max="1800" width="9" style="2975" customWidth="1"/>
    <col min="1801" max="1802" width="10.6640625" style="2975" customWidth="1"/>
    <col min="1803" max="1803" width="14.33203125" style="2975" customWidth="1"/>
    <col min="1804" max="1804" width="6.21875" style="2975" customWidth="1"/>
    <col min="1805" max="1805" width="42.6640625" style="2975" customWidth="1"/>
    <col min="1806" max="1806" width="7.88671875" style="2975" customWidth="1"/>
    <col min="1807" max="2048" width="9" style="2975"/>
    <col min="2049" max="2049" width="39" style="2975" customWidth="1"/>
    <col min="2050" max="2050" width="6.21875" style="2975" customWidth="1"/>
    <col min="2051" max="2053" width="13.88671875" style="2975" customWidth="1"/>
    <col min="2054" max="2054" width="36.109375" style="2975" customWidth="1"/>
    <col min="2055" max="2055" width="7.88671875" style="2975" customWidth="1"/>
    <col min="2056" max="2056" width="9" style="2975" customWidth="1"/>
    <col min="2057" max="2058" width="10.6640625" style="2975" customWidth="1"/>
    <col min="2059" max="2059" width="14.33203125" style="2975" customWidth="1"/>
    <col min="2060" max="2060" width="6.21875" style="2975" customWidth="1"/>
    <col min="2061" max="2061" width="42.6640625" style="2975" customWidth="1"/>
    <col min="2062" max="2062" width="7.88671875" style="2975" customWidth="1"/>
    <col min="2063" max="2304" width="9" style="2975"/>
    <col min="2305" max="2305" width="39" style="2975" customWidth="1"/>
    <col min="2306" max="2306" width="6.21875" style="2975" customWidth="1"/>
    <col min="2307" max="2309" width="13.88671875" style="2975" customWidth="1"/>
    <col min="2310" max="2310" width="36.109375" style="2975" customWidth="1"/>
    <col min="2311" max="2311" width="7.88671875" style="2975" customWidth="1"/>
    <col min="2312" max="2312" width="9" style="2975" customWidth="1"/>
    <col min="2313" max="2314" width="10.6640625" style="2975" customWidth="1"/>
    <col min="2315" max="2315" width="14.33203125" style="2975" customWidth="1"/>
    <col min="2316" max="2316" width="6.21875" style="2975" customWidth="1"/>
    <col min="2317" max="2317" width="42.6640625" style="2975" customWidth="1"/>
    <col min="2318" max="2318" width="7.88671875" style="2975" customWidth="1"/>
    <col min="2319" max="2560" width="9" style="2975"/>
    <col min="2561" max="2561" width="39" style="2975" customWidth="1"/>
    <col min="2562" max="2562" width="6.21875" style="2975" customWidth="1"/>
    <col min="2563" max="2565" width="13.88671875" style="2975" customWidth="1"/>
    <col min="2566" max="2566" width="36.109375" style="2975" customWidth="1"/>
    <col min="2567" max="2567" width="7.88671875" style="2975" customWidth="1"/>
    <col min="2568" max="2568" width="9" style="2975" customWidth="1"/>
    <col min="2569" max="2570" width="10.6640625" style="2975" customWidth="1"/>
    <col min="2571" max="2571" width="14.33203125" style="2975" customWidth="1"/>
    <col min="2572" max="2572" width="6.21875" style="2975" customWidth="1"/>
    <col min="2573" max="2573" width="42.6640625" style="2975" customWidth="1"/>
    <col min="2574" max="2574" width="7.88671875" style="2975" customWidth="1"/>
    <col min="2575" max="2816" width="9" style="2975"/>
    <col min="2817" max="2817" width="39" style="2975" customWidth="1"/>
    <col min="2818" max="2818" width="6.21875" style="2975" customWidth="1"/>
    <col min="2819" max="2821" width="13.88671875" style="2975" customWidth="1"/>
    <col min="2822" max="2822" width="36.109375" style="2975" customWidth="1"/>
    <col min="2823" max="2823" width="7.88671875" style="2975" customWidth="1"/>
    <col min="2824" max="2824" width="9" style="2975" customWidth="1"/>
    <col min="2825" max="2826" width="10.6640625" style="2975" customWidth="1"/>
    <col min="2827" max="2827" width="14.33203125" style="2975" customWidth="1"/>
    <col min="2828" max="2828" width="6.21875" style="2975" customWidth="1"/>
    <col min="2829" max="2829" width="42.6640625" style="2975" customWidth="1"/>
    <col min="2830" max="2830" width="7.88671875" style="2975" customWidth="1"/>
    <col min="2831" max="3072" width="9" style="2975"/>
    <col min="3073" max="3073" width="39" style="2975" customWidth="1"/>
    <col min="3074" max="3074" width="6.21875" style="2975" customWidth="1"/>
    <col min="3075" max="3077" width="13.88671875" style="2975" customWidth="1"/>
    <col min="3078" max="3078" width="36.109375" style="2975" customWidth="1"/>
    <col min="3079" max="3079" width="7.88671875" style="2975" customWidth="1"/>
    <col min="3080" max="3080" width="9" style="2975" customWidth="1"/>
    <col min="3081" max="3082" width="10.6640625" style="2975" customWidth="1"/>
    <col min="3083" max="3083" width="14.33203125" style="2975" customWidth="1"/>
    <col min="3084" max="3084" width="6.21875" style="2975" customWidth="1"/>
    <col min="3085" max="3085" width="42.6640625" style="2975" customWidth="1"/>
    <col min="3086" max="3086" width="7.88671875" style="2975" customWidth="1"/>
    <col min="3087" max="3328" width="9" style="2975"/>
    <col min="3329" max="3329" width="39" style="2975" customWidth="1"/>
    <col min="3330" max="3330" width="6.21875" style="2975" customWidth="1"/>
    <col min="3331" max="3333" width="13.88671875" style="2975" customWidth="1"/>
    <col min="3334" max="3334" width="36.109375" style="2975" customWidth="1"/>
    <col min="3335" max="3335" width="7.88671875" style="2975" customWidth="1"/>
    <col min="3336" max="3336" width="9" style="2975" customWidth="1"/>
    <col min="3337" max="3338" width="10.6640625" style="2975" customWidth="1"/>
    <col min="3339" max="3339" width="14.33203125" style="2975" customWidth="1"/>
    <col min="3340" max="3340" width="6.21875" style="2975" customWidth="1"/>
    <col min="3341" max="3341" width="42.6640625" style="2975" customWidth="1"/>
    <col min="3342" max="3342" width="7.88671875" style="2975" customWidth="1"/>
    <col min="3343" max="3584" width="9" style="2975"/>
    <col min="3585" max="3585" width="39" style="2975" customWidth="1"/>
    <col min="3586" max="3586" width="6.21875" style="2975" customWidth="1"/>
    <col min="3587" max="3589" width="13.88671875" style="2975" customWidth="1"/>
    <col min="3590" max="3590" width="36.109375" style="2975" customWidth="1"/>
    <col min="3591" max="3591" width="7.88671875" style="2975" customWidth="1"/>
    <col min="3592" max="3592" width="9" style="2975" customWidth="1"/>
    <col min="3593" max="3594" width="10.6640625" style="2975" customWidth="1"/>
    <col min="3595" max="3595" width="14.33203125" style="2975" customWidth="1"/>
    <col min="3596" max="3596" width="6.21875" style="2975" customWidth="1"/>
    <col min="3597" max="3597" width="42.6640625" style="2975" customWidth="1"/>
    <col min="3598" max="3598" width="7.88671875" style="2975" customWidth="1"/>
    <col min="3599" max="3840" width="9" style="2975"/>
    <col min="3841" max="3841" width="39" style="2975" customWidth="1"/>
    <col min="3842" max="3842" width="6.21875" style="2975" customWidth="1"/>
    <col min="3843" max="3845" width="13.88671875" style="2975" customWidth="1"/>
    <col min="3846" max="3846" width="36.109375" style="2975" customWidth="1"/>
    <col min="3847" max="3847" width="7.88671875" style="2975" customWidth="1"/>
    <col min="3848" max="3848" width="9" style="2975" customWidth="1"/>
    <col min="3849" max="3850" width="10.6640625" style="2975" customWidth="1"/>
    <col min="3851" max="3851" width="14.33203125" style="2975" customWidth="1"/>
    <col min="3852" max="3852" width="6.21875" style="2975" customWidth="1"/>
    <col min="3853" max="3853" width="42.6640625" style="2975" customWidth="1"/>
    <col min="3854" max="3854" width="7.88671875" style="2975" customWidth="1"/>
    <col min="3855" max="4096" width="9" style="2975"/>
    <col min="4097" max="4097" width="39" style="2975" customWidth="1"/>
    <col min="4098" max="4098" width="6.21875" style="2975" customWidth="1"/>
    <col min="4099" max="4101" width="13.88671875" style="2975" customWidth="1"/>
    <col min="4102" max="4102" width="36.109375" style="2975" customWidth="1"/>
    <col min="4103" max="4103" width="7.88671875" style="2975" customWidth="1"/>
    <col min="4104" max="4104" width="9" style="2975" customWidth="1"/>
    <col min="4105" max="4106" width="10.6640625" style="2975" customWidth="1"/>
    <col min="4107" max="4107" width="14.33203125" style="2975" customWidth="1"/>
    <col min="4108" max="4108" width="6.21875" style="2975" customWidth="1"/>
    <col min="4109" max="4109" width="42.6640625" style="2975" customWidth="1"/>
    <col min="4110" max="4110" width="7.88671875" style="2975" customWidth="1"/>
    <col min="4111" max="4352" width="9" style="2975"/>
    <col min="4353" max="4353" width="39" style="2975" customWidth="1"/>
    <col min="4354" max="4354" width="6.21875" style="2975" customWidth="1"/>
    <col min="4355" max="4357" width="13.88671875" style="2975" customWidth="1"/>
    <col min="4358" max="4358" width="36.109375" style="2975" customWidth="1"/>
    <col min="4359" max="4359" width="7.88671875" style="2975" customWidth="1"/>
    <col min="4360" max="4360" width="9" style="2975" customWidth="1"/>
    <col min="4361" max="4362" width="10.6640625" style="2975" customWidth="1"/>
    <col min="4363" max="4363" width="14.33203125" style="2975" customWidth="1"/>
    <col min="4364" max="4364" width="6.21875" style="2975" customWidth="1"/>
    <col min="4365" max="4365" width="42.6640625" style="2975" customWidth="1"/>
    <col min="4366" max="4366" width="7.88671875" style="2975" customWidth="1"/>
    <col min="4367" max="4608" width="9" style="2975"/>
    <col min="4609" max="4609" width="39" style="2975" customWidth="1"/>
    <col min="4610" max="4610" width="6.21875" style="2975" customWidth="1"/>
    <col min="4611" max="4613" width="13.88671875" style="2975" customWidth="1"/>
    <col min="4614" max="4614" width="36.109375" style="2975" customWidth="1"/>
    <col min="4615" max="4615" width="7.88671875" style="2975" customWidth="1"/>
    <col min="4616" max="4616" width="9" style="2975" customWidth="1"/>
    <col min="4617" max="4618" width="10.6640625" style="2975" customWidth="1"/>
    <col min="4619" max="4619" width="14.33203125" style="2975" customWidth="1"/>
    <col min="4620" max="4620" width="6.21875" style="2975" customWidth="1"/>
    <col min="4621" max="4621" width="42.6640625" style="2975" customWidth="1"/>
    <col min="4622" max="4622" width="7.88671875" style="2975" customWidth="1"/>
    <col min="4623" max="4864" width="9" style="2975"/>
    <col min="4865" max="4865" width="39" style="2975" customWidth="1"/>
    <col min="4866" max="4866" width="6.21875" style="2975" customWidth="1"/>
    <col min="4867" max="4869" width="13.88671875" style="2975" customWidth="1"/>
    <col min="4870" max="4870" width="36.109375" style="2975" customWidth="1"/>
    <col min="4871" max="4871" width="7.88671875" style="2975" customWidth="1"/>
    <col min="4872" max="4872" width="9" style="2975" customWidth="1"/>
    <col min="4873" max="4874" width="10.6640625" style="2975" customWidth="1"/>
    <col min="4875" max="4875" width="14.33203125" style="2975" customWidth="1"/>
    <col min="4876" max="4876" width="6.21875" style="2975" customWidth="1"/>
    <col min="4877" max="4877" width="42.6640625" style="2975" customWidth="1"/>
    <col min="4878" max="4878" width="7.88671875" style="2975" customWidth="1"/>
    <col min="4879" max="5120" width="9" style="2975"/>
    <col min="5121" max="5121" width="39" style="2975" customWidth="1"/>
    <col min="5122" max="5122" width="6.21875" style="2975" customWidth="1"/>
    <col min="5123" max="5125" width="13.88671875" style="2975" customWidth="1"/>
    <col min="5126" max="5126" width="36.109375" style="2975" customWidth="1"/>
    <col min="5127" max="5127" width="7.88671875" style="2975" customWidth="1"/>
    <col min="5128" max="5128" width="9" style="2975" customWidth="1"/>
    <col min="5129" max="5130" width="10.6640625" style="2975" customWidth="1"/>
    <col min="5131" max="5131" width="14.33203125" style="2975" customWidth="1"/>
    <col min="5132" max="5132" width="6.21875" style="2975" customWidth="1"/>
    <col min="5133" max="5133" width="42.6640625" style="2975" customWidth="1"/>
    <col min="5134" max="5134" width="7.88671875" style="2975" customWidth="1"/>
    <col min="5135" max="5376" width="9" style="2975"/>
    <col min="5377" max="5377" width="39" style="2975" customWidth="1"/>
    <col min="5378" max="5378" width="6.21875" style="2975" customWidth="1"/>
    <col min="5379" max="5381" width="13.88671875" style="2975" customWidth="1"/>
    <col min="5382" max="5382" width="36.109375" style="2975" customWidth="1"/>
    <col min="5383" max="5383" width="7.88671875" style="2975" customWidth="1"/>
    <col min="5384" max="5384" width="9" style="2975" customWidth="1"/>
    <col min="5385" max="5386" width="10.6640625" style="2975" customWidth="1"/>
    <col min="5387" max="5387" width="14.33203125" style="2975" customWidth="1"/>
    <col min="5388" max="5388" width="6.21875" style="2975" customWidth="1"/>
    <col min="5389" max="5389" width="42.6640625" style="2975" customWidth="1"/>
    <col min="5390" max="5390" width="7.88671875" style="2975" customWidth="1"/>
    <col min="5391" max="5632" width="9" style="2975"/>
    <col min="5633" max="5633" width="39" style="2975" customWidth="1"/>
    <col min="5634" max="5634" width="6.21875" style="2975" customWidth="1"/>
    <col min="5635" max="5637" width="13.88671875" style="2975" customWidth="1"/>
    <col min="5638" max="5638" width="36.109375" style="2975" customWidth="1"/>
    <col min="5639" max="5639" width="7.88671875" style="2975" customWidth="1"/>
    <col min="5640" max="5640" width="9" style="2975" customWidth="1"/>
    <col min="5641" max="5642" width="10.6640625" style="2975" customWidth="1"/>
    <col min="5643" max="5643" width="14.33203125" style="2975" customWidth="1"/>
    <col min="5644" max="5644" width="6.21875" style="2975" customWidth="1"/>
    <col min="5645" max="5645" width="42.6640625" style="2975" customWidth="1"/>
    <col min="5646" max="5646" width="7.88671875" style="2975" customWidth="1"/>
    <col min="5647" max="5888" width="9" style="2975"/>
    <col min="5889" max="5889" width="39" style="2975" customWidth="1"/>
    <col min="5890" max="5890" width="6.21875" style="2975" customWidth="1"/>
    <col min="5891" max="5893" width="13.88671875" style="2975" customWidth="1"/>
    <col min="5894" max="5894" width="36.109375" style="2975" customWidth="1"/>
    <col min="5895" max="5895" width="7.88671875" style="2975" customWidth="1"/>
    <col min="5896" max="5896" width="9" style="2975" customWidth="1"/>
    <col min="5897" max="5898" width="10.6640625" style="2975" customWidth="1"/>
    <col min="5899" max="5899" width="14.33203125" style="2975" customWidth="1"/>
    <col min="5900" max="5900" width="6.21875" style="2975" customWidth="1"/>
    <col min="5901" max="5901" width="42.6640625" style="2975" customWidth="1"/>
    <col min="5902" max="5902" width="7.88671875" style="2975" customWidth="1"/>
    <col min="5903" max="6144" width="9" style="2975"/>
    <col min="6145" max="6145" width="39" style="2975" customWidth="1"/>
    <col min="6146" max="6146" width="6.21875" style="2975" customWidth="1"/>
    <col min="6147" max="6149" width="13.88671875" style="2975" customWidth="1"/>
    <col min="6150" max="6150" width="36.109375" style="2975" customWidth="1"/>
    <col min="6151" max="6151" width="7.88671875" style="2975" customWidth="1"/>
    <col min="6152" max="6152" width="9" style="2975" customWidth="1"/>
    <col min="6153" max="6154" width="10.6640625" style="2975" customWidth="1"/>
    <col min="6155" max="6155" width="14.33203125" style="2975" customWidth="1"/>
    <col min="6156" max="6156" width="6.21875" style="2975" customWidth="1"/>
    <col min="6157" max="6157" width="42.6640625" style="2975" customWidth="1"/>
    <col min="6158" max="6158" width="7.88671875" style="2975" customWidth="1"/>
    <col min="6159" max="6400" width="9" style="2975"/>
    <col min="6401" max="6401" width="39" style="2975" customWidth="1"/>
    <col min="6402" max="6402" width="6.21875" style="2975" customWidth="1"/>
    <col min="6403" max="6405" width="13.88671875" style="2975" customWidth="1"/>
    <col min="6406" max="6406" width="36.109375" style="2975" customWidth="1"/>
    <col min="6407" max="6407" width="7.88671875" style="2975" customWidth="1"/>
    <col min="6408" max="6408" width="9" style="2975" customWidth="1"/>
    <col min="6409" max="6410" width="10.6640625" style="2975" customWidth="1"/>
    <col min="6411" max="6411" width="14.33203125" style="2975" customWidth="1"/>
    <col min="6412" max="6412" width="6.21875" style="2975" customWidth="1"/>
    <col min="6413" max="6413" width="42.6640625" style="2975" customWidth="1"/>
    <col min="6414" max="6414" width="7.88671875" style="2975" customWidth="1"/>
    <col min="6415" max="6656" width="9" style="2975"/>
    <col min="6657" max="6657" width="39" style="2975" customWidth="1"/>
    <col min="6658" max="6658" width="6.21875" style="2975" customWidth="1"/>
    <col min="6659" max="6661" width="13.88671875" style="2975" customWidth="1"/>
    <col min="6662" max="6662" width="36.109375" style="2975" customWidth="1"/>
    <col min="6663" max="6663" width="7.88671875" style="2975" customWidth="1"/>
    <col min="6664" max="6664" width="9" style="2975" customWidth="1"/>
    <col min="6665" max="6666" width="10.6640625" style="2975" customWidth="1"/>
    <col min="6667" max="6667" width="14.33203125" style="2975" customWidth="1"/>
    <col min="6668" max="6668" width="6.21875" style="2975" customWidth="1"/>
    <col min="6669" max="6669" width="42.6640625" style="2975" customWidth="1"/>
    <col min="6670" max="6670" width="7.88671875" style="2975" customWidth="1"/>
    <col min="6671" max="6912" width="9" style="2975"/>
    <col min="6913" max="6913" width="39" style="2975" customWidth="1"/>
    <col min="6914" max="6914" width="6.21875" style="2975" customWidth="1"/>
    <col min="6915" max="6917" width="13.88671875" style="2975" customWidth="1"/>
    <col min="6918" max="6918" width="36.109375" style="2975" customWidth="1"/>
    <col min="6919" max="6919" width="7.88671875" style="2975" customWidth="1"/>
    <col min="6920" max="6920" width="9" style="2975" customWidth="1"/>
    <col min="6921" max="6922" width="10.6640625" style="2975" customWidth="1"/>
    <col min="6923" max="6923" width="14.33203125" style="2975" customWidth="1"/>
    <col min="6924" max="6924" width="6.21875" style="2975" customWidth="1"/>
    <col min="6925" max="6925" width="42.6640625" style="2975" customWidth="1"/>
    <col min="6926" max="6926" width="7.88671875" style="2975" customWidth="1"/>
    <col min="6927" max="7168" width="9" style="2975"/>
    <col min="7169" max="7169" width="39" style="2975" customWidth="1"/>
    <col min="7170" max="7170" width="6.21875" style="2975" customWidth="1"/>
    <col min="7171" max="7173" width="13.88671875" style="2975" customWidth="1"/>
    <col min="7174" max="7174" width="36.109375" style="2975" customWidth="1"/>
    <col min="7175" max="7175" width="7.88671875" style="2975" customWidth="1"/>
    <col min="7176" max="7176" width="9" style="2975" customWidth="1"/>
    <col min="7177" max="7178" width="10.6640625" style="2975" customWidth="1"/>
    <col min="7179" max="7179" width="14.33203125" style="2975" customWidth="1"/>
    <col min="7180" max="7180" width="6.21875" style="2975" customWidth="1"/>
    <col min="7181" max="7181" width="42.6640625" style="2975" customWidth="1"/>
    <col min="7182" max="7182" width="7.88671875" style="2975" customWidth="1"/>
    <col min="7183" max="7424" width="9" style="2975"/>
    <col min="7425" max="7425" width="39" style="2975" customWidth="1"/>
    <col min="7426" max="7426" width="6.21875" style="2975" customWidth="1"/>
    <col min="7427" max="7429" width="13.88671875" style="2975" customWidth="1"/>
    <col min="7430" max="7430" width="36.109375" style="2975" customWidth="1"/>
    <col min="7431" max="7431" width="7.88671875" style="2975" customWidth="1"/>
    <col min="7432" max="7432" width="9" style="2975" customWidth="1"/>
    <col min="7433" max="7434" width="10.6640625" style="2975" customWidth="1"/>
    <col min="7435" max="7435" width="14.33203125" style="2975" customWidth="1"/>
    <col min="7436" max="7436" width="6.21875" style="2975" customWidth="1"/>
    <col min="7437" max="7437" width="42.6640625" style="2975" customWidth="1"/>
    <col min="7438" max="7438" width="7.88671875" style="2975" customWidth="1"/>
    <col min="7439" max="7680" width="9" style="2975"/>
    <col min="7681" max="7681" width="39" style="2975" customWidth="1"/>
    <col min="7682" max="7682" width="6.21875" style="2975" customWidth="1"/>
    <col min="7683" max="7685" width="13.88671875" style="2975" customWidth="1"/>
    <col min="7686" max="7686" width="36.109375" style="2975" customWidth="1"/>
    <col min="7687" max="7687" width="7.88671875" style="2975" customWidth="1"/>
    <col min="7688" max="7688" width="9" style="2975" customWidth="1"/>
    <col min="7689" max="7690" width="10.6640625" style="2975" customWidth="1"/>
    <col min="7691" max="7691" width="14.33203125" style="2975" customWidth="1"/>
    <col min="7692" max="7692" width="6.21875" style="2975" customWidth="1"/>
    <col min="7693" max="7693" width="42.6640625" style="2975" customWidth="1"/>
    <col min="7694" max="7694" width="7.88671875" style="2975" customWidth="1"/>
    <col min="7695" max="7936" width="9" style="2975"/>
    <col min="7937" max="7937" width="39" style="2975" customWidth="1"/>
    <col min="7938" max="7938" width="6.21875" style="2975" customWidth="1"/>
    <col min="7939" max="7941" width="13.88671875" style="2975" customWidth="1"/>
    <col min="7942" max="7942" width="36.109375" style="2975" customWidth="1"/>
    <col min="7943" max="7943" width="7.88671875" style="2975" customWidth="1"/>
    <col min="7944" max="7944" width="9" style="2975" customWidth="1"/>
    <col min="7945" max="7946" width="10.6640625" style="2975" customWidth="1"/>
    <col min="7947" max="7947" width="14.33203125" style="2975" customWidth="1"/>
    <col min="7948" max="7948" width="6.21875" style="2975" customWidth="1"/>
    <col min="7949" max="7949" width="42.6640625" style="2975" customWidth="1"/>
    <col min="7950" max="7950" width="7.88671875" style="2975" customWidth="1"/>
    <col min="7951" max="8192" width="9" style="2975"/>
    <col min="8193" max="8193" width="39" style="2975" customWidth="1"/>
    <col min="8194" max="8194" width="6.21875" style="2975" customWidth="1"/>
    <col min="8195" max="8197" width="13.88671875" style="2975" customWidth="1"/>
    <col min="8198" max="8198" width="36.109375" style="2975" customWidth="1"/>
    <col min="8199" max="8199" width="7.88671875" style="2975" customWidth="1"/>
    <col min="8200" max="8200" width="9" style="2975" customWidth="1"/>
    <col min="8201" max="8202" width="10.6640625" style="2975" customWidth="1"/>
    <col min="8203" max="8203" width="14.33203125" style="2975" customWidth="1"/>
    <col min="8204" max="8204" width="6.21875" style="2975" customWidth="1"/>
    <col min="8205" max="8205" width="42.6640625" style="2975" customWidth="1"/>
    <col min="8206" max="8206" width="7.88671875" style="2975" customWidth="1"/>
    <col min="8207" max="8448" width="9" style="2975"/>
    <col min="8449" max="8449" width="39" style="2975" customWidth="1"/>
    <col min="8450" max="8450" width="6.21875" style="2975" customWidth="1"/>
    <col min="8451" max="8453" width="13.88671875" style="2975" customWidth="1"/>
    <col min="8454" max="8454" width="36.109375" style="2975" customWidth="1"/>
    <col min="8455" max="8455" width="7.88671875" style="2975" customWidth="1"/>
    <col min="8456" max="8456" width="9" style="2975" customWidth="1"/>
    <col min="8457" max="8458" width="10.6640625" style="2975" customWidth="1"/>
    <col min="8459" max="8459" width="14.33203125" style="2975" customWidth="1"/>
    <col min="8460" max="8460" width="6.21875" style="2975" customWidth="1"/>
    <col min="8461" max="8461" width="42.6640625" style="2975" customWidth="1"/>
    <col min="8462" max="8462" width="7.88671875" style="2975" customWidth="1"/>
    <col min="8463" max="8704" width="9" style="2975"/>
    <col min="8705" max="8705" width="39" style="2975" customWidth="1"/>
    <col min="8706" max="8706" width="6.21875" style="2975" customWidth="1"/>
    <col min="8707" max="8709" width="13.88671875" style="2975" customWidth="1"/>
    <col min="8710" max="8710" width="36.109375" style="2975" customWidth="1"/>
    <col min="8711" max="8711" width="7.88671875" style="2975" customWidth="1"/>
    <col min="8712" max="8712" width="9" style="2975" customWidth="1"/>
    <col min="8713" max="8714" width="10.6640625" style="2975" customWidth="1"/>
    <col min="8715" max="8715" width="14.33203125" style="2975" customWidth="1"/>
    <col min="8716" max="8716" width="6.21875" style="2975" customWidth="1"/>
    <col min="8717" max="8717" width="42.6640625" style="2975" customWidth="1"/>
    <col min="8718" max="8718" width="7.88671875" style="2975" customWidth="1"/>
    <col min="8719" max="8960" width="9" style="2975"/>
    <col min="8961" max="8961" width="39" style="2975" customWidth="1"/>
    <col min="8962" max="8962" width="6.21875" style="2975" customWidth="1"/>
    <col min="8963" max="8965" width="13.88671875" style="2975" customWidth="1"/>
    <col min="8966" max="8966" width="36.109375" style="2975" customWidth="1"/>
    <col min="8967" max="8967" width="7.88671875" style="2975" customWidth="1"/>
    <col min="8968" max="8968" width="9" style="2975" customWidth="1"/>
    <col min="8969" max="8970" width="10.6640625" style="2975" customWidth="1"/>
    <col min="8971" max="8971" width="14.33203125" style="2975" customWidth="1"/>
    <col min="8972" max="8972" width="6.21875" style="2975" customWidth="1"/>
    <col min="8973" max="8973" width="42.6640625" style="2975" customWidth="1"/>
    <col min="8974" max="8974" width="7.88671875" style="2975" customWidth="1"/>
    <col min="8975" max="9216" width="9" style="2975"/>
    <col min="9217" max="9217" width="39" style="2975" customWidth="1"/>
    <col min="9218" max="9218" width="6.21875" style="2975" customWidth="1"/>
    <col min="9219" max="9221" width="13.88671875" style="2975" customWidth="1"/>
    <col min="9222" max="9222" width="36.109375" style="2975" customWidth="1"/>
    <col min="9223" max="9223" width="7.88671875" style="2975" customWidth="1"/>
    <col min="9224" max="9224" width="9" style="2975" customWidth="1"/>
    <col min="9225" max="9226" width="10.6640625" style="2975" customWidth="1"/>
    <col min="9227" max="9227" width="14.33203125" style="2975" customWidth="1"/>
    <col min="9228" max="9228" width="6.21875" style="2975" customWidth="1"/>
    <col min="9229" max="9229" width="42.6640625" style="2975" customWidth="1"/>
    <col min="9230" max="9230" width="7.88671875" style="2975" customWidth="1"/>
    <col min="9231" max="9472" width="9" style="2975"/>
    <col min="9473" max="9473" width="39" style="2975" customWidth="1"/>
    <col min="9474" max="9474" width="6.21875" style="2975" customWidth="1"/>
    <col min="9475" max="9477" width="13.88671875" style="2975" customWidth="1"/>
    <col min="9478" max="9478" width="36.109375" style="2975" customWidth="1"/>
    <col min="9479" max="9479" width="7.88671875" style="2975" customWidth="1"/>
    <col min="9480" max="9480" width="9" style="2975" customWidth="1"/>
    <col min="9481" max="9482" width="10.6640625" style="2975" customWidth="1"/>
    <col min="9483" max="9483" width="14.33203125" style="2975" customWidth="1"/>
    <col min="9484" max="9484" width="6.21875" style="2975" customWidth="1"/>
    <col min="9485" max="9485" width="42.6640625" style="2975" customWidth="1"/>
    <col min="9486" max="9486" width="7.88671875" style="2975" customWidth="1"/>
    <col min="9487" max="9728" width="9" style="2975"/>
    <col min="9729" max="9729" width="39" style="2975" customWidth="1"/>
    <col min="9730" max="9730" width="6.21875" style="2975" customWidth="1"/>
    <col min="9731" max="9733" width="13.88671875" style="2975" customWidth="1"/>
    <col min="9734" max="9734" width="36.109375" style="2975" customWidth="1"/>
    <col min="9735" max="9735" width="7.88671875" style="2975" customWidth="1"/>
    <col min="9736" max="9736" width="9" style="2975" customWidth="1"/>
    <col min="9737" max="9738" width="10.6640625" style="2975" customWidth="1"/>
    <col min="9739" max="9739" width="14.33203125" style="2975" customWidth="1"/>
    <col min="9740" max="9740" width="6.21875" style="2975" customWidth="1"/>
    <col min="9741" max="9741" width="42.6640625" style="2975" customWidth="1"/>
    <col min="9742" max="9742" width="7.88671875" style="2975" customWidth="1"/>
    <col min="9743" max="9984" width="9" style="2975"/>
    <col min="9985" max="9985" width="39" style="2975" customWidth="1"/>
    <col min="9986" max="9986" width="6.21875" style="2975" customWidth="1"/>
    <col min="9987" max="9989" width="13.88671875" style="2975" customWidth="1"/>
    <col min="9990" max="9990" width="36.109375" style="2975" customWidth="1"/>
    <col min="9991" max="9991" width="7.88671875" style="2975" customWidth="1"/>
    <col min="9992" max="9992" width="9" style="2975" customWidth="1"/>
    <col min="9993" max="9994" width="10.6640625" style="2975" customWidth="1"/>
    <col min="9995" max="9995" width="14.33203125" style="2975" customWidth="1"/>
    <col min="9996" max="9996" width="6.21875" style="2975" customWidth="1"/>
    <col min="9997" max="9997" width="42.6640625" style="2975" customWidth="1"/>
    <col min="9998" max="9998" width="7.88671875" style="2975" customWidth="1"/>
    <col min="9999" max="10240" width="9" style="2975"/>
    <col min="10241" max="10241" width="39" style="2975" customWidth="1"/>
    <col min="10242" max="10242" width="6.21875" style="2975" customWidth="1"/>
    <col min="10243" max="10245" width="13.88671875" style="2975" customWidth="1"/>
    <col min="10246" max="10246" width="36.109375" style="2975" customWidth="1"/>
    <col min="10247" max="10247" width="7.88671875" style="2975" customWidth="1"/>
    <col min="10248" max="10248" width="9" style="2975" customWidth="1"/>
    <col min="10249" max="10250" width="10.6640625" style="2975" customWidth="1"/>
    <col min="10251" max="10251" width="14.33203125" style="2975" customWidth="1"/>
    <col min="10252" max="10252" width="6.21875" style="2975" customWidth="1"/>
    <col min="10253" max="10253" width="42.6640625" style="2975" customWidth="1"/>
    <col min="10254" max="10254" width="7.88671875" style="2975" customWidth="1"/>
    <col min="10255" max="10496" width="9" style="2975"/>
    <col min="10497" max="10497" width="39" style="2975" customWidth="1"/>
    <col min="10498" max="10498" width="6.21875" style="2975" customWidth="1"/>
    <col min="10499" max="10501" width="13.88671875" style="2975" customWidth="1"/>
    <col min="10502" max="10502" width="36.109375" style="2975" customWidth="1"/>
    <col min="10503" max="10503" width="7.88671875" style="2975" customWidth="1"/>
    <col min="10504" max="10504" width="9" style="2975" customWidth="1"/>
    <col min="10505" max="10506" width="10.6640625" style="2975" customWidth="1"/>
    <col min="10507" max="10507" width="14.33203125" style="2975" customWidth="1"/>
    <col min="10508" max="10508" width="6.21875" style="2975" customWidth="1"/>
    <col min="10509" max="10509" width="42.6640625" style="2975" customWidth="1"/>
    <col min="10510" max="10510" width="7.88671875" style="2975" customWidth="1"/>
    <col min="10511" max="10752" width="9" style="2975"/>
    <col min="10753" max="10753" width="39" style="2975" customWidth="1"/>
    <col min="10754" max="10754" width="6.21875" style="2975" customWidth="1"/>
    <col min="10755" max="10757" width="13.88671875" style="2975" customWidth="1"/>
    <col min="10758" max="10758" width="36.109375" style="2975" customWidth="1"/>
    <col min="10759" max="10759" width="7.88671875" style="2975" customWidth="1"/>
    <col min="10760" max="10760" width="9" style="2975" customWidth="1"/>
    <col min="10761" max="10762" width="10.6640625" style="2975" customWidth="1"/>
    <col min="10763" max="10763" width="14.33203125" style="2975" customWidth="1"/>
    <col min="10764" max="10764" width="6.21875" style="2975" customWidth="1"/>
    <col min="10765" max="10765" width="42.6640625" style="2975" customWidth="1"/>
    <col min="10766" max="10766" width="7.88671875" style="2975" customWidth="1"/>
    <col min="10767" max="11008" width="9" style="2975"/>
    <col min="11009" max="11009" width="39" style="2975" customWidth="1"/>
    <col min="11010" max="11010" width="6.21875" style="2975" customWidth="1"/>
    <col min="11011" max="11013" width="13.88671875" style="2975" customWidth="1"/>
    <col min="11014" max="11014" width="36.109375" style="2975" customWidth="1"/>
    <col min="11015" max="11015" width="7.88671875" style="2975" customWidth="1"/>
    <col min="11016" max="11016" width="9" style="2975" customWidth="1"/>
    <col min="11017" max="11018" width="10.6640625" style="2975" customWidth="1"/>
    <col min="11019" max="11019" width="14.33203125" style="2975" customWidth="1"/>
    <col min="11020" max="11020" width="6.21875" style="2975" customWidth="1"/>
    <col min="11021" max="11021" width="42.6640625" style="2975" customWidth="1"/>
    <col min="11022" max="11022" width="7.88671875" style="2975" customWidth="1"/>
    <col min="11023" max="11264" width="9" style="2975"/>
    <col min="11265" max="11265" width="39" style="2975" customWidth="1"/>
    <col min="11266" max="11266" width="6.21875" style="2975" customWidth="1"/>
    <col min="11267" max="11269" width="13.88671875" style="2975" customWidth="1"/>
    <col min="11270" max="11270" width="36.109375" style="2975" customWidth="1"/>
    <col min="11271" max="11271" width="7.88671875" style="2975" customWidth="1"/>
    <col min="11272" max="11272" width="9" style="2975" customWidth="1"/>
    <col min="11273" max="11274" width="10.6640625" style="2975" customWidth="1"/>
    <col min="11275" max="11275" width="14.33203125" style="2975" customWidth="1"/>
    <col min="11276" max="11276" width="6.21875" style="2975" customWidth="1"/>
    <col min="11277" max="11277" width="42.6640625" style="2975" customWidth="1"/>
    <col min="11278" max="11278" width="7.88671875" style="2975" customWidth="1"/>
    <col min="11279" max="11520" width="9" style="2975"/>
    <col min="11521" max="11521" width="39" style="2975" customWidth="1"/>
    <col min="11522" max="11522" width="6.21875" style="2975" customWidth="1"/>
    <col min="11523" max="11525" width="13.88671875" style="2975" customWidth="1"/>
    <col min="11526" max="11526" width="36.109375" style="2975" customWidth="1"/>
    <col min="11527" max="11527" width="7.88671875" style="2975" customWidth="1"/>
    <col min="11528" max="11528" width="9" style="2975" customWidth="1"/>
    <col min="11529" max="11530" width="10.6640625" style="2975" customWidth="1"/>
    <col min="11531" max="11531" width="14.33203125" style="2975" customWidth="1"/>
    <col min="11532" max="11532" width="6.21875" style="2975" customWidth="1"/>
    <col min="11533" max="11533" width="42.6640625" style="2975" customWidth="1"/>
    <col min="11534" max="11534" width="7.88671875" style="2975" customWidth="1"/>
    <col min="11535" max="11776" width="9" style="2975"/>
    <col min="11777" max="11777" width="39" style="2975" customWidth="1"/>
    <col min="11778" max="11778" width="6.21875" style="2975" customWidth="1"/>
    <col min="11779" max="11781" width="13.88671875" style="2975" customWidth="1"/>
    <col min="11782" max="11782" width="36.109375" style="2975" customWidth="1"/>
    <col min="11783" max="11783" width="7.88671875" style="2975" customWidth="1"/>
    <col min="11784" max="11784" width="9" style="2975" customWidth="1"/>
    <col min="11785" max="11786" width="10.6640625" style="2975" customWidth="1"/>
    <col min="11787" max="11787" width="14.33203125" style="2975" customWidth="1"/>
    <col min="11788" max="11788" width="6.21875" style="2975" customWidth="1"/>
    <col min="11789" max="11789" width="42.6640625" style="2975" customWidth="1"/>
    <col min="11790" max="11790" width="7.88671875" style="2975" customWidth="1"/>
    <col min="11791" max="12032" width="9" style="2975"/>
    <col min="12033" max="12033" width="39" style="2975" customWidth="1"/>
    <col min="12034" max="12034" width="6.21875" style="2975" customWidth="1"/>
    <col min="12035" max="12037" width="13.88671875" style="2975" customWidth="1"/>
    <col min="12038" max="12038" width="36.109375" style="2975" customWidth="1"/>
    <col min="12039" max="12039" width="7.88671875" style="2975" customWidth="1"/>
    <col min="12040" max="12040" width="9" style="2975" customWidth="1"/>
    <col min="12041" max="12042" width="10.6640625" style="2975" customWidth="1"/>
    <col min="12043" max="12043" width="14.33203125" style="2975" customWidth="1"/>
    <col min="12044" max="12044" width="6.21875" style="2975" customWidth="1"/>
    <col min="12045" max="12045" width="42.6640625" style="2975" customWidth="1"/>
    <col min="12046" max="12046" width="7.88671875" style="2975" customWidth="1"/>
    <col min="12047" max="12288" width="9" style="2975"/>
    <col min="12289" max="12289" width="39" style="2975" customWidth="1"/>
    <col min="12290" max="12290" width="6.21875" style="2975" customWidth="1"/>
    <col min="12291" max="12293" width="13.88671875" style="2975" customWidth="1"/>
    <col min="12294" max="12294" width="36.109375" style="2975" customWidth="1"/>
    <col min="12295" max="12295" width="7.88671875" style="2975" customWidth="1"/>
    <col min="12296" max="12296" width="9" style="2975" customWidth="1"/>
    <col min="12297" max="12298" width="10.6640625" style="2975" customWidth="1"/>
    <col min="12299" max="12299" width="14.33203125" style="2975" customWidth="1"/>
    <col min="12300" max="12300" width="6.21875" style="2975" customWidth="1"/>
    <col min="12301" max="12301" width="42.6640625" style="2975" customWidth="1"/>
    <col min="12302" max="12302" width="7.88671875" style="2975" customWidth="1"/>
    <col min="12303" max="12544" width="9" style="2975"/>
    <col min="12545" max="12545" width="39" style="2975" customWidth="1"/>
    <col min="12546" max="12546" width="6.21875" style="2975" customWidth="1"/>
    <col min="12547" max="12549" width="13.88671875" style="2975" customWidth="1"/>
    <col min="12550" max="12550" width="36.109375" style="2975" customWidth="1"/>
    <col min="12551" max="12551" width="7.88671875" style="2975" customWidth="1"/>
    <col min="12552" max="12552" width="9" style="2975" customWidth="1"/>
    <col min="12553" max="12554" width="10.6640625" style="2975" customWidth="1"/>
    <col min="12555" max="12555" width="14.33203125" style="2975" customWidth="1"/>
    <col min="12556" max="12556" width="6.21875" style="2975" customWidth="1"/>
    <col min="12557" max="12557" width="42.6640625" style="2975" customWidth="1"/>
    <col min="12558" max="12558" width="7.88671875" style="2975" customWidth="1"/>
    <col min="12559" max="12800" width="9" style="2975"/>
    <col min="12801" max="12801" width="39" style="2975" customWidth="1"/>
    <col min="12802" max="12802" width="6.21875" style="2975" customWidth="1"/>
    <col min="12803" max="12805" width="13.88671875" style="2975" customWidth="1"/>
    <col min="12806" max="12806" width="36.109375" style="2975" customWidth="1"/>
    <col min="12807" max="12807" width="7.88671875" style="2975" customWidth="1"/>
    <col min="12808" max="12808" width="9" style="2975" customWidth="1"/>
    <col min="12809" max="12810" width="10.6640625" style="2975" customWidth="1"/>
    <col min="12811" max="12811" width="14.33203125" style="2975" customWidth="1"/>
    <col min="12812" max="12812" width="6.21875" style="2975" customWidth="1"/>
    <col min="12813" max="12813" width="42.6640625" style="2975" customWidth="1"/>
    <col min="12814" max="12814" width="7.88671875" style="2975" customWidth="1"/>
    <col min="12815" max="13056" width="9" style="2975"/>
    <col min="13057" max="13057" width="39" style="2975" customWidth="1"/>
    <col min="13058" max="13058" width="6.21875" style="2975" customWidth="1"/>
    <col min="13059" max="13061" width="13.88671875" style="2975" customWidth="1"/>
    <col min="13062" max="13062" width="36.109375" style="2975" customWidth="1"/>
    <col min="13063" max="13063" width="7.88671875" style="2975" customWidth="1"/>
    <col min="13064" max="13064" width="9" style="2975" customWidth="1"/>
    <col min="13065" max="13066" width="10.6640625" style="2975" customWidth="1"/>
    <col min="13067" max="13067" width="14.33203125" style="2975" customWidth="1"/>
    <col min="13068" max="13068" width="6.21875" style="2975" customWidth="1"/>
    <col min="13069" max="13069" width="42.6640625" style="2975" customWidth="1"/>
    <col min="13070" max="13070" width="7.88671875" style="2975" customWidth="1"/>
    <col min="13071" max="13312" width="9" style="2975"/>
    <col min="13313" max="13313" width="39" style="2975" customWidth="1"/>
    <col min="13314" max="13314" width="6.21875" style="2975" customWidth="1"/>
    <col min="13315" max="13317" width="13.88671875" style="2975" customWidth="1"/>
    <col min="13318" max="13318" width="36.109375" style="2975" customWidth="1"/>
    <col min="13319" max="13319" width="7.88671875" style="2975" customWidth="1"/>
    <col min="13320" max="13320" width="9" style="2975" customWidth="1"/>
    <col min="13321" max="13322" width="10.6640625" style="2975" customWidth="1"/>
    <col min="13323" max="13323" width="14.33203125" style="2975" customWidth="1"/>
    <col min="13324" max="13324" width="6.21875" style="2975" customWidth="1"/>
    <col min="13325" max="13325" width="42.6640625" style="2975" customWidth="1"/>
    <col min="13326" max="13326" width="7.88671875" style="2975" customWidth="1"/>
    <col min="13327" max="13568" width="9" style="2975"/>
    <col min="13569" max="13569" width="39" style="2975" customWidth="1"/>
    <col min="13570" max="13570" width="6.21875" style="2975" customWidth="1"/>
    <col min="13571" max="13573" width="13.88671875" style="2975" customWidth="1"/>
    <col min="13574" max="13574" width="36.109375" style="2975" customWidth="1"/>
    <col min="13575" max="13575" width="7.88671875" style="2975" customWidth="1"/>
    <col min="13576" max="13576" width="9" style="2975" customWidth="1"/>
    <col min="13577" max="13578" width="10.6640625" style="2975" customWidth="1"/>
    <col min="13579" max="13579" width="14.33203125" style="2975" customWidth="1"/>
    <col min="13580" max="13580" width="6.21875" style="2975" customWidth="1"/>
    <col min="13581" max="13581" width="42.6640625" style="2975" customWidth="1"/>
    <col min="13582" max="13582" width="7.88671875" style="2975" customWidth="1"/>
    <col min="13583" max="13824" width="9" style="2975"/>
    <col min="13825" max="13825" width="39" style="2975" customWidth="1"/>
    <col min="13826" max="13826" width="6.21875" style="2975" customWidth="1"/>
    <col min="13827" max="13829" width="13.88671875" style="2975" customWidth="1"/>
    <col min="13830" max="13830" width="36.109375" style="2975" customWidth="1"/>
    <col min="13831" max="13831" width="7.88671875" style="2975" customWidth="1"/>
    <col min="13832" max="13832" width="9" style="2975" customWidth="1"/>
    <col min="13833" max="13834" width="10.6640625" style="2975" customWidth="1"/>
    <col min="13835" max="13835" width="14.33203125" style="2975" customWidth="1"/>
    <col min="13836" max="13836" width="6.21875" style="2975" customWidth="1"/>
    <col min="13837" max="13837" width="42.6640625" style="2975" customWidth="1"/>
    <col min="13838" max="13838" width="7.88671875" style="2975" customWidth="1"/>
    <col min="13839" max="14080" width="9" style="2975"/>
    <col min="14081" max="14081" width="39" style="2975" customWidth="1"/>
    <col min="14082" max="14082" width="6.21875" style="2975" customWidth="1"/>
    <col min="14083" max="14085" width="13.88671875" style="2975" customWidth="1"/>
    <col min="14086" max="14086" width="36.109375" style="2975" customWidth="1"/>
    <col min="14087" max="14087" width="7.88671875" style="2975" customWidth="1"/>
    <col min="14088" max="14088" width="9" style="2975" customWidth="1"/>
    <col min="14089" max="14090" width="10.6640625" style="2975" customWidth="1"/>
    <col min="14091" max="14091" width="14.33203125" style="2975" customWidth="1"/>
    <col min="14092" max="14092" width="6.21875" style="2975" customWidth="1"/>
    <col min="14093" max="14093" width="42.6640625" style="2975" customWidth="1"/>
    <col min="14094" max="14094" width="7.88671875" style="2975" customWidth="1"/>
    <col min="14095" max="14336" width="9" style="2975"/>
    <col min="14337" max="14337" width="39" style="2975" customWidth="1"/>
    <col min="14338" max="14338" width="6.21875" style="2975" customWidth="1"/>
    <col min="14339" max="14341" width="13.88671875" style="2975" customWidth="1"/>
    <col min="14342" max="14342" width="36.109375" style="2975" customWidth="1"/>
    <col min="14343" max="14343" width="7.88671875" style="2975" customWidth="1"/>
    <col min="14344" max="14344" width="9" style="2975" customWidth="1"/>
    <col min="14345" max="14346" width="10.6640625" style="2975" customWidth="1"/>
    <col min="14347" max="14347" width="14.33203125" style="2975" customWidth="1"/>
    <col min="14348" max="14348" width="6.21875" style="2975" customWidth="1"/>
    <col min="14349" max="14349" width="42.6640625" style="2975" customWidth="1"/>
    <col min="14350" max="14350" width="7.88671875" style="2975" customWidth="1"/>
    <col min="14351" max="14592" width="9" style="2975"/>
    <col min="14593" max="14593" width="39" style="2975" customWidth="1"/>
    <col min="14594" max="14594" width="6.21875" style="2975" customWidth="1"/>
    <col min="14595" max="14597" width="13.88671875" style="2975" customWidth="1"/>
    <col min="14598" max="14598" width="36.109375" style="2975" customWidth="1"/>
    <col min="14599" max="14599" width="7.88671875" style="2975" customWidth="1"/>
    <col min="14600" max="14600" width="9" style="2975" customWidth="1"/>
    <col min="14601" max="14602" width="10.6640625" style="2975" customWidth="1"/>
    <col min="14603" max="14603" width="14.33203125" style="2975" customWidth="1"/>
    <col min="14604" max="14604" width="6.21875" style="2975" customWidth="1"/>
    <col min="14605" max="14605" width="42.6640625" style="2975" customWidth="1"/>
    <col min="14606" max="14606" width="7.88671875" style="2975" customWidth="1"/>
    <col min="14607" max="14848" width="9" style="2975"/>
    <col min="14849" max="14849" width="39" style="2975" customWidth="1"/>
    <col min="14850" max="14850" width="6.21875" style="2975" customWidth="1"/>
    <col min="14851" max="14853" width="13.88671875" style="2975" customWidth="1"/>
    <col min="14854" max="14854" width="36.109375" style="2975" customWidth="1"/>
    <col min="14855" max="14855" width="7.88671875" style="2975" customWidth="1"/>
    <col min="14856" max="14856" width="9" style="2975" customWidth="1"/>
    <col min="14857" max="14858" width="10.6640625" style="2975" customWidth="1"/>
    <col min="14859" max="14859" width="14.33203125" style="2975" customWidth="1"/>
    <col min="14860" max="14860" width="6.21875" style="2975" customWidth="1"/>
    <col min="14861" max="14861" width="42.6640625" style="2975" customWidth="1"/>
    <col min="14862" max="14862" width="7.88671875" style="2975" customWidth="1"/>
    <col min="14863" max="15104" width="9" style="2975"/>
    <col min="15105" max="15105" width="39" style="2975" customWidth="1"/>
    <col min="15106" max="15106" width="6.21875" style="2975" customWidth="1"/>
    <col min="15107" max="15109" width="13.88671875" style="2975" customWidth="1"/>
    <col min="15110" max="15110" width="36.109375" style="2975" customWidth="1"/>
    <col min="15111" max="15111" width="7.88671875" style="2975" customWidth="1"/>
    <col min="15112" max="15112" width="9" style="2975" customWidth="1"/>
    <col min="15113" max="15114" width="10.6640625" style="2975" customWidth="1"/>
    <col min="15115" max="15115" width="14.33203125" style="2975" customWidth="1"/>
    <col min="15116" max="15116" width="6.21875" style="2975" customWidth="1"/>
    <col min="15117" max="15117" width="42.6640625" style="2975" customWidth="1"/>
    <col min="15118" max="15118" width="7.88671875" style="2975" customWidth="1"/>
    <col min="15119" max="15360" width="9" style="2975"/>
    <col min="15361" max="15361" width="39" style="2975" customWidth="1"/>
    <col min="15362" max="15362" width="6.21875" style="2975" customWidth="1"/>
    <col min="15363" max="15365" width="13.88671875" style="2975" customWidth="1"/>
    <col min="15366" max="15366" width="36.109375" style="2975" customWidth="1"/>
    <col min="15367" max="15367" width="7.88671875" style="2975" customWidth="1"/>
    <col min="15368" max="15368" width="9" style="2975" customWidth="1"/>
    <col min="15369" max="15370" width="10.6640625" style="2975" customWidth="1"/>
    <col min="15371" max="15371" width="14.33203125" style="2975" customWidth="1"/>
    <col min="15372" max="15372" width="6.21875" style="2975" customWidth="1"/>
    <col min="15373" max="15373" width="42.6640625" style="2975" customWidth="1"/>
    <col min="15374" max="15374" width="7.88671875" style="2975" customWidth="1"/>
    <col min="15375" max="15616" width="9" style="2975"/>
    <col min="15617" max="15617" width="39" style="2975" customWidth="1"/>
    <col min="15618" max="15618" width="6.21875" style="2975" customWidth="1"/>
    <col min="15619" max="15621" width="13.88671875" style="2975" customWidth="1"/>
    <col min="15622" max="15622" width="36.109375" style="2975" customWidth="1"/>
    <col min="15623" max="15623" width="7.88671875" style="2975" customWidth="1"/>
    <col min="15624" max="15624" width="9" style="2975" customWidth="1"/>
    <col min="15625" max="15626" width="10.6640625" style="2975" customWidth="1"/>
    <col min="15627" max="15627" width="14.33203125" style="2975" customWidth="1"/>
    <col min="15628" max="15628" width="6.21875" style="2975" customWidth="1"/>
    <col min="15629" max="15629" width="42.6640625" style="2975" customWidth="1"/>
    <col min="15630" max="15630" width="7.88671875" style="2975" customWidth="1"/>
    <col min="15631" max="15872" width="9" style="2975"/>
    <col min="15873" max="15873" width="39" style="2975" customWidth="1"/>
    <col min="15874" max="15874" width="6.21875" style="2975" customWidth="1"/>
    <col min="15875" max="15877" width="13.88671875" style="2975" customWidth="1"/>
    <col min="15878" max="15878" width="36.109375" style="2975" customWidth="1"/>
    <col min="15879" max="15879" width="7.88671875" style="2975" customWidth="1"/>
    <col min="15880" max="15880" width="9" style="2975" customWidth="1"/>
    <col min="15881" max="15882" width="10.6640625" style="2975" customWidth="1"/>
    <col min="15883" max="15883" width="14.33203125" style="2975" customWidth="1"/>
    <col min="15884" max="15884" width="6.21875" style="2975" customWidth="1"/>
    <col min="15885" max="15885" width="42.6640625" style="2975" customWidth="1"/>
    <col min="15886" max="15886" width="7.88671875" style="2975" customWidth="1"/>
    <col min="15887" max="16128" width="9" style="2975"/>
    <col min="16129" max="16129" width="39" style="2975" customWidth="1"/>
    <col min="16130" max="16130" width="6.21875" style="2975" customWidth="1"/>
    <col min="16131" max="16133" width="13.88671875" style="2975" customWidth="1"/>
    <col min="16134" max="16134" width="36.109375" style="2975" customWidth="1"/>
    <col min="16135" max="16135" width="7.88671875" style="2975" customWidth="1"/>
    <col min="16136" max="16136" width="9" style="2975" customWidth="1"/>
    <col min="16137" max="16138" width="10.6640625" style="2975" customWidth="1"/>
    <col min="16139" max="16139" width="14.33203125" style="2975" customWidth="1"/>
    <col min="16140" max="16140" width="6.21875" style="2975" customWidth="1"/>
    <col min="16141" max="16141" width="42.6640625" style="2975" customWidth="1"/>
    <col min="16142" max="16142" width="7.88671875" style="2975" customWidth="1"/>
    <col min="16143" max="16384" width="9" style="2975"/>
  </cols>
  <sheetData>
    <row r="1" spans="1:16">
      <c r="A1" s="2975" t="s">
        <v>3150</v>
      </c>
      <c r="B1" s="2975" t="s">
        <v>3151</v>
      </c>
      <c r="C1" s="2975" t="s">
        <v>3152</v>
      </c>
      <c r="D1" s="2975" t="s">
        <v>3153</v>
      </c>
      <c r="E1" s="2975" t="s">
        <v>3154</v>
      </c>
      <c r="F1" s="2975" t="s">
        <v>3155</v>
      </c>
      <c r="G1" s="2975" t="s">
        <v>3156</v>
      </c>
      <c r="H1" s="2975" t="s">
        <v>3157</v>
      </c>
      <c r="I1" s="2975" t="s">
        <v>3158</v>
      </c>
      <c r="J1" s="2975" t="s">
        <v>3159</v>
      </c>
      <c r="K1" s="2975" t="s">
        <v>3160</v>
      </c>
      <c r="L1" s="2975" t="s">
        <v>3161</v>
      </c>
      <c r="M1" s="2975" t="s">
        <v>3162</v>
      </c>
      <c r="N1" s="2975" t="s">
        <v>3163</v>
      </c>
    </row>
    <row r="2" spans="1:16">
      <c r="A2" s="2975" t="s">
        <v>3164</v>
      </c>
      <c r="B2" s="2975" t="s">
        <v>3165</v>
      </c>
      <c r="C2" s="2975" t="s">
        <v>3166</v>
      </c>
      <c r="D2" s="2975">
        <v>21228</v>
      </c>
      <c r="E2" s="2975">
        <v>55192.800000000003</v>
      </c>
      <c r="F2" s="2975" t="s">
        <v>3167</v>
      </c>
      <c r="G2" s="2975" t="s">
        <v>3168</v>
      </c>
      <c r="H2" s="2975" t="s">
        <v>3169</v>
      </c>
      <c r="I2" s="2975">
        <v>30483</v>
      </c>
      <c r="J2" s="2975">
        <v>30483</v>
      </c>
      <c r="K2" s="2975">
        <v>5523</v>
      </c>
      <c r="L2" s="2975">
        <v>0</v>
      </c>
      <c r="M2" s="2975" t="s">
        <v>3170</v>
      </c>
      <c r="N2" s="2975" t="s">
        <v>3171</v>
      </c>
      <c r="O2" s="2975">
        <f>J2/D2*10000</f>
        <v>14359.807801017523</v>
      </c>
      <c r="P2" s="2975">
        <f>J2/(D2/666.67)</f>
        <v>957.32530667043522</v>
      </c>
    </row>
    <row r="3" spans="1:16">
      <c r="A3" s="2975" t="s">
        <v>3172</v>
      </c>
      <c r="B3" s="2975" t="s">
        <v>3165</v>
      </c>
      <c r="C3" s="2975" t="s">
        <v>3166</v>
      </c>
      <c r="D3" s="2975">
        <v>68048</v>
      </c>
      <c r="E3" s="2975">
        <v>170120</v>
      </c>
      <c r="F3" s="2975" t="s">
        <v>3173</v>
      </c>
      <c r="G3" s="2975" t="s">
        <v>3168</v>
      </c>
      <c r="H3" s="2975" t="s">
        <v>3169</v>
      </c>
      <c r="I3" s="2975">
        <v>97785</v>
      </c>
      <c r="J3" s="2975">
        <v>97785</v>
      </c>
      <c r="K3" s="2975">
        <v>5748</v>
      </c>
      <c r="L3" s="2975">
        <v>0</v>
      </c>
      <c r="M3" s="2975" t="s">
        <v>3170</v>
      </c>
      <c r="N3" s="2975" t="s">
        <v>3171</v>
      </c>
      <c r="O3" s="2975">
        <f t="shared" ref="O3:O51" si="0">J3/D3*10000</f>
        <v>14370.003526922173</v>
      </c>
      <c r="P3" s="2975">
        <f t="shared" ref="P3:P51" si="1">J3/(D3/666.67)</f>
        <v>958.00502512932042</v>
      </c>
    </row>
    <row r="4" spans="1:16" s="2987" customFormat="1">
      <c r="A4" s="2987" t="s">
        <v>3174</v>
      </c>
      <c r="B4" s="2987" t="s">
        <v>3165</v>
      </c>
      <c r="C4" s="2987" t="s">
        <v>3166</v>
      </c>
      <c r="D4" s="2987">
        <v>17916</v>
      </c>
      <c r="E4" s="2987">
        <v>28665.599999999999</v>
      </c>
      <c r="F4" s="2987" t="s">
        <v>3175</v>
      </c>
      <c r="G4" s="2987" t="s">
        <v>3168</v>
      </c>
      <c r="H4" s="2987" t="s">
        <v>3176</v>
      </c>
      <c r="I4" s="2987">
        <v>25800</v>
      </c>
      <c r="J4" s="2987">
        <v>41280</v>
      </c>
      <c r="K4" s="2987">
        <v>14400.54</v>
      </c>
      <c r="L4" s="2987">
        <v>60</v>
      </c>
      <c r="M4" s="2987" t="s">
        <v>3177</v>
      </c>
      <c r="N4" s="2987" t="s">
        <v>3171</v>
      </c>
      <c r="O4" s="2987">
        <f t="shared" si="0"/>
        <v>23040.857334226388</v>
      </c>
      <c r="P4" s="2987">
        <f t="shared" si="1"/>
        <v>1536.0648359008708</v>
      </c>
    </row>
    <row r="5" spans="1:16" s="3325" customFormat="1">
      <c r="A5" s="3325" t="s">
        <v>3178</v>
      </c>
      <c r="B5" s="3325" t="s">
        <v>3165</v>
      </c>
      <c r="C5" s="3325" t="s">
        <v>3166</v>
      </c>
      <c r="D5" s="3325">
        <v>79932</v>
      </c>
      <c r="E5" s="3325">
        <v>111904.8</v>
      </c>
      <c r="F5" s="3325" t="s">
        <v>3179</v>
      </c>
      <c r="G5" s="3325" t="s">
        <v>3168</v>
      </c>
      <c r="H5" s="3325" t="s">
        <v>3180</v>
      </c>
      <c r="I5" s="3325">
        <v>132048</v>
      </c>
      <c r="J5" s="3325">
        <v>132048</v>
      </c>
      <c r="K5" s="3325">
        <v>11800.03</v>
      </c>
      <c r="L5" s="3325">
        <v>0</v>
      </c>
      <c r="M5" s="3325" t="s">
        <v>3181</v>
      </c>
      <c r="N5" s="3325" t="s">
        <v>3182</v>
      </c>
      <c r="O5" s="3325">
        <f t="shared" si="0"/>
        <v>16520.04203573037</v>
      </c>
      <c r="P5" s="3325">
        <f t="shared" si="1"/>
        <v>1101.3416423960366</v>
      </c>
    </row>
    <row r="6" spans="1:16" s="3325" customFormat="1">
      <c r="A6" s="3325" t="s">
        <v>3178</v>
      </c>
      <c r="B6" s="3325" t="s">
        <v>3165</v>
      </c>
      <c r="C6" s="3325" t="s">
        <v>3166</v>
      </c>
      <c r="D6" s="3325">
        <v>33959</v>
      </c>
      <c r="E6" s="3325">
        <v>47542.6</v>
      </c>
      <c r="F6" s="3325" t="s">
        <v>3179</v>
      </c>
      <c r="G6" s="3325" t="s">
        <v>3168</v>
      </c>
      <c r="H6" s="3325" t="s">
        <v>3180</v>
      </c>
      <c r="I6" s="3325">
        <v>55612</v>
      </c>
      <c r="J6" s="3325">
        <v>55612</v>
      </c>
      <c r="K6" s="3325">
        <v>11697.29</v>
      </c>
      <c r="L6" s="3325">
        <v>0</v>
      </c>
      <c r="M6" s="3325" t="s">
        <v>3181</v>
      </c>
      <c r="N6" s="3325" t="s">
        <v>3182</v>
      </c>
      <c r="O6" s="3325">
        <f t="shared" si="0"/>
        <v>16376.218380988839</v>
      </c>
      <c r="P6" s="3325">
        <f t="shared" si="1"/>
        <v>1091.753350805383</v>
      </c>
    </row>
    <row r="7" spans="1:16" s="3325" customFormat="1">
      <c r="A7" s="3325" t="s">
        <v>3178</v>
      </c>
      <c r="B7" s="3325" t="s">
        <v>3165</v>
      </c>
      <c r="C7" s="3325" t="s">
        <v>3166</v>
      </c>
      <c r="D7" s="3325">
        <v>60046</v>
      </c>
      <c r="E7" s="3325">
        <v>84064.4</v>
      </c>
      <c r="F7" s="3325" t="s">
        <v>3179</v>
      </c>
      <c r="G7" s="3325" t="s">
        <v>3168</v>
      </c>
      <c r="H7" s="3325" t="s">
        <v>3180</v>
      </c>
      <c r="I7" s="3325">
        <v>91192</v>
      </c>
      <c r="J7" s="3325">
        <v>91192</v>
      </c>
      <c r="K7" s="3325">
        <v>10847.87</v>
      </c>
      <c r="L7" s="3325">
        <v>0</v>
      </c>
      <c r="M7" s="3325" t="s">
        <v>3181</v>
      </c>
      <c r="N7" s="3325" t="s">
        <v>3171</v>
      </c>
      <c r="O7" s="3325">
        <f t="shared" si="0"/>
        <v>15187.023282150352</v>
      </c>
      <c r="P7" s="3325">
        <f t="shared" si="1"/>
        <v>1012.4732811511174</v>
      </c>
    </row>
    <row r="8" spans="1:16">
      <c r="A8" s="2975" t="s">
        <v>3183</v>
      </c>
      <c r="B8" s="2975" t="s">
        <v>3165</v>
      </c>
      <c r="C8" s="2975" t="s">
        <v>3184</v>
      </c>
      <c r="D8" s="2975">
        <v>33117</v>
      </c>
      <c r="E8" s="2975">
        <v>112929</v>
      </c>
      <c r="F8" s="2975" t="s">
        <v>3185</v>
      </c>
      <c r="G8" s="2975" t="s">
        <v>3168</v>
      </c>
      <c r="H8" s="2975" t="s">
        <v>3186</v>
      </c>
      <c r="I8" s="2975">
        <v>55000</v>
      </c>
      <c r="J8" s="2975">
        <v>55000</v>
      </c>
      <c r="K8" s="2975">
        <v>4870.3100000000004</v>
      </c>
      <c r="L8" s="2975">
        <v>0</v>
      </c>
      <c r="M8" s="2975" t="s">
        <v>3187</v>
      </c>
      <c r="N8" s="2975" t="s">
        <v>3171</v>
      </c>
      <c r="O8" s="2975">
        <f t="shared" si="0"/>
        <v>16607.784521544825</v>
      </c>
      <c r="P8" s="2975">
        <f t="shared" si="1"/>
        <v>1107.1911706978287</v>
      </c>
    </row>
    <row r="9" spans="1:16">
      <c r="A9" s="2975" t="s">
        <v>3188</v>
      </c>
      <c r="B9" s="2975" t="s">
        <v>3165</v>
      </c>
      <c r="C9" s="2975" t="s">
        <v>3184</v>
      </c>
      <c r="D9" s="2975">
        <v>24964</v>
      </c>
      <c r="E9" s="2975">
        <v>86375.44</v>
      </c>
      <c r="F9" s="2975" t="s">
        <v>3189</v>
      </c>
      <c r="G9" s="2975" t="s">
        <v>3168</v>
      </c>
      <c r="H9" s="2975" t="s">
        <v>3186</v>
      </c>
      <c r="I9" s="2975">
        <v>42000</v>
      </c>
      <c r="J9" s="2975">
        <v>42000</v>
      </c>
      <c r="K9" s="2975">
        <v>4862.4799999999996</v>
      </c>
      <c r="L9" s="2975">
        <v>0</v>
      </c>
      <c r="M9" s="2975" t="s">
        <v>3187</v>
      </c>
      <c r="N9" s="2975" t="s">
        <v>3171</v>
      </c>
      <c r="O9" s="2975">
        <f t="shared" si="0"/>
        <v>16824.226886716871</v>
      </c>
      <c r="P9" s="2975">
        <f t="shared" si="1"/>
        <v>1121.6207338567535</v>
      </c>
    </row>
    <row r="10" spans="1:16" s="2987" customFormat="1">
      <c r="A10" s="2987" t="s">
        <v>3190</v>
      </c>
      <c r="B10" s="2987" t="s">
        <v>3165</v>
      </c>
      <c r="C10" s="2987" t="s">
        <v>3166</v>
      </c>
      <c r="D10" s="2987">
        <v>55129</v>
      </c>
      <c r="E10" s="2987">
        <v>180271.8</v>
      </c>
      <c r="F10" s="2987" t="s">
        <v>3191</v>
      </c>
      <c r="G10" s="2987" t="s">
        <v>3168</v>
      </c>
      <c r="H10" s="2987" t="s">
        <v>3186</v>
      </c>
      <c r="I10" s="2987">
        <v>88000</v>
      </c>
      <c r="J10" s="2987">
        <v>88000</v>
      </c>
      <c r="K10" s="2987">
        <v>4881.5200000000004</v>
      </c>
      <c r="L10" s="2987">
        <v>0</v>
      </c>
      <c r="M10" s="2987" t="s">
        <v>3187</v>
      </c>
      <c r="N10" s="2987" t="s">
        <v>3171</v>
      </c>
      <c r="O10" s="2987">
        <f t="shared" si="0"/>
        <v>15962.560539824775</v>
      </c>
      <c r="P10" s="2987">
        <f t="shared" si="1"/>
        <v>1064.1760235084982</v>
      </c>
    </row>
    <row r="11" spans="1:16">
      <c r="A11" s="2975" t="s">
        <v>3192</v>
      </c>
      <c r="B11" s="2975" t="s">
        <v>3165</v>
      </c>
      <c r="C11" s="2975" t="s">
        <v>3166</v>
      </c>
      <c r="D11" s="2975">
        <v>62666</v>
      </c>
      <c r="E11" s="2975">
        <v>100265.60000000001</v>
      </c>
      <c r="F11" s="2975" t="s">
        <v>3193</v>
      </c>
      <c r="G11" s="2975" t="s">
        <v>3168</v>
      </c>
      <c r="H11" s="2975" t="s">
        <v>3194</v>
      </c>
      <c r="I11" s="2975">
        <v>130345.89</v>
      </c>
      <c r="J11" s="2975">
        <v>130345.89</v>
      </c>
      <c r="K11" s="2975">
        <v>13000.05</v>
      </c>
      <c r="L11" s="2975">
        <v>0</v>
      </c>
      <c r="M11" s="2975" t="s">
        <v>3195</v>
      </c>
      <c r="N11" s="2975" t="s">
        <v>3182</v>
      </c>
      <c r="O11" s="2975">
        <f t="shared" si="0"/>
        <v>20800.097341461078</v>
      </c>
      <c r="P11" s="2975">
        <f t="shared" si="1"/>
        <v>1386.6800894631856</v>
      </c>
    </row>
    <row r="12" spans="1:16" s="3325" customFormat="1">
      <c r="A12" s="3325" t="s">
        <v>3196</v>
      </c>
      <c r="B12" s="3325" t="s">
        <v>3165</v>
      </c>
      <c r="C12" s="3325" t="s">
        <v>3166</v>
      </c>
      <c r="D12" s="3325">
        <v>97571</v>
      </c>
      <c r="E12" s="3325">
        <v>156113.60000000001</v>
      </c>
      <c r="F12" s="3325" t="s">
        <v>3193</v>
      </c>
      <c r="G12" s="3325" t="s">
        <v>3168</v>
      </c>
      <c r="H12" s="3325" t="s">
        <v>3194</v>
      </c>
      <c r="I12" s="3325">
        <v>202948.7</v>
      </c>
      <c r="J12" s="3325">
        <v>202948.7</v>
      </c>
      <c r="K12" s="3325">
        <v>13000.06</v>
      </c>
      <c r="L12" s="3325">
        <v>0</v>
      </c>
      <c r="M12" s="3325" t="s">
        <v>3195</v>
      </c>
      <c r="N12" s="3325" t="s">
        <v>3182</v>
      </c>
      <c r="O12" s="3325">
        <f t="shared" si="0"/>
        <v>20800.104539258591</v>
      </c>
      <c r="P12" s="3325">
        <f t="shared" si="1"/>
        <v>1386.6805693187523</v>
      </c>
    </row>
    <row r="13" spans="1:16">
      <c r="A13" s="2975" t="s">
        <v>3197</v>
      </c>
      <c r="B13" s="2975" t="s">
        <v>3165</v>
      </c>
      <c r="C13" s="2975" t="s">
        <v>3166</v>
      </c>
      <c r="D13" s="2975">
        <v>38434</v>
      </c>
      <c r="E13" s="2975">
        <v>61494.400000000001</v>
      </c>
      <c r="F13" s="2975" t="s">
        <v>3193</v>
      </c>
      <c r="G13" s="2975" t="s">
        <v>3168</v>
      </c>
      <c r="H13" s="2975" t="s">
        <v>3194</v>
      </c>
      <c r="I13" s="2975">
        <v>79943.100000000006</v>
      </c>
      <c r="J13" s="2975">
        <v>79943.100000000006</v>
      </c>
      <c r="K13" s="2975">
        <v>13000.05</v>
      </c>
      <c r="L13" s="2975">
        <v>0</v>
      </c>
      <c r="M13" s="2975" t="s">
        <v>3195</v>
      </c>
      <c r="N13" s="2975" t="s">
        <v>3182</v>
      </c>
      <c r="O13" s="2975">
        <f t="shared" si="0"/>
        <v>20800.098870791488</v>
      </c>
      <c r="P13" s="2975">
        <f t="shared" si="1"/>
        <v>1386.680191419056</v>
      </c>
    </row>
    <row r="14" spans="1:16">
      <c r="A14" s="2975" t="s">
        <v>3198</v>
      </c>
      <c r="B14" s="2975" t="s">
        <v>3165</v>
      </c>
      <c r="C14" s="2975" t="s">
        <v>3166</v>
      </c>
      <c r="D14" s="2975">
        <v>80298</v>
      </c>
      <c r="E14" s="2975">
        <v>128476.8</v>
      </c>
      <c r="F14" s="2975" t="s">
        <v>3193</v>
      </c>
      <c r="G14" s="2975" t="s">
        <v>3168</v>
      </c>
      <c r="H14" s="2975" t="s">
        <v>3194</v>
      </c>
      <c r="I14" s="2975">
        <v>167020.70000000001</v>
      </c>
      <c r="J14" s="2975">
        <v>167020.70000000001</v>
      </c>
      <c r="K14" s="2975">
        <v>13000.06</v>
      </c>
      <c r="L14" s="2975">
        <v>0</v>
      </c>
      <c r="M14" s="2975" t="s">
        <v>3195</v>
      </c>
      <c r="N14" s="2975" t="s">
        <v>3182</v>
      </c>
      <c r="O14" s="2975">
        <f t="shared" si="0"/>
        <v>20800.107101048594</v>
      </c>
      <c r="P14" s="2975">
        <f t="shared" si="1"/>
        <v>1386.6807401056067</v>
      </c>
    </row>
    <row r="15" spans="1:16">
      <c r="A15" s="2975" t="s">
        <v>3199</v>
      </c>
      <c r="B15" s="2975" t="s">
        <v>3165</v>
      </c>
      <c r="C15" s="2975" t="s">
        <v>3166</v>
      </c>
      <c r="D15" s="2975">
        <v>98538</v>
      </c>
      <c r="E15" s="2975">
        <v>157660.79999999999</v>
      </c>
      <c r="F15" s="2975" t="s">
        <v>3193</v>
      </c>
      <c r="G15" s="2975" t="s">
        <v>3168</v>
      </c>
      <c r="H15" s="2975" t="s">
        <v>3194</v>
      </c>
      <c r="I15" s="2975">
        <v>204960.1</v>
      </c>
      <c r="J15" s="2975">
        <v>204960.1</v>
      </c>
      <c r="K15" s="2975">
        <v>13000.06</v>
      </c>
      <c r="L15" s="2975">
        <v>0</v>
      </c>
      <c r="M15" s="2975" t="s">
        <v>3195</v>
      </c>
      <c r="N15" s="2975" t="s">
        <v>3182</v>
      </c>
      <c r="O15" s="2975">
        <f t="shared" si="0"/>
        <v>20800.107572713066</v>
      </c>
      <c r="P15" s="2975">
        <f t="shared" si="1"/>
        <v>1386.6807715500618</v>
      </c>
    </row>
    <row r="16" spans="1:16" s="2988" customFormat="1">
      <c r="A16" s="2988" t="s">
        <v>3200</v>
      </c>
      <c r="B16" s="2988" t="s">
        <v>3165</v>
      </c>
      <c r="C16" s="2988" t="s">
        <v>3166</v>
      </c>
      <c r="D16" s="2988">
        <v>22198</v>
      </c>
      <c r="E16" s="2988">
        <v>68813.8</v>
      </c>
      <c r="F16" s="2988" t="s">
        <v>3201</v>
      </c>
      <c r="G16" s="2988" t="s">
        <v>3168</v>
      </c>
      <c r="H16" s="2988" t="s">
        <v>3202</v>
      </c>
      <c r="I16" s="2988">
        <v>33031</v>
      </c>
      <c r="J16" s="2988">
        <v>33031</v>
      </c>
      <c r="K16" s="2988">
        <v>4800.05</v>
      </c>
      <c r="L16" s="2988">
        <v>0</v>
      </c>
      <c r="M16" s="2988" t="s">
        <v>3203</v>
      </c>
      <c r="N16" s="2988" t="s">
        <v>3171</v>
      </c>
      <c r="O16" s="2988">
        <f t="shared" si="0"/>
        <v>14880.169384629246</v>
      </c>
      <c r="P16" s="2988">
        <f t="shared" si="1"/>
        <v>992.01625236507778</v>
      </c>
    </row>
    <row r="17" spans="1:16">
      <c r="A17" s="2975" t="s">
        <v>3204</v>
      </c>
      <c r="B17" s="2975" t="s">
        <v>3165</v>
      </c>
      <c r="C17" s="2975" t="s">
        <v>3166</v>
      </c>
      <c r="D17" s="2975">
        <v>30791</v>
      </c>
      <c r="E17" s="2975">
        <v>107768.5</v>
      </c>
      <c r="F17" s="2975" t="s">
        <v>3205</v>
      </c>
      <c r="G17" s="2975" t="s">
        <v>3168</v>
      </c>
      <c r="H17" s="2975" t="s">
        <v>3202</v>
      </c>
      <c r="I17" s="2975">
        <v>91605</v>
      </c>
      <c r="J17" s="2975">
        <v>91605</v>
      </c>
      <c r="K17" s="2975">
        <v>8500.15</v>
      </c>
      <c r="L17" s="2975">
        <v>0</v>
      </c>
      <c r="M17" s="2975" t="s">
        <v>3206</v>
      </c>
      <c r="N17" s="2975" t="s">
        <v>3182</v>
      </c>
      <c r="O17" s="2975">
        <f t="shared" si="0"/>
        <v>29750.576467149491</v>
      </c>
      <c r="P17" s="2975">
        <f t="shared" si="1"/>
        <v>1983.3816813354549</v>
      </c>
    </row>
    <row r="18" spans="1:16">
      <c r="A18" s="2975" t="s">
        <v>3207</v>
      </c>
      <c r="B18" s="2975" t="s">
        <v>3165</v>
      </c>
      <c r="C18" s="2975" t="s">
        <v>3166</v>
      </c>
      <c r="D18" s="2975">
        <v>49609</v>
      </c>
      <c r="E18" s="2975">
        <v>163709.70000000001</v>
      </c>
      <c r="F18" s="2975" t="s">
        <v>3208</v>
      </c>
      <c r="G18" s="2975" t="s">
        <v>3168</v>
      </c>
      <c r="H18" s="2975" t="s">
        <v>3202</v>
      </c>
      <c r="I18" s="2975">
        <v>139154</v>
      </c>
      <c r="J18" s="2975">
        <v>139154</v>
      </c>
      <c r="K18" s="2975">
        <v>8500.0400000000009</v>
      </c>
      <c r="L18" s="2975">
        <v>0</v>
      </c>
      <c r="M18" s="2975" t="s">
        <v>3206</v>
      </c>
      <c r="N18" s="2975" t="s">
        <v>3171</v>
      </c>
      <c r="O18" s="2975">
        <f t="shared" si="0"/>
        <v>28050.152190126792</v>
      </c>
      <c r="P18" s="2975">
        <f t="shared" si="1"/>
        <v>1870.0194960591828</v>
      </c>
    </row>
    <row r="19" spans="1:16">
      <c r="A19" s="2975" t="s">
        <v>3209</v>
      </c>
      <c r="B19" s="2975" t="s">
        <v>3165</v>
      </c>
      <c r="C19" s="2975" t="s">
        <v>3166</v>
      </c>
      <c r="D19" s="2975">
        <v>43838</v>
      </c>
      <c r="E19" s="2975">
        <v>118362.6</v>
      </c>
      <c r="F19" s="2975" t="s">
        <v>3210</v>
      </c>
      <c r="G19" s="2975" t="s">
        <v>3168</v>
      </c>
      <c r="H19" s="2975" t="s">
        <v>3211</v>
      </c>
      <c r="I19" s="2975">
        <v>19805</v>
      </c>
      <c r="J19" s="2975">
        <v>19805</v>
      </c>
      <c r="K19" s="2975">
        <v>1673.25</v>
      </c>
      <c r="L19" s="2975">
        <v>0</v>
      </c>
      <c r="M19" s="2975" t="s">
        <v>3203</v>
      </c>
      <c r="N19" s="2975" t="s">
        <v>3182</v>
      </c>
      <c r="O19" s="2975">
        <f t="shared" si="0"/>
        <v>4517.7699712578133</v>
      </c>
      <c r="P19" s="2975">
        <f t="shared" si="1"/>
        <v>301.18617067384457</v>
      </c>
    </row>
    <row r="20" spans="1:16">
      <c r="A20" s="2975" t="s">
        <v>3212</v>
      </c>
      <c r="B20" s="2975" t="s">
        <v>3165</v>
      </c>
      <c r="C20" s="2975" t="s">
        <v>3166</v>
      </c>
      <c r="D20" s="2975">
        <v>41306</v>
      </c>
      <c r="E20" s="2975">
        <v>80546.7</v>
      </c>
      <c r="F20" s="2975" t="s">
        <v>3213</v>
      </c>
      <c r="G20" s="2975" t="s">
        <v>3168</v>
      </c>
      <c r="H20" s="2975" t="s">
        <v>3211</v>
      </c>
      <c r="I20" s="2975">
        <v>16977</v>
      </c>
      <c r="J20" s="2975">
        <v>16977</v>
      </c>
      <c r="K20" s="2975">
        <v>2107.71</v>
      </c>
      <c r="L20" s="2975">
        <v>0</v>
      </c>
      <c r="M20" s="2975" t="s">
        <v>3203</v>
      </c>
      <c r="N20" s="2975" t="s">
        <v>3214</v>
      </c>
      <c r="O20" s="2975">
        <f t="shared" si="0"/>
        <v>4110.0566503655646</v>
      </c>
      <c r="P20" s="2975">
        <f t="shared" si="1"/>
        <v>274.00514670992106</v>
      </c>
    </row>
    <row r="21" spans="1:16">
      <c r="A21" s="2975" t="s">
        <v>3215</v>
      </c>
      <c r="B21" s="2975" t="s">
        <v>3165</v>
      </c>
      <c r="C21" s="2975" t="s">
        <v>3166</v>
      </c>
      <c r="D21" s="2975">
        <v>16995</v>
      </c>
      <c r="E21" s="2975">
        <v>59992.35</v>
      </c>
      <c r="F21" s="2975" t="s">
        <v>3216</v>
      </c>
      <c r="G21" s="2975" t="s">
        <v>3168</v>
      </c>
      <c r="H21" s="2975" t="s">
        <v>3211</v>
      </c>
      <c r="I21" s="2975">
        <v>12599</v>
      </c>
      <c r="J21" s="2975">
        <v>12599</v>
      </c>
      <c r="K21" s="2975">
        <v>2100.09</v>
      </c>
      <c r="L21" s="2975">
        <v>0</v>
      </c>
      <c r="M21" s="2975" t="s">
        <v>3203</v>
      </c>
      <c r="N21" s="2975" t="s">
        <v>3171</v>
      </c>
      <c r="O21" s="2975">
        <f t="shared" si="0"/>
        <v>7413.3568696675493</v>
      </c>
      <c r="P21" s="2975">
        <f t="shared" si="1"/>
        <v>494.2262624301265</v>
      </c>
    </row>
    <row r="22" spans="1:16">
      <c r="A22" s="2975" t="s">
        <v>3217</v>
      </c>
      <c r="B22" s="2975" t="s">
        <v>3165</v>
      </c>
      <c r="C22" s="2975" t="s">
        <v>3166</v>
      </c>
      <c r="D22" s="2975">
        <v>39576</v>
      </c>
      <c r="E22" s="2975">
        <v>100918.8</v>
      </c>
      <c r="F22" s="2975" t="s">
        <v>3218</v>
      </c>
      <c r="G22" s="2975" t="s">
        <v>3168</v>
      </c>
      <c r="H22" s="2975" t="s">
        <v>3211</v>
      </c>
      <c r="I22" s="2975">
        <v>20777.400000000001</v>
      </c>
      <c r="J22" s="2975">
        <v>20777.400000000001</v>
      </c>
      <c r="K22" s="2975">
        <v>2058.8200000000002</v>
      </c>
      <c r="L22" s="2975">
        <v>0</v>
      </c>
      <c r="M22" s="3324" t="s">
        <v>3308</v>
      </c>
      <c r="N22" s="2975" t="s">
        <v>3182</v>
      </c>
      <c r="O22" s="2975">
        <f t="shared" si="0"/>
        <v>5250</v>
      </c>
      <c r="P22" s="2975">
        <f t="shared" si="1"/>
        <v>350.00175000000002</v>
      </c>
    </row>
    <row r="23" spans="1:16">
      <c r="A23" s="2975" t="s">
        <v>3219</v>
      </c>
      <c r="B23" s="2975" t="s">
        <v>3165</v>
      </c>
      <c r="C23" s="2975" t="s">
        <v>3166</v>
      </c>
      <c r="D23" s="2975">
        <v>38139</v>
      </c>
      <c r="E23" s="2975">
        <v>133486.5</v>
      </c>
      <c r="F23" s="2975" t="s">
        <v>3220</v>
      </c>
      <c r="G23" s="2975" t="s">
        <v>3168</v>
      </c>
      <c r="H23" s="2975" t="s">
        <v>3221</v>
      </c>
      <c r="I23" s="2975">
        <v>49771</v>
      </c>
      <c r="J23" s="2975">
        <v>154723.6</v>
      </c>
      <c r="K23" s="2975">
        <v>11590.95</v>
      </c>
      <c r="L23" s="2975">
        <v>210.87</v>
      </c>
      <c r="M23" s="2975" t="s">
        <v>3222</v>
      </c>
      <c r="N23" s="2975" t="s">
        <v>3182</v>
      </c>
      <c r="O23" s="2975">
        <f t="shared" si="0"/>
        <v>40568.34211699311</v>
      </c>
      <c r="P23" s="2975">
        <f t="shared" si="1"/>
        <v>2704.569663913579</v>
      </c>
    </row>
    <row r="24" spans="1:16">
      <c r="A24" s="2975" t="s">
        <v>3223</v>
      </c>
      <c r="B24" s="2975" t="s">
        <v>3165</v>
      </c>
      <c r="C24" s="2975" t="s">
        <v>3166</v>
      </c>
      <c r="D24" s="2975">
        <v>16593</v>
      </c>
      <c r="E24" s="2975">
        <v>40984.71</v>
      </c>
      <c r="F24" s="2975" t="s">
        <v>3224</v>
      </c>
      <c r="G24" s="2975" t="s">
        <v>3168</v>
      </c>
      <c r="H24" s="2975" t="s">
        <v>3221</v>
      </c>
      <c r="I24" s="2975">
        <v>16676</v>
      </c>
      <c r="J24" s="2975">
        <v>51836</v>
      </c>
      <c r="K24" s="2975">
        <v>12647.63</v>
      </c>
      <c r="L24" s="2975">
        <v>210.84</v>
      </c>
      <c r="M24" s="2975" t="s">
        <v>3222</v>
      </c>
      <c r="N24" s="2975" t="s">
        <v>3182</v>
      </c>
      <c r="O24" s="2975">
        <f t="shared" si="0"/>
        <v>31239.679382872295</v>
      </c>
      <c r="P24" s="2975">
        <f t="shared" si="1"/>
        <v>2082.655705417947</v>
      </c>
    </row>
    <row r="25" spans="1:16">
      <c r="A25" s="2975" t="s">
        <v>3225</v>
      </c>
      <c r="B25" s="2975" t="s">
        <v>3165</v>
      </c>
      <c r="C25" s="2975" t="s">
        <v>3166</v>
      </c>
      <c r="D25" s="2975">
        <v>44231</v>
      </c>
      <c r="E25" s="2975">
        <v>150385.4</v>
      </c>
      <c r="F25" s="2975" t="s">
        <v>3226</v>
      </c>
      <c r="G25" s="2975" t="s">
        <v>3168</v>
      </c>
      <c r="H25" s="2975" t="s">
        <v>3221</v>
      </c>
      <c r="I25" s="2975">
        <v>56395</v>
      </c>
      <c r="J25" s="2975">
        <v>175353</v>
      </c>
      <c r="K25" s="2975">
        <v>11660.23</v>
      </c>
      <c r="L25" s="2975">
        <v>210.94</v>
      </c>
      <c r="M25" s="2975" t="s">
        <v>3222</v>
      </c>
      <c r="N25" s="2975" t="s">
        <v>3171</v>
      </c>
      <c r="O25" s="2975">
        <f t="shared" si="0"/>
        <v>39644.819244421335</v>
      </c>
      <c r="P25" s="2975">
        <f t="shared" si="1"/>
        <v>2643.0011645678369</v>
      </c>
    </row>
    <row r="26" spans="1:16">
      <c r="A26" s="2975" t="s">
        <v>3227</v>
      </c>
      <c r="B26" s="2975" t="s">
        <v>3165</v>
      </c>
      <c r="C26" s="2975" t="s">
        <v>3166</v>
      </c>
      <c r="D26" s="2975">
        <v>46860</v>
      </c>
      <c r="E26" s="2975">
        <v>159324</v>
      </c>
      <c r="F26" s="2975" t="s">
        <v>3226</v>
      </c>
      <c r="G26" s="2975" t="s">
        <v>3168</v>
      </c>
      <c r="H26" s="2975" t="s">
        <v>3221</v>
      </c>
      <c r="I26" s="2975">
        <v>59747</v>
      </c>
      <c r="J26" s="2975">
        <v>185737</v>
      </c>
      <c r="K26" s="2975">
        <v>11657.81</v>
      </c>
      <c r="L26" s="2975">
        <v>210.87</v>
      </c>
      <c r="M26" s="2975" t="s">
        <v>3222</v>
      </c>
      <c r="N26" s="2975" t="s">
        <v>3171</v>
      </c>
      <c r="O26" s="2975">
        <f t="shared" si="0"/>
        <v>39636.577037985488</v>
      </c>
      <c r="P26" s="2975">
        <f t="shared" si="1"/>
        <v>2642.4516813913788</v>
      </c>
    </row>
    <row r="27" spans="1:16">
      <c r="A27" s="2975" t="s">
        <v>3228</v>
      </c>
      <c r="B27" s="2975" t="s">
        <v>3165</v>
      </c>
      <c r="C27" s="2975" t="s">
        <v>3166</v>
      </c>
      <c r="D27" s="2975">
        <v>18167</v>
      </c>
      <c r="E27" s="2975">
        <v>63584.5</v>
      </c>
      <c r="F27" s="2975" t="s">
        <v>3220</v>
      </c>
      <c r="G27" s="2975" t="s">
        <v>3168</v>
      </c>
      <c r="H27" s="2975" t="s">
        <v>3221</v>
      </c>
      <c r="I27" s="2975">
        <v>23708</v>
      </c>
      <c r="J27" s="2975">
        <v>73693.8</v>
      </c>
      <c r="K27" s="2975">
        <v>11589.89</v>
      </c>
      <c r="L27" s="2975">
        <v>210.84</v>
      </c>
      <c r="M27" s="2975" t="s">
        <v>3222</v>
      </c>
      <c r="N27" s="2975" t="s">
        <v>3171</v>
      </c>
      <c r="O27" s="2975">
        <f t="shared" si="0"/>
        <v>40564.650189904773</v>
      </c>
      <c r="P27" s="2975">
        <f t="shared" si="1"/>
        <v>2704.3235342103812</v>
      </c>
    </row>
    <row r="28" spans="1:16">
      <c r="A28" s="2975" t="s">
        <v>3229</v>
      </c>
      <c r="B28" s="2975" t="s">
        <v>3165</v>
      </c>
      <c r="C28" s="2975" t="s">
        <v>3166</v>
      </c>
      <c r="D28" s="2975">
        <v>80966</v>
      </c>
      <c r="E28" s="2975">
        <v>267187.8</v>
      </c>
      <c r="F28" s="2975" t="s">
        <v>3230</v>
      </c>
      <c r="G28" s="2975" t="s">
        <v>3168</v>
      </c>
      <c r="H28" s="2975" t="s">
        <v>3231</v>
      </c>
      <c r="I28" s="2975">
        <v>109107</v>
      </c>
      <c r="J28" s="2975">
        <v>252078.79</v>
      </c>
      <c r="K28" s="2975">
        <v>9434.52</v>
      </c>
      <c r="L28" s="2975">
        <v>131.04</v>
      </c>
      <c r="M28" s="2975" t="s">
        <v>3232</v>
      </c>
      <c r="N28" s="2975" t="s">
        <v>3182</v>
      </c>
      <c r="O28" s="2975">
        <f t="shared" si="0"/>
        <v>31133.906825087077</v>
      </c>
      <c r="P28" s="2975">
        <f t="shared" si="1"/>
        <v>2075.60416630808</v>
      </c>
    </row>
    <row r="29" spans="1:16">
      <c r="A29" s="2975" t="s">
        <v>3233</v>
      </c>
      <c r="B29" s="2975" t="s">
        <v>3165</v>
      </c>
      <c r="C29" s="2975" t="s">
        <v>3166</v>
      </c>
      <c r="D29" s="2975">
        <v>20672</v>
      </c>
      <c r="E29" s="2975">
        <v>68217.600000000006</v>
      </c>
      <c r="F29" s="2975" t="s">
        <v>3234</v>
      </c>
      <c r="G29" s="2975" t="s">
        <v>3168</v>
      </c>
      <c r="H29" s="2975" t="s">
        <v>3231</v>
      </c>
      <c r="I29" s="2975">
        <v>27883</v>
      </c>
      <c r="J29" s="2975">
        <v>64411.25</v>
      </c>
      <c r="K29" s="2975">
        <v>9442.0300000000007</v>
      </c>
      <c r="L29" s="2975">
        <v>131.01</v>
      </c>
      <c r="M29" s="2975" t="s">
        <v>3232</v>
      </c>
      <c r="N29" s="2975" t="s">
        <v>3182</v>
      </c>
      <c r="O29" s="2975">
        <f t="shared" si="0"/>
        <v>31158.692917956658</v>
      </c>
      <c r="P29" s="2975">
        <f t="shared" si="1"/>
        <v>2077.2565807614164</v>
      </c>
    </row>
    <row r="30" spans="1:16">
      <c r="A30" s="2975" t="s">
        <v>3235</v>
      </c>
      <c r="B30" s="2975" t="s">
        <v>3165</v>
      </c>
      <c r="C30" s="2975" t="s">
        <v>3184</v>
      </c>
      <c r="D30" s="2975">
        <v>7278</v>
      </c>
      <c r="E30" s="2975">
        <v>21834</v>
      </c>
      <c r="F30" s="2975" t="s">
        <v>3236</v>
      </c>
      <c r="G30" s="2975" t="s">
        <v>3168</v>
      </c>
      <c r="H30" s="2975" t="s">
        <v>3237</v>
      </c>
      <c r="I30" s="2975">
        <v>26480</v>
      </c>
      <c r="J30" s="2975">
        <v>26480</v>
      </c>
      <c r="K30" s="2975">
        <v>12127.87</v>
      </c>
      <c r="L30" s="2975">
        <v>0</v>
      </c>
      <c r="M30" s="2975" t="s">
        <v>3238</v>
      </c>
      <c r="N30" s="2975" t="s">
        <v>3171</v>
      </c>
      <c r="O30" s="2975">
        <f t="shared" si="0"/>
        <v>36383.621874141245</v>
      </c>
      <c r="P30" s="2975">
        <f t="shared" si="1"/>
        <v>2425.5869194833745</v>
      </c>
    </row>
    <row r="31" spans="1:16">
      <c r="A31" s="2975" t="s">
        <v>3239</v>
      </c>
      <c r="B31" s="2975" t="s">
        <v>3165</v>
      </c>
      <c r="C31" s="2975" t="s">
        <v>3184</v>
      </c>
      <c r="D31" s="2975">
        <v>11769</v>
      </c>
      <c r="E31" s="2975">
        <v>47076</v>
      </c>
      <c r="F31" s="2975" t="s">
        <v>3240</v>
      </c>
      <c r="G31" s="2975" t="s">
        <v>3168</v>
      </c>
      <c r="H31" s="2975" t="s">
        <v>3237</v>
      </c>
      <c r="I31" s="2975">
        <v>26104</v>
      </c>
      <c r="J31" s="2975">
        <v>30067.7</v>
      </c>
      <c r="K31" s="2975">
        <v>6387.05</v>
      </c>
      <c r="L31" s="2975">
        <v>15.18</v>
      </c>
      <c r="M31" s="2975" t="s">
        <v>3241</v>
      </c>
      <c r="N31" s="2975" t="s">
        <v>3171</v>
      </c>
      <c r="O31" s="2975">
        <f t="shared" si="0"/>
        <v>25548.219899736596</v>
      </c>
      <c r="P31" s="2975">
        <f t="shared" si="1"/>
        <v>1703.2231760557397</v>
      </c>
    </row>
    <row r="32" spans="1:16">
      <c r="A32" s="2975" t="s">
        <v>3242</v>
      </c>
      <c r="B32" s="2975" t="s">
        <v>3165</v>
      </c>
      <c r="C32" s="2975" t="s">
        <v>3166</v>
      </c>
      <c r="D32" s="2975">
        <v>42947</v>
      </c>
      <c r="E32" s="2975">
        <v>150314.5</v>
      </c>
      <c r="F32" s="2975" t="s">
        <v>3220</v>
      </c>
      <c r="G32" s="2975" t="s">
        <v>3168</v>
      </c>
      <c r="H32" s="2975" t="s">
        <v>3243</v>
      </c>
      <c r="I32" s="2975">
        <v>29634</v>
      </c>
      <c r="J32" s="2975">
        <v>29634</v>
      </c>
      <c r="K32" s="2975">
        <v>1971.47</v>
      </c>
      <c r="L32" s="2975">
        <v>0</v>
      </c>
      <c r="M32" s="2975" t="s">
        <v>3244</v>
      </c>
      <c r="N32" s="2975" t="s">
        <v>3171</v>
      </c>
      <c r="O32" s="2975">
        <f t="shared" si="0"/>
        <v>6900.132721726779</v>
      </c>
      <c r="P32" s="2975">
        <f t="shared" si="1"/>
        <v>460.01114815935915</v>
      </c>
    </row>
    <row r="33" spans="1:16">
      <c r="A33" s="2975" t="s">
        <v>3245</v>
      </c>
      <c r="B33" s="2975" t="s">
        <v>3165</v>
      </c>
      <c r="C33" s="2975" t="s">
        <v>3166</v>
      </c>
      <c r="D33" s="2975">
        <v>117164</v>
      </c>
      <c r="E33" s="2975">
        <v>363208.4</v>
      </c>
      <c r="F33" s="2975" t="s">
        <v>3246</v>
      </c>
      <c r="G33" s="2975" t="s">
        <v>3168</v>
      </c>
      <c r="H33" s="2975" t="s">
        <v>3243</v>
      </c>
      <c r="I33" s="2975">
        <v>50264</v>
      </c>
      <c r="J33" s="2975">
        <v>50264</v>
      </c>
      <c r="K33" s="2975">
        <v>1383.89</v>
      </c>
      <c r="L33" s="2975">
        <v>0</v>
      </c>
      <c r="M33" s="2975" t="s">
        <v>3244</v>
      </c>
      <c r="N33" s="2975" t="s">
        <v>3171</v>
      </c>
      <c r="O33" s="2975">
        <f t="shared" si="0"/>
        <v>4290.0549656891199</v>
      </c>
      <c r="P33" s="2975">
        <f t="shared" si="1"/>
        <v>286.00509439759651</v>
      </c>
    </row>
    <row r="34" spans="1:16">
      <c r="A34" s="2975" t="s">
        <v>3247</v>
      </c>
      <c r="B34" s="2975" t="s">
        <v>3165</v>
      </c>
      <c r="C34" s="2975" t="s">
        <v>3166</v>
      </c>
      <c r="D34" s="2975">
        <v>122832</v>
      </c>
      <c r="E34" s="2975">
        <v>319363.20000000001</v>
      </c>
      <c r="F34" s="2975" t="s">
        <v>3248</v>
      </c>
      <c r="G34" s="2975" t="s">
        <v>3168</v>
      </c>
      <c r="H34" s="2975" t="s">
        <v>3243</v>
      </c>
      <c r="I34" s="2975">
        <v>65040</v>
      </c>
      <c r="J34" s="2975">
        <v>65040</v>
      </c>
      <c r="K34" s="2975">
        <v>2036.54</v>
      </c>
      <c r="L34" s="2975">
        <v>0</v>
      </c>
      <c r="M34" s="2975" t="s">
        <v>3244</v>
      </c>
      <c r="N34" s="2975" t="s">
        <v>3171</v>
      </c>
      <c r="O34" s="2975">
        <f t="shared" si="0"/>
        <v>5295.0371238765147</v>
      </c>
      <c r="P34" s="2975">
        <f t="shared" si="1"/>
        <v>353.00423993747557</v>
      </c>
    </row>
    <row r="35" spans="1:16">
      <c r="A35" s="2975" t="s">
        <v>3249</v>
      </c>
      <c r="B35" s="2975" t="s">
        <v>3165</v>
      </c>
      <c r="C35" s="2975" t="s">
        <v>3166</v>
      </c>
      <c r="D35" s="2975">
        <v>55613</v>
      </c>
      <c r="E35" s="2975">
        <v>194645.5</v>
      </c>
      <c r="F35" s="2975" t="s">
        <v>3220</v>
      </c>
      <c r="G35" s="2975" t="s">
        <v>3168</v>
      </c>
      <c r="H35" s="2975" t="s">
        <v>3243</v>
      </c>
      <c r="I35" s="2975">
        <v>38373</v>
      </c>
      <c r="J35" s="2975">
        <v>38373</v>
      </c>
      <c r="K35" s="2975">
        <v>1971.43</v>
      </c>
      <c r="L35" s="2975">
        <v>0</v>
      </c>
      <c r="M35" s="2975" t="s">
        <v>3244</v>
      </c>
      <c r="N35" s="2975" t="s">
        <v>3171</v>
      </c>
      <c r="O35" s="2975">
        <f t="shared" si="0"/>
        <v>6900.0053944221672</v>
      </c>
      <c r="P35" s="2975">
        <f t="shared" si="1"/>
        <v>460.00265962994263</v>
      </c>
    </row>
    <row r="36" spans="1:16">
      <c r="A36" s="2975" t="s">
        <v>3250</v>
      </c>
      <c r="B36" s="2975" t="s">
        <v>3165</v>
      </c>
      <c r="C36" s="2975" t="s">
        <v>3166</v>
      </c>
      <c r="D36" s="2975">
        <v>59435</v>
      </c>
      <c r="E36" s="2975">
        <v>190192</v>
      </c>
      <c r="F36" s="2975" t="s">
        <v>3251</v>
      </c>
      <c r="G36" s="2975" t="s">
        <v>3168</v>
      </c>
      <c r="H36" s="2975" t="s">
        <v>3252</v>
      </c>
      <c r="I36" s="2975">
        <v>27637.27</v>
      </c>
      <c r="J36" s="2975">
        <v>27637.27</v>
      </c>
      <c r="K36" s="2975">
        <v>1453.13</v>
      </c>
      <c r="L36" s="2975">
        <v>0</v>
      </c>
      <c r="M36" s="2975" t="s">
        <v>3244</v>
      </c>
      <c r="N36" s="2975" t="s">
        <v>3182</v>
      </c>
      <c r="O36" s="2975">
        <f t="shared" si="0"/>
        <v>4649.9991587448476</v>
      </c>
      <c r="P36" s="2975">
        <f t="shared" si="1"/>
        <v>310.0014939160427</v>
      </c>
    </row>
    <row r="37" spans="1:16">
      <c r="A37" s="2975" t="s">
        <v>3253</v>
      </c>
      <c r="B37" s="2975" t="s">
        <v>3165</v>
      </c>
      <c r="C37" s="2975" t="s">
        <v>3166</v>
      </c>
      <c r="D37" s="2975">
        <v>21530</v>
      </c>
      <c r="E37" s="2975">
        <v>25103.98</v>
      </c>
      <c r="F37" s="2975" t="s">
        <v>3254</v>
      </c>
      <c r="G37" s="2975" t="s">
        <v>3168</v>
      </c>
      <c r="H37" s="2975" t="s">
        <v>3255</v>
      </c>
      <c r="I37" s="2975" t="s">
        <v>1326</v>
      </c>
      <c r="J37" s="2975">
        <v>5814</v>
      </c>
      <c r="K37" s="2975">
        <v>2315.96</v>
      </c>
      <c r="L37" s="2975" t="s">
        <v>1326</v>
      </c>
      <c r="M37" s="2975" t="s">
        <v>3181</v>
      </c>
      <c r="N37" s="2975" t="s">
        <v>3171</v>
      </c>
      <c r="O37" s="2975">
        <f t="shared" si="0"/>
        <v>2700.4180213655363</v>
      </c>
      <c r="P37" s="2975">
        <f t="shared" si="1"/>
        <v>180.02876823037622</v>
      </c>
    </row>
    <row r="38" spans="1:16">
      <c r="A38" s="2975" t="s">
        <v>3256</v>
      </c>
      <c r="B38" s="2975" t="s">
        <v>3165</v>
      </c>
      <c r="C38" s="2975" t="s">
        <v>3166</v>
      </c>
      <c r="D38" s="2975">
        <v>17938.2</v>
      </c>
      <c r="E38" s="2975">
        <v>57402.239999999998</v>
      </c>
      <c r="F38" s="2975" t="s">
        <v>3257</v>
      </c>
      <c r="G38" s="2975" t="s">
        <v>3168</v>
      </c>
      <c r="H38" s="2975" t="s">
        <v>3258</v>
      </c>
      <c r="I38" s="2975">
        <v>10360</v>
      </c>
      <c r="J38" s="2975">
        <v>24361</v>
      </c>
      <c r="K38" s="2975">
        <v>4243.8999999999996</v>
      </c>
      <c r="L38" s="2975">
        <v>135.13999999999999</v>
      </c>
      <c r="M38" s="2975" t="s">
        <v>3259</v>
      </c>
      <c r="N38" s="2975" t="s">
        <v>3171</v>
      </c>
      <c r="O38" s="2975">
        <f t="shared" si="0"/>
        <v>13580.515324837497</v>
      </c>
      <c r="P38" s="2975">
        <f t="shared" si="1"/>
        <v>905.37221516094132</v>
      </c>
    </row>
    <row r="39" spans="1:16">
      <c r="A39" s="2975" t="s">
        <v>3260</v>
      </c>
      <c r="B39" s="2975" t="s">
        <v>3165</v>
      </c>
      <c r="C39" s="2975" t="s">
        <v>3184</v>
      </c>
      <c r="D39" s="2975">
        <v>76784</v>
      </c>
      <c r="E39" s="2975">
        <v>340267.2</v>
      </c>
      <c r="F39" s="2975" t="s">
        <v>3261</v>
      </c>
      <c r="G39" s="2975" t="s">
        <v>3168</v>
      </c>
      <c r="H39" s="2975" t="s">
        <v>3262</v>
      </c>
      <c r="I39" s="2975">
        <v>56716.59</v>
      </c>
      <c r="J39" s="2975">
        <v>98716.6</v>
      </c>
      <c r="K39" s="2975">
        <v>2901.15</v>
      </c>
      <c r="L39" s="2975">
        <v>74.05</v>
      </c>
      <c r="M39" s="2975" t="s">
        <v>3263</v>
      </c>
      <c r="N39" s="2975" t="s">
        <v>3171</v>
      </c>
      <c r="O39" s="2975">
        <f t="shared" si="0"/>
        <v>12856.402375494896</v>
      </c>
      <c r="P39" s="2975">
        <f t="shared" si="1"/>
        <v>857.09777716711812</v>
      </c>
    </row>
    <row r="40" spans="1:16">
      <c r="A40" s="2975" t="s">
        <v>3250</v>
      </c>
      <c r="B40" s="2975" t="s">
        <v>3165</v>
      </c>
      <c r="C40" s="2975" t="s">
        <v>3166</v>
      </c>
      <c r="D40" s="2975">
        <v>29182</v>
      </c>
      <c r="E40" s="2975">
        <v>128400.8</v>
      </c>
      <c r="F40" s="2975" t="s">
        <v>3264</v>
      </c>
      <c r="G40" s="2975" t="s">
        <v>3168</v>
      </c>
      <c r="H40" s="2975" t="s">
        <v>3265</v>
      </c>
      <c r="I40" s="2975">
        <v>16190.64</v>
      </c>
      <c r="J40" s="2975">
        <v>16190.64</v>
      </c>
      <c r="K40" s="2975">
        <v>1260.95</v>
      </c>
      <c r="L40" s="2975">
        <v>0</v>
      </c>
      <c r="M40" s="2975" t="s">
        <v>3263</v>
      </c>
      <c r="N40" s="2975" t="s">
        <v>3171</v>
      </c>
      <c r="O40" s="2975">
        <f t="shared" si="0"/>
        <v>5548.1598245493788</v>
      </c>
      <c r="P40" s="2975">
        <f t="shared" si="1"/>
        <v>369.87917102323343</v>
      </c>
    </row>
    <row r="41" spans="1:16">
      <c r="A41" s="2975" t="s">
        <v>3250</v>
      </c>
      <c r="B41" s="2975" t="s">
        <v>3165</v>
      </c>
      <c r="C41" s="2975" t="s">
        <v>3166</v>
      </c>
      <c r="D41" s="2975">
        <v>33603</v>
      </c>
      <c r="E41" s="2975">
        <v>80647.199999999997</v>
      </c>
      <c r="F41" s="2975" t="s">
        <v>3266</v>
      </c>
      <c r="G41" s="2975" t="s">
        <v>3168</v>
      </c>
      <c r="H41" s="2975" t="s">
        <v>3265</v>
      </c>
      <c r="I41" s="2975">
        <v>11345.37</v>
      </c>
      <c r="J41" s="2975">
        <v>11345.37</v>
      </c>
      <c r="K41" s="2975">
        <v>1406.78</v>
      </c>
      <c r="L41" s="2975">
        <v>0</v>
      </c>
      <c r="M41" s="2975" t="s">
        <v>3263</v>
      </c>
      <c r="N41" s="2975" t="s">
        <v>3182</v>
      </c>
      <c r="O41" s="2975">
        <f t="shared" si="0"/>
        <v>3376.296759217927</v>
      </c>
      <c r="P41" s="2975">
        <f t="shared" si="1"/>
        <v>225.08757604678152</v>
      </c>
    </row>
    <row r="42" spans="1:16">
      <c r="A42" s="2975" t="s">
        <v>3250</v>
      </c>
      <c r="B42" s="2975" t="s">
        <v>3165</v>
      </c>
      <c r="C42" s="2975" t="s">
        <v>3166</v>
      </c>
      <c r="D42" s="2975">
        <v>16251</v>
      </c>
      <c r="E42" s="2975">
        <v>61753.8</v>
      </c>
      <c r="F42" s="2975" t="s">
        <v>3267</v>
      </c>
      <c r="G42" s="2975" t="s">
        <v>3168</v>
      </c>
      <c r="H42" s="2975" t="s">
        <v>3265</v>
      </c>
      <c r="I42" s="2975">
        <v>8043.14</v>
      </c>
      <c r="J42" s="2975">
        <v>8043.14</v>
      </c>
      <c r="K42" s="2975">
        <v>1302.45</v>
      </c>
      <c r="L42" s="2975">
        <v>0</v>
      </c>
      <c r="M42" s="2975" t="s">
        <v>3263</v>
      </c>
      <c r="N42" s="2975" t="s">
        <v>3171</v>
      </c>
      <c r="O42" s="2975">
        <f t="shared" si="0"/>
        <v>4949.320041843579</v>
      </c>
      <c r="P42" s="2975">
        <f t="shared" si="1"/>
        <v>329.95631922958586</v>
      </c>
    </row>
    <row r="43" spans="1:16">
      <c r="A43" s="2975" t="s">
        <v>3250</v>
      </c>
      <c r="B43" s="2975" t="s">
        <v>3165</v>
      </c>
      <c r="C43" s="2975" t="s">
        <v>3166</v>
      </c>
      <c r="D43" s="2975">
        <v>65134</v>
      </c>
      <c r="E43" s="2975">
        <v>247509.2</v>
      </c>
      <c r="F43" s="2975" t="s">
        <v>3267</v>
      </c>
      <c r="G43" s="2975" t="s">
        <v>3168</v>
      </c>
      <c r="H43" s="2975" t="s">
        <v>3265</v>
      </c>
      <c r="I43" s="2975">
        <v>32247.11</v>
      </c>
      <c r="J43" s="2975">
        <v>32247.11</v>
      </c>
      <c r="K43" s="2975">
        <v>1302.8599999999999</v>
      </c>
      <c r="L43" s="2975">
        <v>0</v>
      </c>
      <c r="M43" s="2975" t="s">
        <v>3263</v>
      </c>
      <c r="N43" s="2975" t="s">
        <v>3171</v>
      </c>
      <c r="O43" s="2975">
        <f t="shared" si="0"/>
        <v>4950.8874013572022</v>
      </c>
      <c r="P43" s="2975">
        <f t="shared" si="1"/>
        <v>330.06081038628059</v>
      </c>
    </row>
    <row r="44" spans="1:16">
      <c r="A44" s="2975" t="s">
        <v>3250</v>
      </c>
      <c r="B44" s="2975" t="s">
        <v>3165</v>
      </c>
      <c r="C44" s="2975" t="s">
        <v>3166</v>
      </c>
      <c r="D44" s="2975">
        <v>17229</v>
      </c>
      <c r="E44" s="2975">
        <v>49964.1</v>
      </c>
      <c r="F44" s="2975" t="s">
        <v>3268</v>
      </c>
      <c r="G44" s="2975" t="s">
        <v>3168</v>
      </c>
      <c r="H44" s="2975" t="s">
        <v>3265</v>
      </c>
      <c r="I44" s="2975">
        <v>6716.28</v>
      </c>
      <c r="J44" s="2975">
        <v>6716.28</v>
      </c>
      <c r="K44" s="2975">
        <v>1344.22</v>
      </c>
      <c r="L44" s="2975">
        <v>0</v>
      </c>
      <c r="M44" s="2975" t="s">
        <v>3263</v>
      </c>
      <c r="N44" s="2975" t="s">
        <v>3182</v>
      </c>
      <c r="O44" s="2975">
        <f t="shared" si="0"/>
        <v>3898.241337280167</v>
      </c>
      <c r="P44" s="2975">
        <f t="shared" si="1"/>
        <v>259.88405523245689</v>
      </c>
    </row>
    <row r="45" spans="1:16">
      <c r="A45" s="2975" t="s">
        <v>3269</v>
      </c>
      <c r="B45" s="2975" t="s">
        <v>3165</v>
      </c>
      <c r="C45" s="2975" t="s">
        <v>3166</v>
      </c>
      <c r="D45" s="2975">
        <v>52245</v>
      </c>
      <c r="E45" s="2975">
        <v>229878</v>
      </c>
      <c r="F45" s="2975" t="s">
        <v>3270</v>
      </c>
      <c r="G45" s="2975" t="s">
        <v>3168</v>
      </c>
      <c r="H45" s="2975" t="s">
        <v>3271</v>
      </c>
      <c r="I45" s="2975">
        <v>21943</v>
      </c>
      <c r="J45" s="2975">
        <v>21943</v>
      </c>
      <c r="K45" s="2975">
        <v>954.54</v>
      </c>
      <c r="L45" s="2975">
        <v>0</v>
      </c>
      <c r="M45" s="2975" t="s">
        <v>3272</v>
      </c>
      <c r="N45" s="2975" t="s">
        <v>3171</v>
      </c>
      <c r="O45" s="2975">
        <f t="shared" si="0"/>
        <v>4200.0191405876158</v>
      </c>
      <c r="P45" s="2975">
        <f t="shared" si="1"/>
        <v>280.00267604555461</v>
      </c>
    </row>
    <row r="46" spans="1:16">
      <c r="A46" s="2975" t="s">
        <v>3273</v>
      </c>
      <c r="B46" s="2975" t="s">
        <v>3165</v>
      </c>
      <c r="C46" s="2975" t="s">
        <v>3166</v>
      </c>
      <c r="D46" s="2975">
        <v>119369</v>
      </c>
      <c r="E46" s="2975">
        <v>310359.40000000002</v>
      </c>
      <c r="F46" s="2975" t="s">
        <v>3274</v>
      </c>
      <c r="G46" s="2975" t="s">
        <v>3168</v>
      </c>
      <c r="H46" s="2975" t="s">
        <v>3275</v>
      </c>
      <c r="I46" s="2975">
        <v>43686</v>
      </c>
      <c r="J46" s="2975">
        <v>43686</v>
      </c>
      <c r="K46" s="2975">
        <v>1407.58</v>
      </c>
      <c r="L46" s="2975">
        <v>0</v>
      </c>
      <c r="M46" s="2975" t="s">
        <v>3195</v>
      </c>
      <c r="N46" s="2975" t="s">
        <v>3171</v>
      </c>
      <c r="O46" s="2975">
        <f t="shared" si="0"/>
        <v>3659.744154680026</v>
      </c>
      <c r="P46" s="2975">
        <f t="shared" si="1"/>
        <v>243.98416356005328</v>
      </c>
    </row>
    <row r="47" spans="1:16" s="2987" customFormat="1">
      <c r="A47" s="2987" t="s">
        <v>3276</v>
      </c>
      <c r="B47" s="2987" t="s">
        <v>3165</v>
      </c>
      <c r="C47" s="2987" t="s">
        <v>3166</v>
      </c>
      <c r="D47" s="2987">
        <v>197763</v>
      </c>
      <c r="E47" s="2987">
        <v>237315.6</v>
      </c>
      <c r="F47" s="2987" t="s">
        <v>3277</v>
      </c>
      <c r="G47" s="2987" t="s">
        <v>3168</v>
      </c>
      <c r="H47" s="2987" t="s">
        <v>3275</v>
      </c>
      <c r="I47" s="2987">
        <v>106792</v>
      </c>
      <c r="J47" s="2987">
        <v>106792</v>
      </c>
      <c r="K47" s="2987">
        <v>4500</v>
      </c>
      <c r="L47" s="2987">
        <v>0</v>
      </c>
      <c r="M47" s="2987" t="s">
        <v>3195</v>
      </c>
      <c r="N47" s="2987" t="s">
        <v>3171</v>
      </c>
      <c r="O47" s="2987">
        <f t="shared" si="0"/>
        <v>5399.9989886884805</v>
      </c>
      <c r="P47" s="2987">
        <f t="shared" si="1"/>
        <v>360.00173257889492</v>
      </c>
    </row>
    <row r="48" spans="1:16">
      <c r="A48" s="2975" t="s">
        <v>3278</v>
      </c>
      <c r="B48" s="2975" t="s">
        <v>3165</v>
      </c>
      <c r="C48" s="2975" t="s">
        <v>3166</v>
      </c>
      <c r="D48" s="2975">
        <v>130866</v>
      </c>
      <c r="E48" s="2975">
        <v>314078.40000000002</v>
      </c>
      <c r="F48" s="2975" t="s">
        <v>3279</v>
      </c>
      <c r="G48" s="2975" t="s">
        <v>3168</v>
      </c>
      <c r="H48" s="2975" t="s">
        <v>3275</v>
      </c>
      <c r="I48" s="2975">
        <v>46130</v>
      </c>
      <c r="J48" s="2975">
        <v>46130</v>
      </c>
      <c r="K48" s="2975">
        <v>1468.74</v>
      </c>
      <c r="L48" s="2975">
        <v>0</v>
      </c>
      <c r="M48" s="2975" t="s">
        <v>3195</v>
      </c>
      <c r="N48" s="2975" t="s">
        <v>3171</v>
      </c>
      <c r="O48" s="2975">
        <f t="shared" si="0"/>
        <v>3524.9797502789115</v>
      </c>
      <c r="P48" s="2975">
        <f t="shared" si="1"/>
        <v>234.99982501184417</v>
      </c>
    </row>
    <row r="49" spans="1:16">
      <c r="A49" s="2975" t="s">
        <v>3280</v>
      </c>
      <c r="B49" s="2975" t="s">
        <v>3165</v>
      </c>
      <c r="C49" s="2975" t="s">
        <v>3166</v>
      </c>
      <c r="D49" s="2975">
        <v>38040</v>
      </c>
      <c r="E49" s="2975">
        <v>110316</v>
      </c>
      <c r="F49" s="2975" t="s">
        <v>3281</v>
      </c>
      <c r="G49" s="2975" t="s">
        <v>3168</v>
      </c>
      <c r="H49" s="2975" t="s">
        <v>3282</v>
      </c>
      <c r="I49" s="2975">
        <v>23394.59</v>
      </c>
      <c r="J49" s="2975">
        <v>23394.59</v>
      </c>
      <c r="K49" s="2975">
        <v>2120.69</v>
      </c>
      <c r="L49" s="2975">
        <v>0</v>
      </c>
      <c r="M49" s="2975" t="s">
        <v>3283</v>
      </c>
      <c r="N49" s="2975" t="s">
        <v>3171</v>
      </c>
      <c r="O49" s="2975">
        <f t="shared" si="0"/>
        <v>6149.997371188223</v>
      </c>
      <c r="P49" s="2975">
        <f t="shared" si="1"/>
        <v>410.00187474500524</v>
      </c>
    </row>
    <row r="50" spans="1:16">
      <c r="A50" s="2975" t="s">
        <v>3284</v>
      </c>
      <c r="B50" s="2975" t="s">
        <v>3165</v>
      </c>
      <c r="C50" s="2975" t="s">
        <v>3166</v>
      </c>
      <c r="D50" s="2975">
        <v>37898</v>
      </c>
      <c r="E50" s="2975">
        <v>109904.2</v>
      </c>
      <c r="F50" s="2975" t="s">
        <v>3281</v>
      </c>
      <c r="G50" s="2975" t="s">
        <v>3168</v>
      </c>
      <c r="H50" s="2975" t="s">
        <v>3282</v>
      </c>
      <c r="I50" s="2975">
        <v>23307</v>
      </c>
      <c r="J50" s="2975">
        <v>23307</v>
      </c>
      <c r="K50" s="2975">
        <v>2120.67</v>
      </c>
      <c r="L50" s="2975">
        <v>0</v>
      </c>
      <c r="M50" s="2975" t="s">
        <v>3283</v>
      </c>
      <c r="N50" s="2975" t="s">
        <v>3171</v>
      </c>
      <c r="O50" s="2975">
        <f t="shared" si="0"/>
        <v>6149.9287561348883</v>
      </c>
      <c r="P50" s="2975">
        <f t="shared" si="1"/>
        <v>409.99730038524461</v>
      </c>
    </row>
    <row r="51" spans="1:16">
      <c r="A51" s="2975" t="s">
        <v>3285</v>
      </c>
      <c r="B51" s="2975" t="s">
        <v>3165</v>
      </c>
      <c r="C51" s="2975" t="s">
        <v>3166</v>
      </c>
      <c r="D51" s="2975">
        <v>58639</v>
      </c>
      <c r="E51" s="2975">
        <v>193508.7</v>
      </c>
      <c r="F51" s="2975" t="s">
        <v>3286</v>
      </c>
      <c r="G51" s="2975" t="s">
        <v>3168</v>
      </c>
      <c r="H51" s="2975" t="s">
        <v>3282</v>
      </c>
      <c r="I51" s="2975">
        <v>37822</v>
      </c>
      <c r="J51" s="2975">
        <v>37822</v>
      </c>
      <c r="K51" s="2975">
        <v>1954.53</v>
      </c>
      <c r="L51" s="2975">
        <v>0</v>
      </c>
      <c r="M51" s="2975" t="s">
        <v>3283</v>
      </c>
      <c r="N51" s="2975" t="s">
        <v>3171</v>
      </c>
      <c r="O51" s="2975">
        <f t="shared" si="0"/>
        <v>6449.97356707993</v>
      </c>
      <c r="P51" s="2975">
        <f t="shared" si="1"/>
        <v>430.00038779651766</v>
      </c>
    </row>
  </sheetData>
  <phoneticPr fontId="143" type="noConversion"/>
  <pageMargins left="0.75" right="0.75" top="1" bottom="1" header="0.5" footer="0.5"/>
  <pageSetup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0" sqref="M10"/>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2460</v>
      </c>
      <c r="B1" s="1581"/>
      <c r="C1" s="1582"/>
      <c r="D1" s="1580"/>
      <c r="E1" s="320"/>
      <c r="F1" s="320"/>
      <c r="G1" s="1581"/>
      <c r="H1" s="320"/>
      <c r="I1" s="320"/>
      <c r="J1" s="320"/>
      <c r="K1" s="320">
        <f>MATCH(C1,'数据-取费表'!A6:A16,0)+5</f>
        <v>10</v>
      </c>
    </row>
    <row r="2" spans="1:33" ht="18" customHeight="1">
      <c r="A2" s="245" t="s">
        <v>2328</v>
      </c>
      <c r="B2" s="248">
        <f ca="1">C32</f>
        <v>157867</v>
      </c>
      <c r="C2" s="320" t="s">
        <v>2461</v>
      </c>
      <c r="D2" s="320"/>
      <c r="E2" s="320"/>
      <c r="F2" s="320"/>
      <c r="G2" s="320"/>
      <c r="H2" s="320"/>
      <c r="I2" s="320"/>
      <c r="J2" s="320"/>
      <c r="K2" s="320"/>
    </row>
    <row r="3" spans="1:33" ht="18" customHeight="1" thickBot="1">
      <c r="A3" s="247" t="s">
        <v>2330</v>
      </c>
      <c r="B3" s="248">
        <f ca="1">ROUND(B2*10000/IF(C1="",'数据-汇总表'!E3,INDIRECT("'数据-取费表'!K"&amp;$K$1)),0)</f>
        <v>8941</v>
      </c>
      <c r="C3" s="320" t="s">
        <v>2462</v>
      </c>
      <c r="D3" s="320"/>
      <c r="E3" s="320"/>
      <c r="F3" s="320"/>
      <c r="G3" s="320"/>
      <c r="H3" s="320"/>
      <c r="I3" s="320"/>
      <c r="J3" s="320"/>
      <c r="K3" s="320"/>
    </row>
    <row r="4" spans="1:33" s="956" customFormat="1" ht="16.5" customHeight="1">
      <c r="A4" s="953" t="s">
        <v>2463</v>
      </c>
      <c r="B4" s="954"/>
      <c r="C4" s="996">
        <f>SUM(C8:K8)</f>
        <v>289657</v>
      </c>
      <c r="D4" s="954"/>
      <c r="E4" s="954"/>
      <c r="F4" s="954"/>
      <c r="G4" s="954"/>
      <c r="H4" s="954"/>
      <c r="I4" s="954"/>
      <c r="J4" s="954"/>
      <c r="K4" s="955"/>
    </row>
    <row r="5" spans="1:33" s="960" customFormat="1" ht="14.4">
      <c r="A5" s="957" t="s">
        <v>2464</v>
      </c>
      <c r="B5" s="958" t="s">
        <v>2465</v>
      </c>
      <c r="C5" s="2555" t="s">
        <v>3089</v>
      </c>
      <c r="D5" s="2555" t="s">
        <v>1372</v>
      </c>
      <c r="E5" s="2555" t="s">
        <v>48</v>
      </c>
      <c r="F5" s="2555" t="s">
        <v>3134</v>
      </c>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M11</f>
        <v>20600</v>
      </c>
      <c r="D6" s="962">
        <v>25000</v>
      </c>
      <c r="E6" s="962">
        <v>4000</v>
      </c>
      <c r="F6" s="962">
        <v>6000</v>
      </c>
      <c r="G6" s="962"/>
      <c r="H6" s="962"/>
      <c r="I6" s="962"/>
      <c r="J6" s="962"/>
      <c r="K6" s="963"/>
      <c r="L6" s="964"/>
      <c r="M6" s="3326" t="s">
        <v>3313</v>
      </c>
      <c r="N6" s="3326" t="s">
        <v>3310</v>
      </c>
      <c r="O6" s="3326" t="s">
        <v>3311</v>
      </c>
      <c r="P6" s="3326" t="s">
        <v>3312</v>
      </c>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132590.15999999997</v>
      </c>
      <c r="D7" s="321">
        <f>SUMIF('数据-汇总表'!$C19:$C33,假设开发法!D5,'数据-汇总表'!$E19:$E33)</f>
        <v>0</v>
      </c>
      <c r="E7" s="321">
        <f>SUMIF('数据-汇总表'!$C19:$C33,假设开发法!E5,'数据-汇总表'!$E19:$E33)</f>
        <v>31413.989999999998</v>
      </c>
      <c r="F7" s="321">
        <f>SUMIF('数据-汇总表'!$C19:$C33,假设开发法!F5,'数据-汇总表'!$E19:$E33)</f>
        <v>6592.079999999999</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f>E8/1277</f>
        <v>9.8402505873140171</v>
      </c>
      <c r="M7" s="3328">
        <f>D地块!K34</f>
        <v>0.41972865567005463</v>
      </c>
      <c r="N7" s="3328">
        <f>D地块!K31</f>
        <v>0.20438647133932097</v>
      </c>
      <c r="O7" s="3328">
        <f>D地块!K32</f>
        <v>0.1693213908935661</v>
      </c>
      <c r="P7" s="3328">
        <f>D地块!K33</f>
        <v>0.20656348209705833</v>
      </c>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2469</v>
      </c>
      <c r="B8" s="177" t="s">
        <v>2470</v>
      </c>
      <c r="C8" s="997">
        <f>ROUND(C6*C7/10000,0)</f>
        <v>273136</v>
      </c>
      <c r="D8" s="997">
        <f>ROUND(D6*D7/10000,0)</f>
        <v>0</v>
      </c>
      <c r="E8" s="997">
        <f>ROUND(E6*E7/10000,0)</f>
        <v>12566</v>
      </c>
      <c r="F8" s="997">
        <f>ROUND(F6*F7/10000,0)</f>
        <v>3955</v>
      </c>
      <c r="G8" s="998"/>
      <c r="H8" s="998"/>
      <c r="I8" s="998"/>
      <c r="J8" s="998"/>
      <c r="K8" s="999"/>
      <c r="L8" s="964"/>
      <c r="M8" s="964">
        <v>19000</v>
      </c>
      <c r="N8" s="964">
        <v>20000</v>
      </c>
      <c r="O8" s="964">
        <v>22000</v>
      </c>
      <c r="P8" s="964">
        <v>23000</v>
      </c>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c r="M9" s="956">
        <f>(M7*M8+N7*N8+O7*O8+P7*P8)</f>
        <v>20538.604572408254</v>
      </c>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45730</v>
      </c>
      <c r="D11" s="973"/>
      <c r="E11" s="375"/>
      <c r="F11" s="974">
        <f ca="1">1-IF('数据-取费表'!B24=0,1,IF(C1="",'数据-取费表'!N16,INDIRECT("'数据-取费表'!n"&amp;$K$1)))</f>
        <v>0.95</v>
      </c>
      <c r="G11" s="8"/>
      <c r="H11" s="968"/>
      <c r="I11" s="968"/>
      <c r="J11" s="968"/>
      <c r="K11" s="969"/>
      <c r="M11" s="975">
        <f>(2*M8+N8+O8+P8)/5</f>
        <v>20600</v>
      </c>
    </row>
    <row r="12" spans="1:33" s="975" customFormat="1" ht="13.5" customHeight="1">
      <c r="A12" s="971" t="s">
        <v>1330</v>
      </c>
      <c r="B12" s="972" t="s">
        <v>2479</v>
      </c>
      <c r="C12" s="24">
        <f ca="1">ROUND(C11*F12,0)</f>
        <v>1372</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1889</v>
      </c>
      <c r="D13" s="1033"/>
      <c r="E13" s="375"/>
      <c r="F13" s="976">
        <f>'数据-取费表'!B34</f>
        <v>0.05</v>
      </c>
      <c r="G13" s="8" t="s">
        <v>2482</v>
      </c>
      <c r="H13" s="968"/>
      <c r="I13" s="968"/>
      <c r="J13" s="968"/>
      <c r="K13" s="969"/>
    </row>
    <row r="14" spans="1:33" s="977" customFormat="1" ht="13.5" customHeight="1">
      <c r="A14" s="971" t="s">
        <v>1332</v>
      </c>
      <c r="B14" s="972" t="s">
        <v>2483</v>
      </c>
      <c r="C14" s="24">
        <f ca="1">ROUND(D14*E14*F11/10000,0)</f>
        <v>3355</v>
      </c>
      <c r="D14" s="1033">
        <f ca="1">IF(C1="",'数据-汇总表'!E3,INDIRECT("'数据-取费表'!K"&amp;$K$1)+INDIRECT("'数据-取费表'!S"&amp;$K$1))</f>
        <v>176567.06999999998</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686</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53032</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176567.06999999998</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4344</v>
      </c>
      <c r="D18" s="1033"/>
      <c r="E18" s="24"/>
      <c r="F18" s="976"/>
      <c r="G18" s="2557"/>
      <c r="H18" s="1577"/>
      <c r="I18" s="2558" t="s">
        <v>2491</v>
      </c>
      <c r="J18" s="979"/>
      <c r="K18" s="980"/>
    </row>
    <row r="19" spans="1:33" s="975" customFormat="1" ht="13.5" customHeight="1">
      <c r="A19" s="971" t="s">
        <v>805</v>
      </c>
      <c r="B19" s="972" t="s">
        <v>2492</v>
      </c>
      <c r="C19" s="24">
        <f ca="1">ROUND(D19*E19/10000,0)</f>
        <v>3262</v>
      </c>
      <c r="D19" s="1033">
        <f ca="1">IF(C1="",'数据-汇总表'!E5,IF(INDIRECT("'数据-取费表'!c"&amp;$K$1)="住宅",INDIRECT("'数据-取费表'!k"&amp;$K$1),0))</f>
        <v>132590.15999999997</v>
      </c>
      <c r="E19" s="24">
        <f>'数据-取费表'!B27</f>
        <v>246</v>
      </c>
      <c r="F19" s="976"/>
      <c r="G19" s="15"/>
      <c r="H19" s="1579"/>
      <c r="I19" s="981"/>
      <c r="J19" s="981"/>
      <c r="K19" s="982"/>
    </row>
    <row r="20" spans="1:33" s="975" customFormat="1" ht="13.5" customHeight="1">
      <c r="A20" s="971" t="s">
        <v>806</v>
      </c>
      <c r="B20" s="972" t="s">
        <v>2493</v>
      </c>
      <c r="C20" s="24">
        <f ca="1">ROUND(D20*E20/10000,0)</f>
        <v>1082</v>
      </c>
      <c r="D20" s="1033">
        <f ca="1">IF(C1="",'数据-汇总表'!E6,IF(INDIRECT("'数据-取费表'!c"&amp;$K$1)="住宅",INDIRECT("'数据-取费表'!s"&amp;$K$1),INDIRECT("'数据-取费表'!k"&amp;$K$1)+INDIRECT("'数据-取费表'!s"&amp;$K$1)))</f>
        <v>43976.91</v>
      </c>
      <c r="E20" s="24">
        <f>'数据-取费表'!B28</f>
        <v>246</v>
      </c>
      <c r="F20" s="976"/>
      <c r="G20" s="15"/>
      <c r="H20" s="981"/>
      <c r="I20" s="981"/>
      <c r="J20" s="981"/>
      <c r="K20" s="982"/>
    </row>
    <row r="21" spans="1:33" s="975" customFormat="1" ht="13.5" customHeight="1">
      <c r="A21" s="961" t="s">
        <v>802</v>
      </c>
      <c r="B21" s="985" t="s">
        <v>2494</v>
      </c>
      <c r="C21" s="986">
        <f ca="1">C16+C17+C18</f>
        <v>57376</v>
      </c>
      <c r="D21" s="987"/>
      <c r="E21" s="325"/>
      <c r="F21" s="325"/>
      <c r="G21" s="140" t="s">
        <v>2495</v>
      </c>
      <c r="H21" s="979"/>
      <c r="I21" s="979"/>
      <c r="J21" s="979"/>
      <c r="K21" s="980"/>
    </row>
    <row r="22" spans="1:33" s="975" customFormat="1" ht="13.5" customHeight="1">
      <c r="A22" s="961" t="s">
        <v>2467</v>
      </c>
      <c r="B22" s="985" t="s">
        <v>2496</v>
      </c>
      <c r="C22" s="986">
        <f ca="1">ROUND(C21*F22,0)</f>
        <v>1148</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5503</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3824</v>
      </c>
      <c r="D25" s="324">
        <f ca="1">C26</f>
        <v>0.12659999999999999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0.12659999999999999</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3824</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2507</v>
      </c>
      <c r="B28" s="2560" t="s">
        <v>2508</v>
      </c>
      <c r="C28" s="331">
        <f ca="1">C30</f>
        <v>7683</v>
      </c>
      <c r="D28" s="324">
        <f ca="1">C29</f>
        <v>0.10290000000000001</v>
      </c>
      <c r="E28" s="326" t="s">
        <v>15</v>
      </c>
      <c r="F28" s="332">
        <f ca="1">IF(C1="",'数据-取费表'!Q16,INDIRECT("'数据-取费表'!q"&amp;$K$1))</f>
        <v>0.12</v>
      </c>
      <c r="G28" s="989"/>
      <c r="H28" s="990"/>
      <c r="I28" s="990"/>
      <c r="J28" s="990"/>
      <c r="K28" s="991"/>
    </row>
    <row r="29" spans="1:33" s="335" customFormat="1" ht="13.5" customHeight="1">
      <c r="A29" s="971" t="s">
        <v>803</v>
      </c>
      <c r="B29" s="994" t="s">
        <v>2509</v>
      </c>
      <c r="C29" s="328">
        <f ca="1">ROUND((1+C24)*F28*'数据-取费表'!B24/'数据-取费表'!B20,4)</f>
        <v>0.10290000000000001</v>
      </c>
      <c r="D29" s="328"/>
      <c r="E29" s="329"/>
      <c r="F29" s="334"/>
      <c r="G29" s="140" t="s">
        <v>2510</v>
      </c>
      <c r="H29" s="979"/>
      <c r="I29" s="979"/>
      <c r="J29" s="979"/>
      <c r="K29" s="980"/>
    </row>
    <row r="30" spans="1:33" s="335" customFormat="1" ht="13.5" customHeight="1">
      <c r="A30" s="971" t="s">
        <v>804</v>
      </c>
      <c r="B30" s="994" t="s">
        <v>2511</v>
      </c>
      <c r="C30" s="336">
        <f ca="1">ROUND((C21+C22+C23)*F28,0)</f>
        <v>7683</v>
      </c>
      <c r="D30" s="328"/>
      <c r="E30" s="329"/>
      <c r="F30" s="334"/>
      <c r="G30" s="140"/>
      <c r="H30" s="979"/>
      <c r="I30" s="979"/>
      <c r="J30" s="979"/>
      <c r="K30" s="980"/>
    </row>
    <row r="31" spans="1:33" s="975" customFormat="1" ht="13.5" customHeight="1" thickBot="1">
      <c r="A31" s="2561" t="s">
        <v>2512</v>
      </c>
      <c r="B31" s="1005" t="s">
        <v>2513</v>
      </c>
      <c r="C31" s="1006">
        <f>ROUND(C4*F31/(1+'数据-取费表'!C42),0)</f>
        <v>15448</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157867</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1583</v>
      </c>
      <c r="B1" s="782"/>
      <c r="C1" s="1837"/>
      <c r="D1" s="1820"/>
      <c r="E1" s="1821" t="s">
        <v>1381</v>
      </c>
      <c r="F1" s="1283">
        <f ca="1">J53</f>
        <v>-2.5</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#DIV/0!</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229" t="s">
        <v>1397</v>
      </c>
      <c r="C6" s="1296">
        <f ca="1">ROUND(F6*F8*F7*(1-F9)/10000,0)</f>
        <v>0</v>
      </c>
      <c r="D6" s="164" t="s">
        <v>3029</v>
      </c>
      <c r="E6" s="347" t="s">
        <v>1399</v>
      </c>
      <c r="F6" s="348">
        <f ca="1">INDIRECT("'数据-取费表'!u"&amp;$G$1)</f>
        <v>0</v>
      </c>
      <c r="G6" s="1851"/>
      <c r="H6" s="1291" t="s">
        <v>1031</v>
      </c>
      <c r="I6" s="3229" t="s">
        <v>1397</v>
      </c>
      <c r="J6" s="346">
        <f ca="1">ROUND(M6*M8*M7*(1-M9)/10000,0)</f>
        <v>0</v>
      </c>
      <c r="K6" s="164" t="s">
        <v>3028</v>
      </c>
      <c r="L6" s="347" t="s">
        <v>1399</v>
      </c>
      <c r="M6" s="348">
        <f ca="1">INDIRECT("'数据-取费表'!z"&amp;$G$1)</f>
        <v>0</v>
      </c>
    </row>
    <row r="7" spans="1:37" ht="18" customHeight="1">
      <c r="A7" s="1295"/>
      <c r="B7" s="3230"/>
      <c r="C7" s="1297"/>
      <c r="D7" s="352"/>
      <c r="E7" s="1298" t="s">
        <v>1400</v>
      </c>
      <c r="F7" s="348">
        <f ca="1">IF(INDIRECT("'数据-取费表'!ah"&amp;$G$1)="",INDIRECT("'数据-取费表'!k"&amp;$G$1),INDIRECT("'数据-取费表'!ah"&amp;$G$1))</f>
        <v>0</v>
      </c>
      <c r="G7" s="1851"/>
      <c r="H7" s="349"/>
      <c r="I7" s="3230"/>
      <c r="J7" s="351"/>
      <c r="K7" s="352"/>
      <c r="L7" s="347" t="s">
        <v>1400</v>
      </c>
      <c r="M7" s="348">
        <f ca="1">F7</f>
        <v>0</v>
      </c>
    </row>
    <row r="8" spans="1:37" ht="18" customHeight="1">
      <c r="A8" s="349"/>
      <c r="B8" s="3230"/>
      <c r="C8" s="351"/>
      <c r="D8" s="352"/>
      <c r="E8" s="347" t="s">
        <v>1401</v>
      </c>
      <c r="F8" s="348">
        <f ca="1">INDIRECT("'数据-取费表'!ai"&amp;$G$1)</f>
        <v>0</v>
      </c>
      <c r="G8" s="1851"/>
      <c r="H8" s="349"/>
      <c r="I8" s="3230"/>
      <c r="J8" s="351"/>
      <c r="K8" s="352"/>
      <c r="L8" s="347" t="s">
        <v>1401</v>
      </c>
      <c r="M8" s="348">
        <f ca="1">INDIRECT("'数据-取费表'!ai"&amp;$G$1)</f>
        <v>0</v>
      </c>
    </row>
    <row r="9" spans="1:37" ht="18" customHeight="1">
      <c r="A9" s="349"/>
      <c r="B9" s="3231"/>
      <c r="C9" s="351"/>
      <c r="D9" s="352"/>
      <c r="E9" s="347" t="s">
        <v>1402</v>
      </c>
      <c r="F9" s="357">
        <f ca="1">INDIRECT("'数据-取费表'!w"&amp;$G$1)</f>
        <v>0</v>
      </c>
      <c r="G9" s="1851"/>
      <c r="H9" s="349"/>
      <c r="I9" s="3231"/>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ROUND(F17*(F43+INDIRECT("'数据-取费表'!S"&amp;$G$1))/10000,0)</f>
        <v>0</v>
      </c>
      <c r="D17" s="347" t="s">
        <v>1421</v>
      </c>
      <c r="E17" s="347" t="s">
        <v>1422</v>
      </c>
      <c r="F17" s="26">
        <f>'数据-取费表'!B35</f>
        <v>200</v>
      </c>
      <c r="G17" s="1854"/>
      <c r="H17" s="1201" t="s">
        <v>1031</v>
      </c>
      <c r="I17" s="347" t="s">
        <v>1423</v>
      </c>
      <c r="J17" s="24">
        <f ca="1">ROUND(IF(项目基本情况!B11="自然人",J6*M17/(1+'数据-取费表'!C42),J18+J19+J20),1)</f>
        <v>0</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IF(K19="按租金收入计税",ROUND(J6*M19/(1+'数据-取费表'!C42),2),ROUND(C29*M19*0.7,2))</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4"/>
      <c r="H23" s="1201" t="s">
        <v>1071</v>
      </c>
      <c r="I23" s="347" t="s">
        <v>1447</v>
      </c>
      <c r="J23" s="24">
        <f ca="1">ROUND(J13*M23,1)</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0</v>
      </c>
      <c r="D31" s="1800" t="s">
        <v>1424</v>
      </c>
      <c r="E31" s="1798" t="s">
        <v>1475</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1030</v>
      </c>
      <c r="B32" s="347" t="s">
        <v>1427</v>
      </c>
      <c r="C32" s="24">
        <f ca="1">IF(项目基本情况!B11="自然人","——",ROUND(C6*F32/(1+'数据-取费表'!C42),2))</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ROUND(C13*F37,1)</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8" thickBot="1">
      <c r="A46" s="1870" t="s">
        <v>1514</v>
      </c>
      <c r="C46" s="1871" t="e">
        <f ca="1">C68-C40</f>
        <v>#DIV/0!</v>
      </c>
      <c r="D46" s="1872" t="str">
        <f>C2</f>
        <v>万元</v>
      </c>
      <c r="E46" s="1866"/>
      <c r="F46" s="1866"/>
      <c r="I46" s="1873" t="s">
        <v>1515</v>
      </c>
      <c r="J46" s="1874"/>
      <c r="K46" s="1875"/>
      <c r="L46" s="1876" t="e">
        <f ca="1">IF(M47="住宅",0,IF(L48&gt;J51,L60,J60))</f>
        <v>#DIV/0!</v>
      </c>
      <c r="O46" s="1877" t="s">
        <v>1516</v>
      </c>
      <c r="P46" s="1878" t="s">
        <v>1517</v>
      </c>
      <c r="Q46" s="1879" t="s">
        <v>1518</v>
      </c>
      <c r="R46" s="1879" t="s">
        <v>1519</v>
      </c>
    </row>
    <row r="47" spans="1:18" s="1842" customFormat="1" ht="13.8" thickBot="1">
      <c r="A47" s="1165" t="s">
        <v>1390</v>
      </c>
      <c r="B47" s="1197" t="s">
        <v>1391</v>
      </c>
      <c r="C47" s="136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40.200000000000003"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8" thickBot="1">
      <c r="A49" s="1194" t="s">
        <v>1132</v>
      </c>
      <c r="B49" s="1829" t="s">
        <v>1484</v>
      </c>
      <c r="C49" s="1364">
        <f ca="1">ROUND(F49*F51*F50*(1-F52)/10000,0)</f>
        <v>0</v>
      </c>
      <c r="D49" s="1276" t="s">
        <v>3030</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8" thickBot="1">
      <c r="A50" s="1195"/>
      <c r="B50" s="1198"/>
      <c r="C50" s="1368"/>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8"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8" thickBot="1">
      <c r="A52" s="1196"/>
      <c r="B52" s="1198"/>
      <c r="C52" s="1199"/>
      <c r="D52" s="1172"/>
      <c r="E52" s="1200" t="s">
        <v>1402</v>
      </c>
      <c r="F52" s="1275"/>
      <c r="I52" s="1903" t="s">
        <v>1537</v>
      </c>
      <c r="J52" s="1904"/>
      <c r="K52" s="1903" t="s">
        <v>1538</v>
      </c>
      <c r="L52" s="1904"/>
      <c r="O52" s="1894" t="s">
        <v>1041</v>
      </c>
      <c r="P52" s="1885" t="s">
        <v>1539</v>
      </c>
      <c r="Q52" s="1886">
        <f ca="1">J53</f>
        <v>-2.5</v>
      </c>
      <c r="R52" s="1886" t="s">
        <v>1540</v>
      </c>
    </row>
    <row r="53" spans="1:18" s="1842" customFormat="1" ht="36.6" thickBot="1">
      <c r="A53" s="1405" t="s">
        <v>1133</v>
      </c>
      <c r="B53" s="1831" t="s">
        <v>1403</v>
      </c>
      <c r="C53" s="361">
        <f ca="1">ROUND(IF(F53="押一",C49/12*F11,IF(F53="押二",C49/12*2*F11,IF(F53="押三",C49/12*3*F11,C54*F11))),0)</f>
        <v>0</v>
      </c>
      <c r="D53" s="1824" t="s">
        <v>3037</v>
      </c>
      <c r="E53" s="358" t="s">
        <v>1404</v>
      </c>
      <c r="F53" s="1366"/>
      <c r="I53" s="1905" t="s">
        <v>1541</v>
      </c>
      <c r="J53" s="2951">
        <f ca="1">IF(M47="住宅",IF(D1="——",MAX(J51,L48),MAX(J51,L48-'数据-取费表'!B24)),IF(D1="——",MIN(J51,L48),MIN(J51,L48-'数据-取费表'!B24)))</f>
        <v>-2.5</v>
      </c>
      <c r="K53" s="3227" t="s">
        <v>1542</v>
      </c>
      <c r="L53" s="3228"/>
      <c r="O53" s="1884" t="s">
        <v>1042</v>
      </c>
      <c r="P53" s="1885" t="s">
        <v>1543</v>
      </c>
      <c r="Q53" s="1886" t="e">
        <f ca="1">Q47+Q48</f>
        <v>#DIV/0!</v>
      </c>
      <c r="R53" s="1886" t="s">
        <v>1043</v>
      </c>
    </row>
    <row r="54" spans="1:18" s="1842" customFormat="1" ht="24.6"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8" thickBot="1">
      <c r="A55" s="1333" t="s">
        <v>1071</v>
      </c>
      <c r="B55" s="1827" t="s">
        <v>1407</v>
      </c>
      <c r="C55" s="1334"/>
      <c r="D55" s="1824"/>
      <c r="E55" s="1832"/>
      <c r="F55" s="1906"/>
      <c r="I55" s="1909" t="s">
        <v>1545</v>
      </c>
      <c r="J55" s="1910" t="e">
        <f ca="1">ROUND(IF(J47="钢混",J57/J50,1-(1-2%)*(J50-J57)/J50),3)</f>
        <v>#DIV/0!</v>
      </c>
      <c r="K55" s="1911" t="s">
        <v>1546</v>
      </c>
      <c r="L55" s="1912" t="s">
        <v>1547</v>
      </c>
      <c r="O55" s="1877" t="s">
        <v>1516</v>
      </c>
      <c r="P55" s="1878" t="s">
        <v>1517</v>
      </c>
      <c r="Q55" s="1879" t="s">
        <v>1518</v>
      </c>
      <c r="R55" s="1879" t="s">
        <v>1519</v>
      </c>
    </row>
    <row r="56" spans="1:18" s="1842" customFormat="1" ht="37.200000000000003" thickTop="1" thickBot="1">
      <c r="A56" s="1176">
        <v>2</v>
      </c>
      <c r="B56" s="1177" t="s">
        <v>1408</v>
      </c>
      <c r="C56" s="276">
        <f ca="1">C13</f>
        <v>0</v>
      </c>
      <c r="D56" s="1913"/>
      <c r="E56" s="1914"/>
      <c r="F56" s="1906"/>
      <c r="I56" s="1915" t="s">
        <v>1548</v>
      </c>
      <c r="J56" s="1916"/>
      <c r="K56" s="1887" t="s">
        <v>1549</v>
      </c>
      <c r="L56" s="1890">
        <f ca="1">IF(L48&lt;J51,"——",L48-J53)</f>
        <v>2.5</v>
      </c>
      <c r="O56" s="1884" t="s">
        <v>1036</v>
      </c>
      <c r="P56" s="1885" t="s">
        <v>1522</v>
      </c>
      <c r="Q56" s="1886" t="e">
        <f ca="1">C40+J29</f>
        <v>#DIV/0!</v>
      </c>
      <c r="R56" s="1886" t="s">
        <v>1523</v>
      </c>
    </row>
    <row r="57" spans="1:18" s="1842" customFormat="1" ht="24.6" thickBot="1">
      <c r="A57" s="1917"/>
      <c r="B57" s="1169" t="s">
        <v>1472</v>
      </c>
      <c r="C57" s="282">
        <f ca="1">C29</f>
        <v>0</v>
      </c>
      <c r="D57" s="1918"/>
      <c r="E57" s="1919"/>
      <c r="F57" s="1920"/>
      <c r="I57" s="1921" t="s">
        <v>1550</v>
      </c>
      <c r="J57" s="1922">
        <f ca="1">IF(OR(M47="住宅",J51&lt;L48,J56="是"),"——",J51-L48)</f>
        <v>0</v>
      </c>
      <c r="K57" s="1887" t="s">
        <v>1551</v>
      </c>
      <c r="L57" s="1890">
        <f ca="1">IF(L48&lt;J51,"——",IF(L55="比较法",L49,IF(L55="基准地价",L50,L51)))</f>
        <v>0</v>
      </c>
      <c r="O57" s="1884" t="s">
        <v>1037</v>
      </c>
      <c r="P57" s="1885" t="s">
        <v>1552</v>
      </c>
      <c r="Q57" s="1886" t="e">
        <f ca="1">L60</f>
        <v>#DIV/0!</v>
      </c>
      <c r="R57" s="1886" t="s">
        <v>1553</v>
      </c>
    </row>
    <row r="58" spans="1:18" s="1842" customFormat="1" ht="24.6" thickBot="1">
      <c r="A58" s="360" t="s">
        <v>1026</v>
      </c>
      <c r="B58" s="1177" t="s">
        <v>1418</v>
      </c>
      <c r="C58" s="361">
        <f ca="1">ROUND(C59+C64+C65+C66,0)</f>
        <v>0</v>
      </c>
      <c r="D58" s="1179" t="s">
        <v>1419</v>
      </c>
      <c r="E58" s="1180"/>
      <c r="F58" s="1181"/>
      <c r="I58" s="1921" t="s">
        <v>1554</v>
      </c>
      <c r="J58" s="1923" t="e">
        <f ca="1">IF(J55&lt;0.4,0.4,J55)</f>
        <v>#DIV/0!</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6" thickBot="1">
      <c r="A59" s="1201" t="s">
        <v>1031</v>
      </c>
      <c r="B59" s="1169" t="s">
        <v>1423</v>
      </c>
      <c r="C59" s="24">
        <f ca="1">ROUND(IF(项目基本情况!B11="自然人",C48*F59,C60+C61+C62),1)</f>
        <v>0</v>
      </c>
      <c r="D59" s="1182" t="s">
        <v>1424</v>
      </c>
      <c r="E59" s="1183" t="s">
        <v>1425</v>
      </c>
      <c r="F59" s="368">
        <f ca="1">IF(项目基本情况!B11="企业","",IF(INDIRECT("'数据-取费表'!c"&amp;$G$1)="住宅",5%,IF(F49*F50*F51/12/(1+'数据-取费表'!C42)&gt;20000,12%,7%)))</f>
        <v>7.0000000000000007E-2</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2"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8" thickBot="1">
      <c r="A61" s="1201" t="s">
        <v>1486</v>
      </c>
      <c r="B61" s="1169" t="s">
        <v>1487</v>
      </c>
      <c r="C61" s="24">
        <f ca="1">IF(项目基本情况!B11="自然人","——",IF(D61="按租金收入计税",ROUND(C48*F61,2),IF(D61="按房产原值计税",ROUND(C57*F61*0.7,2),INDIRECT("'数据-取费表'!Aj"&amp;$G$1))))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8"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8"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8" thickBot="1">
      <c r="A64" s="1201" t="s">
        <v>1494</v>
      </c>
      <c r="B64" s="1169" t="s">
        <v>1495</v>
      </c>
      <c r="C64" s="24">
        <f ca="1">ROUND(C57*F64,1)</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ROUND(C56*F65,1)</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2" thickBot="1">
      <c r="A66" s="1201" t="s">
        <v>1498</v>
      </c>
      <c r="B66" s="1169" t="s">
        <v>1433</v>
      </c>
      <c r="C66" s="24">
        <f ca="1">ROUND(C48*F66,1)</f>
        <v>0</v>
      </c>
      <c r="D66" s="1183" t="s">
        <v>1499</v>
      </c>
      <c r="E66" s="1169" t="s">
        <v>1416</v>
      </c>
      <c r="F66" s="357">
        <f t="shared" ca="1" si="0"/>
        <v>0</v>
      </c>
      <c r="O66" s="1884" t="s">
        <v>1037</v>
      </c>
      <c r="P66" s="1885" t="s">
        <v>1552</v>
      </c>
      <c r="Q66" s="1886" t="e">
        <f ca="1">L60</f>
        <v>#DIV/0!</v>
      </c>
      <c r="R66" s="1886" t="s">
        <v>1575</v>
      </c>
    </row>
    <row r="67" spans="1:18" s="1842" customFormat="1" ht="24.6"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2"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8" thickBot="1">
      <c r="A69" s="1170"/>
      <c r="B69" s="1171"/>
      <c r="C69" s="351"/>
      <c r="D69" s="1189" t="s">
        <v>1467</v>
      </c>
      <c r="E69" s="1169" t="s">
        <v>1468</v>
      </c>
      <c r="F69" s="379">
        <f ca="1">F41</f>
        <v>0</v>
      </c>
      <c r="O69" s="1894" t="s">
        <v>1044</v>
      </c>
      <c r="P69" s="1933" t="s">
        <v>1578</v>
      </c>
      <c r="Q69" s="1886">
        <f ca="1">C39</f>
        <v>0</v>
      </c>
      <c r="R69" s="1886" t="s">
        <v>1523</v>
      </c>
    </row>
    <row r="70" spans="1:18" s="1842" customFormat="1" ht="13.8" thickBot="1">
      <c r="A70" s="1173"/>
      <c r="B70" s="1174"/>
      <c r="C70" s="355"/>
      <c r="D70" s="1185"/>
      <c r="E70" s="1169" t="s">
        <v>1471</v>
      </c>
      <c r="F70" s="1275"/>
      <c r="O70" s="1894" t="s">
        <v>1045</v>
      </c>
      <c r="P70" s="1933" t="s">
        <v>1579</v>
      </c>
      <c r="Q70" s="1886">
        <f ca="1">C13</f>
        <v>0</v>
      </c>
      <c r="R70" s="1886" t="s">
        <v>1523</v>
      </c>
    </row>
    <row r="71" spans="1:18" s="1842" customFormat="1" ht="13.8" thickBot="1">
      <c r="A71" s="1190" t="s">
        <v>1029</v>
      </c>
      <c r="B71" s="1191" t="s">
        <v>1481</v>
      </c>
      <c r="C71" s="382" t="e">
        <f ca="1">ROUND(C68*10000/F71,0)</f>
        <v>#DIV/0!</v>
      </c>
      <c r="D71" s="1192" t="s">
        <v>1482</v>
      </c>
      <c r="E71" s="1193" t="s">
        <v>1483</v>
      </c>
      <c r="F71" s="385">
        <f ca="1">F43</f>
        <v>0</v>
      </c>
      <c r="O71" s="1894" t="s">
        <v>1046</v>
      </c>
      <c r="P71" s="1933" t="s">
        <v>1580</v>
      </c>
      <c r="Q71" s="1897">
        <f ca="1">C76</f>
        <v>0</v>
      </c>
      <c r="R71" s="1886"/>
    </row>
    <row r="72" spans="1:18" s="1842" customFormat="1" ht="13.8" thickBot="1">
      <c r="B72" s="796"/>
      <c r="C72" s="796"/>
      <c r="O72" s="1894" t="s">
        <v>1040</v>
      </c>
      <c r="P72" s="1885" t="s">
        <v>1558</v>
      </c>
      <c r="Q72" s="1897">
        <f>L52</f>
        <v>0</v>
      </c>
      <c r="R72" s="1886"/>
    </row>
    <row r="73" spans="1:18" ht="16.2" thickBot="1">
      <c r="A73" s="1842"/>
      <c r="B73" s="796"/>
      <c r="C73" s="796"/>
      <c r="D73" s="1842"/>
      <c r="E73" s="1842"/>
      <c r="F73" s="1842"/>
      <c r="O73" s="1894" t="s">
        <v>1041</v>
      </c>
      <c r="P73" s="1885" t="s">
        <v>1561</v>
      </c>
      <c r="Q73" s="1886" t="e">
        <f ca="1">L58</f>
        <v>#DIV/0!</v>
      </c>
      <c r="R73" s="1886" t="s">
        <v>1562</v>
      </c>
    </row>
    <row r="74" spans="1:18" ht="13.8"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8"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1583</v>
      </c>
      <c r="B1" s="782"/>
      <c r="C1" s="1837"/>
      <c r="D1" s="1820"/>
      <c r="E1" s="1821" t="s">
        <v>1381</v>
      </c>
      <c r="F1" s="1283">
        <f ca="1">J53</f>
        <v>-2.5</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229" t="s">
        <v>1397</v>
      </c>
      <c r="C6" s="1296">
        <f ca="1">ROUND(F6*F8*F7*(1-F9),0)</f>
        <v>0</v>
      </c>
      <c r="D6" s="164" t="s">
        <v>3026</v>
      </c>
      <c r="E6" s="347" t="s">
        <v>1399</v>
      </c>
      <c r="F6" s="348">
        <f ca="1">INDIRECT("'数据-取费表'!u"&amp;$G$1)</f>
        <v>0</v>
      </c>
      <c r="G6" s="1851"/>
      <c r="H6" s="1291" t="s">
        <v>1031</v>
      </c>
      <c r="I6" s="3229" t="s">
        <v>1397</v>
      </c>
      <c r="J6" s="346">
        <f ca="1">ROUND(M6*M8*M7*(1-M9),0)</f>
        <v>0</v>
      </c>
      <c r="K6" s="1834" t="s">
        <v>3027</v>
      </c>
      <c r="L6" s="347" t="s">
        <v>1399</v>
      </c>
      <c r="M6" s="348">
        <f ca="1">INDIRECT("'数据-取费表'!z"&amp;$G$1)</f>
        <v>0</v>
      </c>
    </row>
    <row r="7" spans="1:37" ht="18" customHeight="1">
      <c r="A7" s="1295"/>
      <c r="B7" s="3230"/>
      <c r="C7" s="1297"/>
      <c r="D7" s="352"/>
      <c r="E7" s="1298" t="s">
        <v>1400</v>
      </c>
      <c r="F7" s="348">
        <f ca="1">IF(INDIRECT("'数据-取费表'!ah"&amp;$G$1)="",INDIRECT("'数据-取费表'!k"&amp;$G$1),INDIRECT("'数据-取费表'!ah"&amp;$G$1))</f>
        <v>0</v>
      </c>
      <c r="G7" s="1851"/>
      <c r="H7" s="349"/>
      <c r="I7" s="3230"/>
      <c r="J7" s="351"/>
      <c r="K7" s="352"/>
      <c r="L7" s="347" t="s">
        <v>1400</v>
      </c>
      <c r="M7" s="348">
        <f ca="1">F7</f>
        <v>0</v>
      </c>
    </row>
    <row r="8" spans="1:37" ht="18" customHeight="1">
      <c r="A8" s="349"/>
      <c r="B8" s="3230"/>
      <c r="C8" s="351"/>
      <c r="D8" s="352"/>
      <c r="E8" s="347" t="s">
        <v>1401</v>
      </c>
      <c r="F8" s="348">
        <f ca="1">INDIRECT("'数据-取费表'!ai"&amp;$G$1)</f>
        <v>0</v>
      </c>
      <c r="G8" s="1851"/>
      <c r="H8" s="349"/>
      <c r="I8" s="3230"/>
      <c r="J8" s="351"/>
      <c r="K8" s="352"/>
      <c r="L8" s="347" t="s">
        <v>1401</v>
      </c>
      <c r="M8" s="348">
        <f ca="1">INDIRECT("'数据-取费表'!ai"&amp;$G$1)</f>
        <v>0</v>
      </c>
    </row>
    <row r="9" spans="1:37" ht="18" customHeight="1">
      <c r="A9" s="349"/>
      <c r="B9" s="3231"/>
      <c r="C9" s="351"/>
      <c r="D9" s="352"/>
      <c r="E9" s="347" t="s">
        <v>1402</v>
      </c>
      <c r="F9" s="357">
        <f ca="1">INDIRECT("'数据-取费表'!w"&amp;$G$1)</f>
        <v>0</v>
      </c>
      <c r="G9" s="1851"/>
      <c r="H9" s="349"/>
      <c r="I9" s="3231"/>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3037</v>
      </c>
      <c r="E10" s="358" t="s">
        <v>1404</v>
      </c>
      <c r="F10" s="1366"/>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8"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8"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40.200000000000003"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8"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8"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8"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8" thickBot="1">
      <c r="A52" s="1196"/>
      <c r="B52" s="1198"/>
      <c r="C52" s="1199"/>
      <c r="D52" s="1172"/>
      <c r="E52" s="1200" t="s">
        <v>1402</v>
      </c>
      <c r="F52" s="1275"/>
      <c r="I52" s="1903" t="s">
        <v>1537</v>
      </c>
      <c r="J52" s="1904"/>
      <c r="K52" s="1903" t="s">
        <v>1538</v>
      </c>
      <c r="L52" s="1904"/>
      <c r="O52" s="1894" t="s">
        <v>1041</v>
      </c>
      <c r="P52" s="1885" t="s">
        <v>1539</v>
      </c>
      <c r="Q52" s="1886">
        <f ca="1">J53</f>
        <v>-2.5</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51">
        <f ca="1">IF(M47="住宅",IF(D1="——",MAX(J51,L48),MAX(J51,L48-'数据-取费表'!B24)),IF(D1="——",MIN(J51,L48),MIN(J51,L48-'数据-取费表'!B24)))</f>
        <v>-2.5</v>
      </c>
      <c r="K53" s="3227" t="s">
        <v>1542</v>
      </c>
      <c r="L53" s="3228"/>
      <c r="O53" s="1884" t="s">
        <v>1042</v>
      </c>
      <c r="P53" s="1885" t="s">
        <v>1543</v>
      </c>
      <c r="Q53" s="1886" t="e">
        <f ca="1">Q47+Q48</f>
        <v>#DIV/0!</v>
      </c>
      <c r="R53" s="1886" t="s">
        <v>1043</v>
      </c>
    </row>
    <row r="54" spans="1:18" s="1842" customFormat="1" ht="13.8"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8"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6"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6"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6"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2"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8"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8"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8"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8"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2"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24.6"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2"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8" thickBot="1">
      <c r="A69" s="1170"/>
      <c r="B69" s="1171"/>
      <c r="C69" s="351"/>
      <c r="D69" s="1189" t="s">
        <v>1467</v>
      </c>
      <c r="E69" s="1169" t="s">
        <v>1468</v>
      </c>
      <c r="F69" s="379">
        <f ca="1">F41</f>
        <v>0</v>
      </c>
      <c r="O69" s="1894" t="s">
        <v>1044</v>
      </c>
      <c r="P69" s="1933" t="s">
        <v>1578</v>
      </c>
      <c r="Q69" s="1886">
        <f ca="1">C39</f>
        <v>0</v>
      </c>
      <c r="R69" s="1886" t="s">
        <v>1523</v>
      </c>
    </row>
    <row r="70" spans="1:18" s="1842" customFormat="1" ht="13.8" thickBot="1">
      <c r="A70" s="1173"/>
      <c r="B70" s="1174"/>
      <c r="C70" s="355"/>
      <c r="D70" s="1185"/>
      <c r="E70" s="1169" t="s">
        <v>1471</v>
      </c>
      <c r="F70" s="1275">
        <f ca="1">F42</f>
        <v>0</v>
      </c>
      <c r="O70" s="1894" t="s">
        <v>1045</v>
      </c>
      <c r="P70" s="1933" t="s">
        <v>1579</v>
      </c>
      <c r="Q70" s="1886">
        <f ca="1">C13</f>
        <v>0</v>
      </c>
      <c r="R70" s="1886" t="s">
        <v>1523</v>
      </c>
    </row>
    <row r="71" spans="1:18" s="1842" customFormat="1" ht="13.8"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8" thickBot="1">
      <c r="B72" s="796"/>
      <c r="C72" s="796"/>
      <c r="O72" s="1894" t="s">
        <v>1040</v>
      </c>
      <c r="P72" s="1885" t="s">
        <v>1558</v>
      </c>
      <c r="Q72" s="1897">
        <f>L52</f>
        <v>0</v>
      </c>
      <c r="R72" s="1886"/>
    </row>
    <row r="73" spans="1:18" ht="16.2" thickBot="1">
      <c r="A73" s="1842"/>
      <c r="B73" s="796"/>
      <c r="C73" s="796"/>
      <c r="D73" s="1842"/>
      <c r="E73" s="1842"/>
      <c r="F73" s="1842"/>
      <c r="O73" s="1894" t="s">
        <v>1041</v>
      </c>
      <c r="P73" s="1885" t="s">
        <v>1561</v>
      </c>
      <c r="Q73" s="1886" t="e">
        <f ca="1">L58</f>
        <v>#DIV/0!</v>
      </c>
      <c r="R73" s="1886" t="s">
        <v>1562</v>
      </c>
    </row>
    <row r="74" spans="1:18" ht="13.8"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8"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F13"/>
  <sheetViews>
    <sheetView workbookViewId="0">
      <selection activeCell="J53" sqref="J53"/>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2" t="s">
        <v>2524</v>
      </c>
      <c r="B1" s="2563"/>
      <c r="C1" s="2563"/>
      <c r="D1" s="2563"/>
      <c r="E1" s="2564"/>
    </row>
    <row r="2" spans="1:6" ht="15.6">
      <c r="A2" s="2565" t="s">
        <v>2328</v>
      </c>
      <c r="B2" s="2566">
        <f ca="1">SUMIF(B6:B13,"&lt;&gt;#ref!",B6:B13)</f>
        <v>0</v>
      </c>
      <c r="C2" s="2567" t="s">
        <v>2517</v>
      </c>
      <c r="D2" s="2568" t="s">
        <v>2518</v>
      </c>
      <c r="E2" s="2569">
        <f>SUM(E6:E13)</f>
        <v>0</v>
      </c>
    </row>
    <row r="3" spans="1:6" ht="15.6">
      <c r="A3" s="2565" t="s">
        <v>1389</v>
      </c>
      <c r="B3" s="2566" t="e">
        <f ca="1">ROUND(B2*10000/E2,0)</f>
        <v>#DIV/0!</v>
      </c>
      <c r="C3" s="2567" t="s">
        <v>2525</v>
      </c>
      <c r="D3" s="2570"/>
      <c r="E3" s="2571"/>
    </row>
    <row r="4" spans="1:6" ht="15.6">
      <c r="A4" s="2572"/>
      <c r="B4" s="2570"/>
      <c r="C4" s="2570"/>
      <c r="D4" s="2570"/>
      <c r="E4" s="2571"/>
    </row>
    <row r="5" spans="1:6" ht="14.4">
      <c r="A5" s="2573" t="s">
        <v>2519</v>
      </c>
      <c r="B5" s="3232" t="s">
        <v>2520</v>
      </c>
      <c r="C5" s="3232"/>
      <c r="D5" s="2574"/>
      <c r="E5" s="2575" t="s">
        <v>2521</v>
      </c>
      <c r="F5" s="2576" t="s">
        <v>2522</v>
      </c>
    </row>
    <row r="6" spans="1:6" ht="14.4">
      <c r="A6" s="2577">
        <f>'数据-取费表'!AN6</f>
        <v>0</v>
      </c>
      <c r="B6" s="2576" t="e">
        <f ca="1">IF(F6="是",'数据-取费表'!AO6,0)</f>
        <v>#REF!</v>
      </c>
      <c r="C6" s="2567" t="s">
        <v>2517</v>
      </c>
      <c r="D6" s="2570"/>
      <c r="E6" s="2578">
        <f>IF(OR(A6=0,F6="否"),0,'数据-取费表'!K6+'数据-取费表'!S6)</f>
        <v>0</v>
      </c>
      <c r="F6" s="2579" t="s">
        <v>2523</v>
      </c>
    </row>
    <row r="7" spans="1:6" ht="14.4">
      <c r="A7" s="2577">
        <f>'数据-取费表'!AN7</f>
        <v>0</v>
      </c>
      <c r="B7" s="2576" t="e">
        <f ca="1">IF(F7="是",'数据-取费表'!AO7,0)</f>
        <v>#REF!</v>
      </c>
      <c r="C7" s="2567" t="s">
        <v>2517</v>
      </c>
      <c r="D7" s="2570"/>
      <c r="E7" s="2578">
        <f>IF(OR(A7=0,F7="否"),0,'数据-取费表'!K7+'数据-取费表'!S7)</f>
        <v>0</v>
      </c>
      <c r="F7" s="2579" t="s">
        <v>2523</v>
      </c>
    </row>
    <row r="8" spans="1:6" ht="14.4">
      <c r="A8" s="2577">
        <f>'数据-取费表'!AN8</f>
        <v>0</v>
      </c>
      <c r="B8" s="2576" t="e">
        <f ca="1">IF(F8="是",'数据-取费表'!AO8,0)</f>
        <v>#REF!</v>
      </c>
      <c r="C8" s="2567" t="s">
        <v>2517</v>
      </c>
      <c r="D8" s="2570"/>
      <c r="E8" s="2578">
        <f>IF(OR(A8=0,F8="否"),0,'数据-取费表'!K8+'数据-取费表'!S8)</f>
        <v>0</v>
      </c>
      <c r="F8" s="2579" t="s">
        <v>2523</v>
      </c>
    </row>
    <row r="9" spans="1:6" ht="14.4">
      <c r="A9" s="2577">
        <f>'数据-取费表'!AN9</f>
        <v>0</v>
      </c>
      <c r="B9" s="2576" t="e">
        <f ca="1">IF(F9="是",'数据-取费表'!AO9,0)</f>
        <v>#REF!</v>
      </c>
      <c r="C9" s="2567" t="s">
        <v>2517</v>
      </c>
      <c r="D9" s="2570"/>
      <c r="E9" s="2578">
        <f>IF(OR(A9=0,F9="否"),0,'数据-取费表'!K9+'数据-取费表'!S9)</f>
        <v>0</v>
      </c>
      <c r="F9" s="2579" t="s">
        <v>2523</v>
      </c>
    </row>
    <row r="10" spans="1:6" ht="14.4">
      <c r="A10" s="2577">
        <f>'数据-取费表'!AN10</f>
        <v>0</v>
      </c>
      <c r="B10" s="2576" t="e">
        <f ca="1">IF(F10="是",'数据-取费表'!AO10,0)</f>
        <v>#REF!</v>
      </c>
      <c r="C10" s="2567" t="s">
        <v>2517</v>
      </c>
      <c r="D10" s="2570"/>
      <c r="E10" s="2578">
        <f>IF(OR(A10=0,F10="否"),0,'数据-取费表'!K10+'数据-取费表'!S10)</f>
        <v>0</v>
      </c>
      <c r="F10" s="2579" t="s">
        <v>2523</v>
      </c>
    </row>
    <row r="11" spans="1:6" ht="14.4">
      <c r="A11" s="2577">
        <f>'数据-取费表'!AN11</f>
        <v>0</v>
      </c>
      <c r="B11" s="2576" t="e">
        <f ca="1">IF(F11="是",'数据-取费表'!AO11,0)</f>
        <v>#REF!</v>
      </c>
      <c r="C11" s="2567" t="s">
        <v>2517</v>
      </c>
      <c r="D11" s="2570"/>
      <c r="E11" s="2578">
        <f>IF(OR(A11=0,F11="否"),0,'数据-取费表'!K11+'数据-取费表'!S11)</f>
        <v>0</v>
      </c>
      <c r="F11" s="2579" t="s">
        <v>2523</v>
      </c>
    </row>
    <row r="12" spans="1:6" ht="14.4">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249" t="s">
        <v>1072</v>
      </c>
      <c r="B1" s="3250"/>
      <c r="C1" s="3251"/>
      <c r="D1" s="3252">
        <f>SUM(I10,I15,I20,I21,I23)</f>
        <v>0</v>
      </c>
      <c r="E1" s="3252"/>
      <c r="F1" s="3252"/>
      <c r="G1" s="3252"/>
      <c r="H1" s="3252"/>
      <c r="I1" s="3253"/>
    </row>
    <row r="2" spans="1:9">
      <c r="A2" s="3239" t="s">
        <v>1073</v>
      </c>
      <c r="B2" s="3240" t="s">
        <v>1074</v>
      </c>
      <c r="C2" s="3240"/>
      <c r="D2" s="1301" t="s">
        <v>1075</v>
      </c>
      <c r="E2" s="1301" t="s">
        <v>1076</v>
      </c>
      <c r="F2" s="1301" t="s">
        <v>1077</v>
      </c>
      <c r="G2" s="1301" t="s">
        <v>1078</v>
      </c>
      <c r="H2" s="1301" t="s">
        <v>1079</v>
      </c>
      <c r="I2" s="1302" t="s">
        <v>1080</v>
      </c>
    </row>
    <row r="3" spans="1:9">
      <c r="A3" s="3239"/>
      <c r="B3" s="3240" t="s">
        <v>1081</v>
      </c>
      <c r="C3" s="3240"/>
      <c r="D3" s="1303"/>
      <c r="E3" s="1301"/>
      <c r="F3" s="1304"/>
      <c r="G3" s="1304"/>
      <c r="H3" s="1305"/>
      <c r="I3" s="1306">
        <f>ROUND(D3*E3*F3*G3*H3/10000,0)</f>
        <v>0</v>
      </c>
    </row>
    <row r="4" spans="1:9">
      <c r="A4" s="3239"/>
      <c r="B4" s="3240" t="s">
        <v>1082</v>
      </c>
      <c r="C4" s="3240"/>
      <c r="D4" s="1303"/>
      <c r="E4" s="1301"/>
      <c r="F4" s="1304"/>
      <c r="G4" s="1304"/>
      <c r="H4" s="1305"/>
      <c r="I4" s="1306">
        <f t="shared" ref="I4:I9" si="0">ROUND(D4*E4*F4*G4*H4/10000,0)</f>
        <v>0</v>
      </c>
    </row>
    <row r="5" spans="1:9">
      <c r="A5" s="3239"/>
      <c r="B5" s="3240" t="s">
        <v>1083</v>
      </c>
      <c r="C5" s="3240"/>
      <c r="D5" s="1303"/>
      <c r="E5" s="1301"/>
      <c r="F5" s="1304"/>
      <c r="G5" s="1304"/>
      <c r="H5" s="1305"/>
      <c r="I5" s="1306">
        <f t="shared" si="0"/>
        <v>0</v>
      </c>
    </row>
    <row r="6" spans="1:9">
      <c r="A6" s="3239"/>
      <c r="B6" s="3240" t="s">
        <v>1084</v>
      </c>
      <c r="C6" s="3240"/>
      <c r="D6" s="1303"/>
      <c r="E6" s="1301"/>
      <c r="F6" s="1304"/>
      <c r="G6" s="1304"/>
      <c r="H6" s="1305"/>
      <c r="I6" s="1306">
        <f t="shared" si="0"/>
        <v>0</v>
      </c>
    </row>
    <row r="7" spans="1:9">
      <c r="A7" s="3239"/>
      <c r="B7" s="3240" t="s">
        <v>1085</v>
      </c>
      <c r="C7" s="3240"/>
      <c r="D7" s="1303"/>
      <c r="E7" s="1301"/>
      <c r="F7" s="1304"/>
      <c r="G7" s="1304"/>
      <c r="H7" s="1305"/>
      <c r="I7" s="1306">
        <f t="shared" si="0"/>
        <v>0</v>
      </c>
    </row>
    <row r="8" spans="1:9">
      <c r="A8" s="3239"/>
      <c r="B8" s="3240" t="s">
        <v>1086</v>
      </c>
      <c r="C8" s="3240"/>
      <c r="D8" s="1303"/>
      <c r="E8" s="1301"/>
      <c r="F8" s="1304"/>
      <c r="G8" s="1304"/>
      <c r="H8" s="1305"/>
      <c r="I8" s="1306">
        <f t="shared" si="0"/>
        <v>0</v>
      </c>
    </row>
    <row r="9" spans="1:9">
      <c r="A9" s="3239"/>
      <c r="B9" s="3240" t="s">
        <v>1087</v>
      </c>
      <c r="C9" s="3240"/>
      <c r="D9" s="1303"/>
      <c r="E9" s="1301"/>
      <c r="F9" s="1304"/>
      <c r="G9" s="1304"/>
      <c r="H9" s="1305"/>
      <c r="I9" s="1306">
        <f t="shared" si="0"/>
        <v>0</v>
      </c>
    </row>
    <row r="10" spans="1:9">
      <c r="A10" s="3239"/>
      <c r="B10" s="3241" t="s">
        <v>1088</v>
      </c>
      <c r="C10" s="3241"/>
      <c r="D10" s="1307"/>
      <c r="E10" s="1307" t="e">
        <f>ROUND(D1*10000/D10/H9,0)</f>
        <v>#DIV/0!</v>
      </c>
      <c r="F10" s="1308"/>
      <c r="G10" s="1308"/>
      <c r="H10" s="1309"/>
      <c r="I10" s="1310">
        <f>SUM(I3:I9)</f>
        <v>0</v>
      </c>
    </row>
    <row r="11" spans="1:9" ht="15.6">
      <c r="A11" s="3239" t="s">
        <v>1089</v>
      </c>
      <c r="B11" s="3240" t="s">
        <v>1090</v>
      </c>
      <c r="C11" s="3240"/>
      <c r="D11" s="1303" t="s">
        <v>1091</v>
      </c>
      <c r="E11" s="1303" t="s">
        <v>1092</v>
      </c>
      <c r="F11" s="1304" t="s">
        <v>1093</v>
      </c>
      <c r="G11" s="1304" t="s">
        <v>1079</v>
      </c>
      <c r="H11" s="1311" t="s">
        <v>1094</v>
      </c>
      <c r="I11" s="1302" t="s">
        <v>1080</v>
      </c>
    </row>
    <row r="12" spans="1:9">
      <c r="A12" s="3239"/>
      <c r="B12" s="3240" t="s">
        <v>1095</v>
      </c>
      <c r="C12" s="3240"/>
      <c r="D12" s="1303"/>
      <c r="E12" s="1303"/>
      <c r="F12" s="1304"/>
      <c r="G12" s="1305"/>
      <c r="H12" s="1312"/>
      <c r="I12" s="1302">
        <f>ROUND(D12*E12*F12*G12/10000,0)</f>
        <v>0</v>
      </c>
    </row>
    <row r="13" spans="1:9">
      <c r="A13" s="3239"/>
      <c r="B13" s="3240" t="s">
        <v>1096</v>
      </c>
      <c r="C13" s="3240"/>
      <c r="D13" s="1303"/>
      <c r="E13" s="1303"/>
      <c r="F13" s="1304"/>
      <c r="G13" s="1305"/>
      <c r="H13" s="1312"/>
      <c r="I13" s="1302">
        <f>ROUND(D13*E13*F13*G13/10000,0)</f>
        <v>0</v>
      </c>
    </row>
    <row r="14" spans="1:9">
      <c r="A14" s="3239"/>
      <c r="B14" s="3240" t="s">
        <v>1097</v>
      </c>
      <c r="C14" s="3240"/>
      <c r="D14" s="1303"/>
      <c r="E14" s="1303"/>
      <c r="F14" s="1304"/>
      <c r="G14" s="1305"/>
      <c r="H14" s="1312"/>
      <c r="I14" s="1302">
        <f>ROUND(D14*E14*F14*G14/10000,0)</f>
        <v>0</v>
      </c>
    </row>
    <row r="15" spans="1:9">
      <c r="A15" s="3239"/>
      <c r="B15" s="3241" t="s">
        <v>1088</v>
      </c>
      <c r="C15" s="3241"/>
      <c r="D15" s="1307"/>
      <c r="E15" s="1307">
        <f>SUM(E12:E14)</f>
        <v>0</v>
      </c>
      <c r="F15" s="1308"/>
      <c r="G15" s="1305"/>
      <c r="H15" s="1312"/>
      <c r="I15" s="1313">
        <f>SUM(I12:I14)</f>
        <v>0</v>
      </c>
    </row>
    <row r="16" spans="1:9" ht="24">
      <c r="A16" s="3239" t="s">
        <v>1098</v>
      </c>
      <c r="B16" s="3240" t="s">
        <v>1099</v>
      </c>
      <c r="C16" s="3240"/>
      <c r="D16" s="1303" t="s">
        <v>1075</v>
      </c>
      <c r="E16" s="1314" t="s">
        <v>1100</v>
      </c>
      <c r="F16" s="1304" t="s">
        <v>1101</v>
      </c>
      <c r="G16" s="1305" t="s">
        <v>1079</v>
      </c>
      <c r="H16" s="1311" t="s">
        <v>1094</v>
      </c>
      <c r="I16" s="1302" t="s">
        <v>1080</v>
      </c>
    </row>
    <row r="17" spans="1:9" ht="15.6">
      <c r="A17" s="3239"/>
      <c r="B17" s="3240" t="s">
        <v>1102</v>
      </c>
      <c r="C17" s="3240"/>
      <c r="D17" s="1303"/>
      <c r="E17" s="1303"/>
      <c r="F17" s="1304"/>
      <c r="G17" s="1305"/>
      <c r="H17" s="1315"/>
      <c r="I17" s="1316">
        <f>ROUND(D17*E17*F17*G17/10000,0)</f>
        <v>0</v>
      </c>
    </row>
    <row r="18" spans="1:9" ht="15.6">
      <c r="A18" s="3239"/>
      <c r="B18" s="3240" t="s">
        <v>1103</v>
      </c>
      <c r="C18" s="3240"/>
      <c r="D18" s="1303"/>
      <c r="E18" s="1303"/>
      <c r="F18" s="1304"/>
      <c r="G18" s="1305"/>
      <c r="H18" s="1315"/>
      <c r="I18" s="1316">
        <f>ROUND(D18*E18*F18*G18/10000,0)</f>
        <v>0</v>
      </c>
    </row>
    <row r="19" spans="1:9" ht="15.6">
      <c r="A19" s="3239"/>
      <c r="B19" s="3240" t="s">
        <v>1104</v>
      </c>
      <c r="C19" s="3240"/>
      <c r="D19" s="1303"/>
      <c r="E19" s="1303"/>
      <c r="F19" s="1304"/>
      <c r="G19" s="1305"/>
      <c r="H19" s="1315"/>
      <c r="I19" s="1316">
        <f>ROUND(D19*E19*F19*G19/10000,0)</f>
        <v>0</v>
      </c>
    </row>
    <row r="20" spans="1:9">
      <c r="A20" s="3239"/>
      <c r="B20" s="3241" t="s">
        <v>1088</v>
      </c>
      <c r="C20" s="3241"/>
      <c r="D20" s="1307">
        <f>SUM(D17:D19)</f>
        <v>0</v>
      </c>
      <c r="E20" s="1307"/>
      <c r="F20" s="1308"/>
      <c r="G20" s="1305"/>
      <c r="H20" s="1312"/>
      <c r="I20" s="1313">
        <f>SUM(I17:I19)</f>
        <v>0</v>
      </c>
    </row>
    <row r="21" spans="1:9">
      <c r="A21" s="3239" t="s">
        <v>1105</v>
      </c>
      <c r="B21" s="3242"/>
      <c r="C21" s="3242"/>
      <c r="D21" s="3242"/>
      <c r="E21" s="3242"/>
      <c r="F21" s="3242"/>
      <c r="G21" s="3242"/>
      <c r="H21" s="1765">
        <v>0.1</v>
      </c>
      <c r="I21" s="1310">
        <f>ROUND(I10*H21,0)</f>
        <v>0</v>
      </c>
    </row>
    <row r="22" spans="1:9" ht="15.6">
      <c r="A22" s="3243" t="s">
        <v>1106</v>
      </c>
      <c r="B22" s="3244"/>
      <c r="C22" s="3245"/>
      <c r="D22" s="1317" t="s">
        <v>1107</v>
      </c>
      <c r="E22" s="1317" t="s">
        <v>1108</v>
      </c>
      <c r="F22" s="1318" t="s">
        <v>1109</v>
      </c>
      <c r="G22" s="1318" t="s">
        <v>1110</v>
      </c>
      <c r="H22" s="1311" t="s">
        <v>1111</v>
      </c>
      <c r="I22" s="1302" t="s">
        <v>1112</v>
      </c>
    </row>
    <row r="23" spans="1:9" ht="15" thickBot="1">
      <c r="A23" s="3246"/>
      <c r="B23" s="3247"/>
      <c r="C23" s="3248"/>
      <c r="D23" s="1319"/>
      <c r="E23" s="1319"/>
      <c r="F23" s="1319"/>
      <c r="G23" s="1320"/>
      <c r="H23" s="1321"/>
      <c r="I23" s="1322">
        <f>ROUND(E23*D23*F23*(1-G23)/10000,0)</f>
        <v>0</v>
      </c>
    </row>
    <row r="26" spans="1:9">
      <c r="A26" s="1323" t="s">
        <v>1113</v>
      </c>
      <c r="B26" s="1323"/>
      <c r="C26" s="1323"/>
      <c r="D26" s="1323"/>
      <c r="E26" s="3236">
        <f>C27-C30-C31-C32</f>
        <v>0</v>
      </c>
      <c r="F26" s="3236"/>
      <c r="G26" s="3236"/>
      <c r="H26" s="1737" t="s">
        <v>1335</v>
      </c>
    </row>
    <row r="27" spans="1:9">
      <c r="A27" s="1324">
        <v>1</v>
      </c>
      <c r="B27" s="1325" t="s">
        <v>1114</v>
      </c>
      <c r="C27" s="1325">
        <f>C28+C29</f>
        <v>0</v>
      </c>
      <c r="D27" s="1325"/>
      <c r="E27" s="3237"/>
      <c r="F27" s="3237"/>
      <c r="G27" s="3237"/>
    </row>
    <row r="28" spans="1:9">
      <c r="A28" s="1326" t="s">
        <v>1115</v>
      </c>
      <c r="B28" s="1325" t="s">
        <v>1116</v>
      </c>
      <c r="C28" s="1325"/>
      <c r="D28" s="1325"/>
      <c r="E28" s="3237"/>
      <c r="F28" s="3237"/>
      <c r="G28" s="3237"/>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8"/>
      <c r="F32" s="3238"/>
      <c r="G32" s="3238"/>
    </row>
    <row r="33" spans="1:7" hidden="1">
      <c r="A33" s="3233" t="s">
        <v>1125</v>
      </c>
      <c r="B33" s="3234"/>
      <c r="C33" s="3234"/>
      <c r="D33" s="3235"/>
      <c r="E33" s="3236"/>
      <c r="F33" s="3236"/>
      <c r="G33" s="3236"/>
    </row>
    <row r="34" spans="1:7" hidden="1">
      <c r="A34" s="1328">
        <v>1</v>
      </c>
      <c r="B34" s="1325" t="s">
        <v>1126</v>
      </c>
      <c r="C34" s="1325"/>
      <c r="D34" s="1325"/>
      <c r="E34" s="3237"/>
      <c r="F34" s="3237"/>
      <c r="G34" s="3237"/>
    </row>
    <row r="35" spans="1:7" hidden="1">
      <c r="A35" s="1328">
        <v>2</v>
      </c>
      <c r="B35" s="1325" t="s">
        <v>1127</v>
      </c>
      <c r="C35" s="1325"/>
      <c r="D35" s="1325"/>
      <c r="E35" s="3237"/>
      <c r="F35" s="3237"/>
      <c r="G35" s="3237"/>
    </row>
    <row r="36" spans="1:7" hidden="1">
      <c r="A36" s="1328">
        <v>3</v>
      </c>
      <c r="B36" s="1325" t="s">
        <v>1128</v>
      </c>
      <c r="C36" s="1325"/>
      <c r="D36" s="1325"/>
      <c r="E36" s="3237"/>
      <c r="F36" s="3237"/>
      <c r="G36" s="3237"/>
    </row>
    <row r="37" spans="1:7" hidden="1">
      <c r="A37" s="1328">
        <v>4</v>
      </c>
      <c r="B37" s="1325" t="s">
        <v>1129</v>
      </c>
      <c r="C37" s="1325"/>
      <c r="D37" s="1325"/>
      <c r="E37" s="3237"/>
      <c r="F37" s="3237"/>
      <c r="G37" s="3237"/>
    </row>
    <row r="38" spans="1:7" hidden="1">
      <c r="A38" s="3233" t="s">
        <v>1130</v>
      </c>
      <c r="B38" s="3234"/>
      <c r="C38" s="3234"/>
      <c r="D38" s="3235"/>
      <c r="E38" s="3236"/>
      <c r="F38" s="3236"/>
      <c r="G38" s="32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583" t="s">
        <v>2527</v>
      </c>
      <c r="C1" s="1634" t="s">
        <v>2528</v>
      </c>
      <c r="D1" s="1621"/>
      <c r="E1" s="2584"/>
      <c r="F1" s="2585" t="s">
        <v>2529</v>
      </c>
      <c r="G1" s="1631" t="s">
        <v>2530</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7"/>
      <c r="D2" s="1365" t="e">
        <f ca="1">SUMIF(INDIRECT("'"&amp;F2&amp;"'"&amp;"!A:A"),"承租人权益价值",INDIRECT("'"&amp;F2&amp;"'"&amp;"!c:c"))</f>
        <v>#REF!</v>
      </c>
      <c r="E2" s="2588" t="s">
        <v>2531</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2532</v>
      </c>
      <c r="D3" s="399">
        <f>IF(D1="",'数据-汇总表'!E3,SUMIF('数据-汇总表'!$C19:$C33,D1,'数据-汇总表'!$E19:$E33))</f>
        <v>176567.06999999998</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4.4">
      <c r="A4" s="401" t="s">
        <v>2533</v>
      </c>
      <c r="B4" s="402"/>
      <c r="C4" s="3188" t="s">
        <v>2534</v>
      </c>
      <c r="D4" s="3201"/>
      <c r="E4" s="3202" t="s">
        <v>2535</v>
      </c>
      <c r="F4" s="3203"/>
      <c r="G4" s="3188" t="s">
        <v>2536</v>
      </c>
      <c r="H4" s="3201"/>
      <c r="I4" s="3188" t="s">
        <v>2537</v>
      </c>
      <c r="J4" s="3201"/>
      <c r="K4" s="2597" t="s">
        <v>2538</v>
      </c>
      <c r="L4" s="1130"/>
      <c r="M4" s="1131"/>
      <c r="N4" s="1131"/>
      <c r="O4" s="1131"/>
      <c r="P4" s="3204" t="s">
        <v>2539</v>
      </c>
      <c r="Q4" s="3205"/>
      <c r="R4" s="3210" t="s">
        <v>2535</v>
      </c>
      <c r="S4" s="3211"/>
      <c r="T4" s="3210" t="s">
        <v>2536</v>
      </c>
      <c r="U4" s="3211"/>
      <c r="V4" s="3197" t="s">
        <v>2537</v>
      </c>
      <c r="W4" s="3197"/>
      <c r="X4" s="1813"/>
      <c r="Y4" s="3210" t="s">
        <v>2539</v>
      </c>
      <c r="Z4" s="3211"/>
      <c r="AA4" s="3198" t="s">
        <v>2535</v>
      </c>
      <c r="AB4" s="3198" t="s">
        <v>2536</v>
      </c>
      <c r="AC4" s="3198" t="s">
        <v>2537</v>
      </c>
    </row>
    <row r="5" spans="1:29">
      <c r="A5" s="404"/>
      <c r="B5" s="405"/>
      <c r="C5" s="3218" t="s">
        <v>2540</v>
      </c>
      <c r="D5" s="3219"/>
      <c r="E5" s="3225" t="s">
        <v>2541</v>
      </c>
      <c r="F5" s="3226"/>
      <c r="G5" s="3218" t="s">
        <v>2542</v>
      </c>
      <c r="H5" s="3219"/>
      <c r="I5" s="3218" t="s">
        <v>2543</v>
      </c>
      <c r="J5" s="3219"/>
      <c r="K5" s="2598"/>
      <c r="L5" s="1130"/>
      <c r="M5" s="1131"/>
      <c r="N5" s="1131"/>
      <c r="O5" s="1131"/>
      <c r="P5" s="3206"/>
      <c r="Q5" s="3207"/>
      <c r="R5" s="3212"/>
      <c r="S5" s="3213"/>
      <c r="T5" s="3212"/>
      <c r="U5" s="3213"/>
      <c r="V5" s="3197"/>
      <c r="W5" s="3197"/>
      <c r="X5" s="1813"/>
      <c r="Y5" s="3212"/>
      <c r="Z5" s="3213"/>
      <c r="AA5" s="3199"/>
      <c r="AB5" s="3199"/>
      <c r="AC5" s="3199"/>
    </row>
    <row r="6" spans="1:29" ht="15" thickBot="1">
      <c r="A6" s="406"/>
      <c r="B6" s="407"/>
      <c r="C6" s="3216" t="s">
        <v>2544</v>
      </c>
      <c r="D6" s="3217"/>
      <c r="E6" s="3223" t="s">
        <v>2544</v>
      </c>
      <c r="F6" s="3224"/>
      <c r="G6" s="3216" t="s">
        <v>2544</v>
      </c>
      <c r="H6" s="3217"/>
      <c r="I6" s="3216" t="s">
        <v>2544</v>
      </c>
      <c r="J6" s="3217"/>
      <c r="K6" s="2598" t="s">
        <v>2545</v>
      </c>
      <c r="L6" s="1130"/>
      <c r="M6" s="1131"/>
      <c r="N6" s="1131"/>
      <c r="O6" s="1131"/>
      <c r="P6" s="3208"/>
      <c r="Q6" s="3209"/>
      <c r="R6" s="3212"/>
      <c r="S6" s="3213"/>
      <c r="T6" s="3214"/>
      <c r="U6" s="3215"/>
      <c r="V6" s="3197"/>
      <c r="W6" s="3197"/>
      <c r="X6" s="1813"/>
      <c r="Y6" s="3214"/>
      <c r="Z6" s="3215"/>
      <c r="AA6" s="3200"/>
      <c r="AB6" s="3200"/>
      <c r="AC6" s="3200"/>
    </row>
    <row r="7" spans="1:29" s="117" customFormat="1" ht="15" thickBot="1">
      <c r="A7" s="408" t="s">
        <v>2546</v>
      </c>
      <c r="B7" s="409"/>
      <c r="C7" s="410">
        <f>'数据-取费表'!B2</f>
        <v>43923</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20" t="s">
        <v>2547</v>
      </c>
      <c r="Q7" s="3222"/>
      <c r="R7" s="770" t="s">
        <v>23</v>
      </c>
      <c r="S7" s="771">
        <f t="shared" ref="S7:S15" si="0">F7</f>
        <v>0</v>
      </c>
      <c r="T7" s="770" t="s">
        <v>23</v>
      </c>
      <c r="U7" s="771">
        <f t="shared" ref="U7:U15" si="1">H7</f>
        <v>0</v>
      </c>
      <c r="V7" s="770" t="s">
        <v>23</v>
      </c>
      <c r="W7" s="771">
        <f t="shared" ref="W7:W15" si="2">J7</f>
        <v>0</v>
      </c>
      <c r="X7" s="772"/>
      <c r="Y7" s="3220" t="s">
        <v>2547</v>
      </c>
      <c r="Z7" s="3221"/>
      <c r="AA7" s="773" t="e">
        <f>D7/F7</f>
        <v>#DIV/0!</v>
      </c>
      <c r="AB7" s="773" t="e">
        <f>D7/H7</f>
        <v>#DIV/0!</v>
      </c>
      <c r="AC7" s="773" t="e">
        <f>D7/J7</f>
        <v>#DIV/0!</v>
      </c>
    </row>
    <row r="8" spans="1:29" s="117" customFormat="1" ht="15" thickBot="1">
      <c r="A8" s="408" t="s">
        <v>2548</v>
      </c>
      <c r="B8" s="409"/>
      <c r="C8" s="414" t="s">
        <v>2549</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20" t="s">
        <v>2550</v>
      </c>
      <c r="Q8" s="3221"/>
      <c r="R8" s="770" t="s">
        <v>23</v>
      </c>
      <c r="S8" s="771">
        <f t="shared" si="0"/>
        <v>0</v>
      </c>
      <c r="T8" s="770" t="s">
        <v>23</v>
      </c>
      <c r="U8" s="771">
        <f t="shared" si="1"/>
        <v>0</v>
      </c>
      <c r="V8" s="770" t="s">
        <v>23</v>
      </c>
      <c r="W8" s="771">
        <f t="shared" si="2"/>
        <v>0</v>
      </c>
      <c r="X8" s="772"/>
      <c r="Y8" s="3220" t="s">
        <v>2550</v>
      </c>
      <c r="Z8" s="3221"/>
      <c r="AA8" s="773" t="e">
        <f t="shared" ref="AA8:AA19" si="3">D8/F8</f>
        <v>#DIV/0!</v>
      </c>
      <c r="AB8" s="773" t="e">
        <f t="shared" ref="AB8:AB19" si="4">D8/H8</f>
        <v>#DIV/0!</v>
      </c>
      <c r="AC8" s="773" t="e">
        <f t="shared" ref="AC8:AC19" si="5">D8/J8</f>
        <v>#DIV/0!</v>
      </c>
    </row>
    <row r="9" spans="1:29" s="117" customFormat="1" ht="14.4">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190" t="s">
        <v>2553</v>
      </c>
      <c r="Q9" s="1795"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0"/>
      <c r="Q11" s="1795"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190"/>
      <c r="Q12" s="1795">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190"/>
      <c r="Q13" s="1795">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190"/>
      <c r="Q14" s="1795">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96.6">
      <c r="A15" s="440" t="s">
        <v>2557</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0" t="s">
        <v>2558</v>
      </c>
      <c r="Q15" s="1810" t="str">
        <f t="shared" si="6"/>
        <v>居住社区成熟度</v>
      </c>
      <c r="R15" s="774" t="s">
        <v>21</v>
      </c>
      <c r="S15" s="775">
        <f t="shared" si="0"/>
        <v>100</v>
      </c>
      <c r="T15" s="774" t="s">
        <v>21</v>
      </c>
      <c r="U15" s="775">
        <f t="shared" si="1"/>
        <v>100</v>
      </c>
      <c r="V15" s="774" t="s">
        <v>21</v>
      </c>
      <c r="W15" s="775">
        <f t="shared" si="2"/>
        <v>100</v>
      </c>
      <c r="X15" s="1813"/>
      <c r="Y15" s="3193" t="s">
        <v>2558</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261"/>
      <c r="Q16" s="1810"/>
      <c r="R16" s="774"/>
      <c r="S16" s="775"/>
      <c r="T16" s="774"/>
      <c r="U16" s="775"/>
      <c r="V16" s="774"/>
      <c r="W16" s="775"/>
      <c r="X16" s="1813"/>
      <c r="Y16" s="3194"/>
      <c r="Z16" s="1814"/>
      <c r="AA16" s="1811">
        <v>1</v>
      </c>
      <c r="AB16" s="1811">
        <v>1</v>
      </c>
      <c r="AC16" s="1811">
        <v>1</v>
      </c>
    </row>
    <row r="17" spans="1:29" ht="82.8">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1"/>
      <c r="Q17" s="1810" t="str">
        <f>B17</f>
        <v>交通便捷度</v>
      </c>
      <c r="R17" s="774" t="s">
        <v>21</v>
      </c>
      <c r="S17" s="775">
        <f>F17</f>
        <v>100</v>
      </c>
      <c r="T17" s="774" t="s">
        <v>21</v>
      </c>
      <c r="U17" s="775">
        <f>H17</f>
        <v>100</v>
      </c>
      <c r="V17" s="774" t="s">
        <v>21</v>
      </c>
      <c r="W17" s="775">
        <f>J17</f>
        <v>100</v>
      </c>
      <c r="X17" s="1813"/>
      <c r="Y17" s="3194"/>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261"/>
      <c r="Q18" s="1810"/>
      <c r="R18" s="774"/>
      <c r="S18" s="775"/>
      <c r="T18" s="774"/>
      <c r="U18" s="775"/>
      <c r="V18" s="774"/>
      <c r="W18" s="775"/>
      <c r="X18" s="1813"/>
      <c r="Y18" s="3194"/>
      <c r="Z18" s="1814"/>
      <c r="AA18" s="1811">
        <v>1</v>
      </c>
      <c r="AB18" s="1811">
        <v>1</v>
      </c>
      <c r="AC18" s="1811">
        <v>1</v>
      </c>
    </row>
    <row r="19" spans="1:29" ht="41.4">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1"/>
      <c r="Q19" s="1810" t="str">
        <f>B19</f>
        <v>公共配套设施</v>
      </c>
      <c r="R19" s="774" t="s">
        <v>21</v>
      </c>
      <c r="S19" s="775">
        <f>F19</f>
        <v>100</v>
      </c>
      <c r="T19" s="774" t="s">
        <v>21</v>
      </c>
      <c r="U19" s="775">
        <f>H19</f>
        <v>100</v>
      </c>
      <c r="V19" s="774" t="s">
        <v>21</v>
      </c>
      <c r="W19" s="775">
        <f>J19</f>
        <v>100</v>
      </c>
      <c r="X19" s="1813"/>
      <c r="Y19" s="3194"/>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261"/>
      <c r="Q20" s="1810"/>
      <c r="R20" s="774"/>
      <c r="S20" s="775"/>
      <c r="T20" s="774"/>
      <c r="U20" s="775"/>
      <c r="V20" s="774"/>
      <c r="W20" s="775"/>
      <c r="X20" s="1813"/>
      <c r="Y20" s="3194"/>
      <c r="Z20" s="1814"/>
      <c r="AA20" s="1811">
        <v>1</v>
      </c>
      <c r="AB20" s="1811">
        <v>1</v>
      </c>
      <c r="AC20" s="1811">
        <v>1</v>
      </c>
    </row>
    <row r="21" spans="1:29" ht="27.6">
      <c r="A21" s="428"/>
      <c r="B21" s="1384"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1"/>
      <c r="Q21" s="1810" t="str">
        <f>B21</f>
        <v>基础设施水平</v>
      </c>
      <c r="R21" s="774" t="s">
        <v>17</v>
      </c>
      <c r="S21" s="775">
        <f>F21</f>
        <v>100</v>
      </c>
      <c r="T21" s="774" t="s">
        <v>17</v>
      </c>
      <c r="U21" s="775">
        <f>H21</f>
        <v>100</v>
      </c>
      <c r="V21" s="774" t="s">
        <v>17</v>
      </c>
      <c r="W21" s="775">
        <f>J21</f>
        <v>100</v>
      </c>
      <c r="X21" s="1813"/>
      <c r="Y21" s="3194"/>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261"/>
      <c r="Q22" s="1810"/>
      <c r="R22" s="774"/>
      <c r="S22" s="775"/>
      <c r="T22" s="774"/>
      <c r="U22" s="775"/>
      <c r="V22" s="774"/>
      <c r="W22" s="775"/>
      <c r="X22" s="1813"/>
      <c r="Y22" s="3194"/>
      <c r="Z22" s="1814"/>
      <c r="AA22" s="1811">
        <v>1</v>
      </c>
      <c r="AB22" s="1811">
        <v>1</v>
      </c>
      <c r="AC22" s="1811">
        <v>1</v>
      </c>
    </row>
    <row r="23" spans="1:29" ht="55.2">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1"/>
      <c r="Q23" s="1810" t="str">
        <f>B23</f>
        <v>自然及人文环境</v>
      </c>
      <c r="R23" s="774" t="s">
        <v>21</v>
      </c>
      <c r="S23" s="775">
        <f>F23</f>
        <v>100</v>
      </c>
      <c r="T23" s="774" t="s">
        <v>21</v>
      </c>
      <c r="U23" s="775">
        <f>H23</f>
        <v>100</v>
      </c>
      <c r="V23" s="774" t="s">
        <v>21</v>
      </c>
      <c r="W23" s="775">
        <f>J23</f>
        <v>100</v>
      </c>
      <c r="X23" s="1813"/>
      <c r="Y23" s="3194"/>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261"/>
      <c r="Q24" s="1810"/>
      <c r="R24" s="774"/>
      <c r="S24" s="775"/>
      <c r="T24" s="774"/>
      <c r="U24" s="775"/>
      <c r="V24" s="774"/>
      <c r="W24" s="775"/>
      <c r="X24" s="1813"/>
      <c r="Y24" s="3194"/>
      <c r="Z24" s="1814"/>
      <c r="AA24" s="1811">
        <v>1</v>
      </c>
      <c r="AB24" s="1811">
        <v>1</v>
      </c>
      <c r="AC24" s="1811">
        <v>1</v>
      </c>
    </row>
    <row r="25" spans="1:29" ht="15">
      <c r="A25" s="428"/>
      <c r="B25" s="422" t="s">
        <v>2559</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6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4"/>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61"/>
      <c r="Q26" s="1810" t="str">
        <f t="shared" si="11"/>
        <v>朝向</v>
      </c>
      <c r="R26" s="774" t="s">
        <v>21</v>
      </c>
      <c r="S26" s="775">
        <f t="shared" si="12"/>
        <v>100</v>
      </c>
      <c r="T26" s="774" t="s">
        <v>21</v>
      </c>
      <c r="U26" s="775">
        <f t="shared" si="13"/>
        <v>100</v>
      </c>
      <c r="V26" s="774" t="s">
        <v>21</v>
      </c>
      <c r="W26" s="775">
        <f t="shared" si="14"/>
        <v>100</v>
      </c>
      <c r="X26" s="1813"/>
      <c r="Y26" s="319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61"/>
      <c r="Q27" s="1795">
        <f t="shared" si="11"/>
        <v>111</v>
      </c>
      <c r="R27" s="770" t="s">
        <v>21</v>
      </c>
      <c r="S27" s="771">
        <f t="shared" si="12"/>
        <v>100</v>
      </c>
      <c r="T27" s="770" t="s">
        <v>21</v>
      </c>
      <c r="U27" s="771">
        <f t="shared" si="13"/>
        <v>100</v>
      </c>
      <c r="V27" s="770" t="s">
        <v>21</v>
      </c>
      <c r="W27" s="771">
        <f t="shared" si="14"/>
        <v>100</v>
      </c>
      <c r="X27" s="772"/>
      <c r="Y27" s="319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61"/>
      <c r="Q28" s="1810">
        <f t="shared" si="11"/>
        <v>111</v>
      </c>
      <c r="R28" s="774" t="s">
        <v>21</v>
      </c>
      <c r="S28" s="775">
        <f t="shared" si="12"/>
        <v>100</v>
      </c>
      <c r="T28" s="774" t="s">
        <v>21</v>
      </c>
      <c r="U28" s="775">
        <f t="shared" si="13"/>
        <v>100</v>
      </c>
      <c r="V28" s="774" t="s">
        <v>21</v>
      </c>
      <c r="W28" s="775">
        <f t="shared" si="14"/>
        <v>100</v>
      </c>
      <c r="X28" s="1813"/>
      <c r="Y28" s="319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61"/>
      <c r="Q29" s="1810">
        <f t="shared" si="11"/>
        <v>111</v>
      </c>
      <c r="R29" s="774" t="s">
        <v>21</v>
      </c>
      <c r="S29" s="775">
        <f t="shared" si="12"/>
        <v>100</v>
      </c>
      <c r="T29" s="774" t="s">
        <v>21</v>
      </c>
      <c r="U29" s="775">
        <f t="shared" si="13"/>
        <v>100</v>
      </c>
      <c r="V29" s="774" t="s">
        <v>21</v>
      </c>
      <c r="W29" s="775">
        <f t="shared" si="14"/>
        <v>100</v>
      </c>
      <c r="X29" s="1813"/>
      <c r="Y29" s="319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61"/>
      <c r="Q30" s="1810">
        <f t="shared" si="11"/>
        <v>111</v>
      </c>
      <c r="R30" s="774" t="s">
        <v>21</v>
      </c>
      <c r="S30" s="775">
        <f t="shared" si="12"/>
        <v>100</v>
      </c>
      <c r="T30" s="774" t="s">
        <v>21</v>
      </c>
      <c r="U30" s="775">
        <f t="shared" si="13"/>
        <v>100</v>
      </c>
      <c r="V30" s="774" t="s">
        <v>21</v>
      </c>
      <c r="W30" s="775">
        <f t="shared" si="14"/>
        <v>100</v>
      </c>
      <c r="X30" s="1813"/>
      <c r="Y30" s="3194"/>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61"/>
      <c r="Q31" s="1810">
        <f t="shared" si="11"/>
        <v>111</v>
      </c>
      <c r="R31" s="774" t="s">
        <v>21</v>
      </c>
      <c r="S31" s="775">
        <f t="shared" si="12"/>
        <v>100</v>
      </c>
      <c r="T31" s="774" t="s">
        <v>21</v>
      </c>
      <c r="U31" s="775">
        <f t="shared" si="13"/>
        <v>100</v>
      </c>
      <c r="V31" s="774" t="s">
        <v>21</v>
      </c>
      <c r="W31" s="775">
        <f t="shared" si="14"/>
        <v>100</v>
      </c>
      <c r="X31" s="1813"/>
      <c r="Y31" s="3194"/>
      <c r="Z31" s="1814">
        <f t="shared" si="18"/>
        <v>111</v>
      </c>
      <c r="AA31" s="1811">
        <f t="shared" si="15"/>
        <v>1</v>
      </c>
      <c r="AB31" s="1811">
        <f t="shared" si="16"/>
        <v>1</v>
      </c>
      <c r="AC31" s="1811">
        <f t="shared" si="17"/>
        <v>1</v>
      </c>
    </row>
    <row r="32" spans="1:29" ht="15">
      <c r="A32" s="440" t="s">
        <v>2561</v>
      </c>
      <c r="B32" s="71" t="s">
        <v>2562</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56" t="s">
        <v>2563</v>
      </c>
      <c r="Q32" s="1810" t="str">
        <f t="shared" si="11"/>
        <v>建筑类型</v>
      </c>
      <c r="R32" s="774" t="s">
        <v>21</v>
      </c>
      <c r="S32" s="775">
        <f t="shared" si="12"/>
        <v>100</v>
      </c>
      <c r="T32" s="774" t="s">
        <v>21</v>
      </c>
      <c r="U32" s="775">
        <f t="shared" si="13"/>
        <v>100</v>
      </c>
      <c r="V32" s="774" t="s">
        <v>21</v>
      </c>
      <c r="W32" s="775">
        <f t="shared" si="14"/>
        <v>100</v>
      </c>
      <c r="X32" s="1813"/>
      <c r="Y32" s="3196"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57"/>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11" t="e">
        <f t="shared" si="15"/>
        <v>#N/A</v>
      </c>
      <c r="AB33" s="1811" t="e">
        <f t="shared" si="16"/>
        <v>#N/A</v>
      </c>
      <c r="AC33" s="1811" t="e">
        <f t="shared" si="17"/>
        <v>#N/A</v>
      </c>
    </row>
    <row r="34" spans="1:29" ht="15">
      <c r="A34" s="472"/>
      <c r="B34" s="422" t="s">
        <v>2565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57"/>
      <c r="Q34" s="1810" t="str">
        <f t="shared" si="11"/>
        <v>建筑结构</v>
      </c>
      <c r="R34" s="774" t="s">
        <v>21</v>
      </c>
      <c r="S34" s="775">
        <f t="shared" si="12"/>
        <v>100</v>
      </c>
      <c r="T34" s="774" t="s">
        <v>21</v>
      </c>
      <c r="U34" s="775">
        <f t="shared" si="13"/>
        <v>100</v>
      </c>
      <c r="V34" s="774" t="s">
        <v>21</v>
      </c>
      <c r="W34" s="775">
        <f t="shared" si="14"/>
        <v>100</v>
      </c>
      <c r="X34" s="1813"/>
      <c r="Y34" s="3196"/>
      <c r="Z34" s="1814" t="str">
        <f t="shared" si="18"/>
        <v>建筑结构</v>
      </c>
      <c r="AA34" s="1811">
        <f t="shared" si="15"/>
        <v>1</v>
      </c>
      <c r="AB34" s="1811">
        <f t="shared" si="16"/>
        <v>1</v>
      </c>
      <c r="AC34" s="1811">
        <f t="shared" si="17"/>
        <v>1</v>
      </c>
    </row>
    <row r="35" spans="1:29" ht="15">
      <c r="A35" s="472"/>
      <c r="B35" s="422" t="s">
        <v>2566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57"/>
      <c r="Q35" s="1810" t="str">
        <f t="shared" si="11"/>
        <v>建筑品质</v>
      </c>
      <c r="R35" s="774" t="s">
        <v>21</v>
      </c>
      <c r="S35" s="775">
        <f t="shared" si="12"/>
        <v>100</v>
      </c>
      <c r="T35" s="774" t="s">
        <v>21</v>
      </c>
      <c r="U35" s="775">
        <f t="shared" si="13"/>
        <v>100</v>
      </c>
      <c r="V35" s="774" t="s">
        <v>21</v>
      </c>
      <c r="W35" s="775">
        <f t="shared" si="14"/>
        <v>100</v>
      </c>
      <c r="X35" s="1813"/>
      <c r="Y35" s="3196"/>
      <c r="Z35" s="1814" t="str">
        <f t="shared" si="18"/>
        <v>建筑品质</v>
      </c>
      <c r="AA35" s="1811">
        <f t="shared" si="15"/>
        <v>1</v>
      </c>
      <c r="AB35" s="1811">
        <f t="shared" si="16"/>
        <v>1</v>
      </c>
      <c r="AC35" s="1811">
        <f t="shared" si="17"/>
        <v>1</v>
      </c>
    </row>
    <row r="36" spans="1:29" ht="15">
      <c r="A36" s="472"/>
      <c r="B36" s="422" t="s">
        <v>2567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57"/>
      <c r="Q36" s="1810" t="str">
        <f t="shared" si="11"/>
        <v>公共部分装修</v>
      </c>
      <c r="R36" s="774" t="s">
        <v>21</v>
      </c>
      <c r="S36" s="775">
        <f t="shared" si="12"/>
        <v>100</v>
      </c>
      <c r="T36" s="774" t="s">
        <v>21</v>
      </c>
      <c r="U36" s="775">
        <f t="shared" si="13"/>
        <v>100</v>
      </c>
      <c r="V36" s="774" t="s">
        <v>21</v>
      </c>
      <c r="W36" s="775">
        <f t="shared" si="14"/>
        <v>100</v>
      </c>
      <c r="X36" s="1813"/>
      <c r="Y36" s="3196"/>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7"/>
      <c r="Q37" s="1795"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2569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57" t="s">
        <v>2563</v>
      </c>
      <c r="Q38" s="1810" t="str">
        <f t="shared" si="11"/>
        <v>物业管理</v>
      </c>
      <c r="R38" s="774" t="s">
        <v>21</v>
      </c>
      <c r="S38" s="775">
        <f t="shared" si="12"/>
        <v>100</v>
      </c>
      <c r="T38" s="774" t="s">
        <v>21</v>
      </c>
      <c r="U38" s="775">
        <f t="shared" si="13"/>
        <v>100</v>
      </c>
      <c r="V38" s="774" t="s">
        <v>21</v>
      </c>
      <c r="W38" s="775">
        <f t="shared" si="14"/>
        <v>100</v>
      </c>
      <c r="X38" s="1813"/>
      <c r="Y38" s="3196" t="s">
        <v>2563</v>
      </c>
      <c r="Z38" s="1814" t="str">
        <f t="shared" si="18"/>
        <v>物业管理</v>
      </c>
      <c r="AA38" s="1811">
        <f t="shared" si="15"/>
        <v>1</v>
      </c>
      <c r="AB38" s="1811">
        <f t="shared" si="16"/>
        <v>1</v>
      </c>
      <c r="AC38" s="1811">
        <f t="shared" si="17"/>
        <v>1</v>
      </c>
    </row>
    <row r="39" spans="1:29" ht="15">
      <c r="A39" s="472"/>
      <c r="B39" s="422" t="s">
        <v>2570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57"/>
      <c r="Q39" s="1810" t="str">
        <f t="shared" si="11"/>
        <v>市政基础设施</v>
      </c>
      <c r="R39" s="774" t="s">
        <v>21</v>
      </c>
      <c r="S39" s="775">
        <f t="shared" si="12"/>
        <v>100</v>
      </c>
      <c r="T39" s="774" t="s">
        <v>21</v>
      </c>
      <c r="U39" s="775">
        <f t="shared" si="13"/>
        <v>100</v>
      </c>
      <c r="V39" s="774" t="s">
        <v>21</v>
      </c>
      <c r="W39" s="775">
        <f t="shared" si="14"/>
        <v>100</v>
      </c>
      <c r="X39" s="1813"/>
      <c r="Y39" s="3196"/>
      <c r="Z39" s="1814" t="str">
        <f t="shared" si="18"/>
        <v>市政基础设施</v>
      </c>
      <c r="AA39" s="1811">
        <f t="shared" si="15"/>
        <v>1</v>
      </c>
      <c r="AB39" s="1811">
        <f t="shared" si="16"/>
        <v>1</v>
      </c>
      <c r="AC39" s="1811">
        <f t="shared" si="17"/>
        <v>1</v>
      </c>
    </row>
    <row r="40" spans="1:29" ht="15">
      <c r="A40" s="472"/>
      <c r="B40" s="422" t="s">
        <v>2571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57"/>
      <c r="Q40" s="1810" t="str">
        <f t="shared" si="11"/>
        <v>房型</v>
      </c>
      <c r="R40" s="774" t="s">
        <v>21</v>
      </c>
      <c r="S40" s="775">
        <f t="shared" si="12"/>
        <v>100</v>
      </c>
      <c r="T40" s="774" t="s">
        <v>21</v>
      </c>
      <c r="U40" s="775">
        <f t="shared" si="13"/>
        <v>100</v>
      </c>
      <c r="V40" s="774" t="s">
        <v>21</v>
      </c>
      <c r="W40" s="775">
        <f t="shared" si="14"/>
        <v>100</v>
      </c>
      <c r="X40" s="1813"/>
      <c r="Y40" s="3196"/>
      <c r="Z40" s="1814" t="str">
        <f t="shared" si="18"/>
        <v>房型</v>
      </c>
      <c r="AA40" s="1811">
        <f t="shared" si="15"/>
        <v>1</v>
      </c>
      <c r="AB40" s="1811">
        <f t="shared" si="16"/>
        <v>1</v>
      </c>
      <c r="AC40" s="1811">
        <f t="shared" si="17"/>
        <v>1</v>
      </c>
    </row>
    <row r="41" spans="1:29" s="471" customFormat="1" ht="28.8">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57"/>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1">
        <f t="shared" si="15"/>
        <v>1</v>
      </c>
      <c r="AB41" s="1811">
        <f t="shared" si="16"/>
        <v>1</v>
      </c>
      <c r="AC41" s="1811">
        <f t="shared" si="17"/>
        <v>1</v>
      </c>
    </row>
    <row r="42" spans="1:29" ht="15">
      <c r="A42" s="472"/>
      <c r="B42" s="422" t="s">
        <v>2573</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57"/>
      <c r="Q42" s="1810" t="str">
        <f t="shared" si="11"/>
        <v>内部装修</v>
      </c>
      <c r="R42" s="774" t="s">
        <v>21</v>
      </c>
      <c r="S42" s="775">
        <f t="shared" si="12"/>
        <v>100</v>
      </c>
      <c r="T42" s="774" t="s">
        <v>21</v>
      </c>
      <c r="U42" s="775">
        <f t="shared" si="13"/>
        <v>100</v>
      </c>
      <c r="V42" s="774" t="s">
        <v>21</v>
      </c>
      <c r="W42" s="775">
        <f t="shared" si="14"/>
        <v>100</v>
      </c>
      <c r="X42" s="1813"/>
      <c r="Y42" s="3196"/>
      <c r="Z42" s="1814" t="str">
        <f t="shared" si="18"/>
        <v>内部装修</v>
      </c>
      <c r="AA42" s="1811">
        <f t="shared" si="15"/>
        <v>1</v>
      </c>
      <c r="AB42" s="1811">
        <f t="shared" si="16"/>
        <v>1</v>
      </c>
      <c r="AC42" s="1811">
        <f t="shared" si="17"/>
        <v>1</v>
      </c>
    </row>
    <row r="43" spans="1:29" ht="28.8">
      <c r="A43" s="472"/>
      <c r="B43" s="422" t="s">
        <v>2574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57"/>
      <c r="Q43" s="1810" t="str">
        <f t="shared" si="11"/>
        <v>内部装修维护情况</v>
      </c>
      <c r="R43" s="774" t="s">
        <v>21</v>
      </c>
      <c r="S43" s="775">
        <f t="shared" si="12"/>
        <v>100</v>
      </c>
      <c r="T43" s="774" t="s">
        <v>21</v>
      </c>
      <c r="U43" s="775">
        <f t="shared" si="13"/>
        <v>100</v>
      </c>
      <c r="V43" s="774" t="s">
        <v>21</v>
      </c>
      <c r="W43" s="775">
        <f t="shared" si="14"/>
        <v>100</v>
      </c>
      <c r="X43" s="1813"/>
      <c r="Y43" s="319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57"/>
      <c r="Q44" s="1795">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57"/>
      <c r="Q45" s="1810">
        <f t="shared" si="11"/>
        <v>111</v>
      </c>
      <c r="R45" s="774" t="s">
        <v>21</v>
      </c>
      <c r="S45" s="775">
        <f t="shared" si="12"/>
        <v>100</v>
      </c>
      <c r="T45" s="774" t="s">
        <v>21</v>
      </c>
      <c r="U45" s="775">
        <f t="shared" si="13"/>
        <v>100</v>
      </c>
      <c r="V45" s="774" t="s">
        <v>21</v>
      </c>
      <c r="W45" s="775">
        <f t="shared" si="14"/>
        <v>100</v>
      </c>
      <c r="X45" s="1813"/>
      <c r="Y45" s="3196"/>
      <c r="Z45" s="1814">
        <f t="shared" si="18"/>
        <v>111</v>
      </c>
      <c r="AA45" s="1811">
        <f t="shared" si="15"/>
        <v>1</v>
      </c>
      <c r="AB45" s="1811">
        <f t="shared" si="16"/>
        <v>1</v>
      </c>
      <c r="AC45" s="1811">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58"/>
      <c r="Q46" s="1810">
        <f t="shared" si="11"/>
        <v>111</v>
      </c>
      <c r="R46" s="774" t="s">
        <v>20</v>
      </c>
      <c r="S46" s="775">
        <f t="shared" si="12"/>
        <v>100</v>
      </c>
      <c r="T46" s="774" t="s">
        <v>20</v>
      </c>
      <c r="U46" s="775">
        <f t="shared" si="13"/>
        <v>100</v>
      </c>
      <c r="V46" s="774" t="s">
        <v>20</v>
      </c>
      <c r="W46" s="775">
        <f t="shared" si="14"/>
        <v>100</v>
      </c>
      <c r="X46" s="1813"/>
      <c r="Y46" s="3259"/>
      <c r="Z46" s="1814">
        <f t="shared" si="18"/>
        <v>111</v>
      </c>
      <c r="AA46" s="1811">
        <f t="shared" si="15"/>
        <v>1</v>
      </c>
      <c r="AB46" s="1811">
        <f t="shared" si="16"/>
        <v>1</v>
      </c>
      <c r="AC46" s="1811">
        <f t="shared" si="17"/>
        <v>1</v>
      </c>
    </row>
    <row r="47" spans="1:29" ht="14.4">
      <c r="A47" s="479" t="s">
        <v>2575</v>
      </c>
      <c r="B47" s="480"/>
      <c r="C47" s="1407" t="s">
        <v>19</v>
      </c>
      <c r="D47" s="1408"/>
      <c r="E47" s="1409"/>
      <c r="F47" s="1410"/>
      <c r="G47" s="1411"/>
      <c r="H47" s="1412"/>
      <c r="I47" s="1409"/>
      <c r="J47" s="1412"/>
      <c r="K47" s="2622"/>
      <c r="L47" s="1143"/>
      <c r="M47" s="1144"/>
      <c r="N47" s="1131"/>
      <c r="O47" s="1144"/>
      <c r="P47" s="3191" t="str">
        <f>A47</f>
        <v>成交单价（元/平方米）</v>
      </c>
      <c r="Q47" s="3191"/>
      <c r="R47" s="3255">
        <f>E47</f>
        <v>0</v>
      </c>
      <c r="S47" s="3255"/>
      <c r="T47" s="3255">
        <f>G47</f>
        <v>0</v>
      </c>
      <c r="U47" s="3255"/>
      <c r="V47" s="3255">
        <f>I47</f>
        <v>0</v>
      </c>
      <c r="W47" s="3255"/>
      <c r="X47" s="759"/>
      <c r="Y47" s="781"/>
      <c r="Z47" s="759"/>
      <c r="AA47" s="759"/>
      <c r="AB47" s="759"/>
      <c r="AC47" s="759"/>
    </row>
    <row r="48" spans="1:29" ht="15" thickBot="1">
      <c r="A48" s="486" t="s">
        <v>2576</v>
      </c>
      <c r="B48" s="487"/>
      <c r="C48" s="1413" t="e">
        <f>R49</f>
        <v>#DIV/0!</v>
      </c>
      <c r="D48" s="1414"/>
      <c r="E48" s="1415" t="e">
        <f>R48</f>
        <v>#DIV/0!</v>
      </c>
      <c r="F48" s="1415"/>
      <c r="G48" s="1413" t="e">
        <f>T48</f>
        <v>#DIV/0!</v>
      </c>
      <c r="H48" s="1414"/>
      <c r="I48" s="1415" t="e">
        <f>V48</f>
        <v>#DIV/0!</v>
      </c>
      <c r="J48" s="1414"/>
      <c r="K48" s="2623"/>
      <c r="L48" s="1143"/>
      <c r="M48" s="1144"/>
      <c r="N48" s="1144"/>
      <c r="O48" s="1144"/>
      <c r="P48" s="3191" t="str">
        <f>A48</f>
        <v>比较价值（元/平方米）</v>
      </c>
      <c r="Q48" s="3191"/>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9"/>
      <c r="Y48" s="759"/>
      <c r="Z48" s="759"/>
      <c r="AA48" s="759"/>
      <c r="AB48" s="759"/>
      <c r="AC48" s="759"/>
    </row>
    <row r="49" spans="1:29" ht="15" thickBot="1">
      <c r="A49" s="492" t="s">
        <v>2577</v>
      </c>
      <c r="B49" s="493"/>
      <c r="C49" s="1416" t="e">
        <f>R49</f>
        <v>#DIV/0!</v>
      </c>
      <c r="D49" s="1417"/>
      <c r="E49" s="1417"/>
      <c r="F49" s="1417"/>
      <c r="G49" s="1417"/>
      <c r="H49" s="1417"/>
      <c r="I49" s="1417"/>
      <c r="J49" s="1417"/>
      <c r="K49" s="2624"/>
      <c r="L49" s="1143"/>
      <c r="M49" s="1144"/>
      <c r="N49" s="1144"/>
      <c r="O49" s="1144"/>
      <c r="P49" s="3185" t="str">
        <f>A49</f>
        <v>估价对象XX用房的比较价值（楼面单价，元/平方米）</v>
      </c>
      <c r="Q49" s="3186"/>
      <c r="R49" s="3254" t="e">
        <f>IF(F1="售价",ROUND(AVERAGE(R48:V48),0),ROUND(AVERAGE(R48:V48),1))</f>
        <v>#DIV/0!</v>
      </c>
      <c r="S49" s="3254"/>
      <c r="T49" s="3254"/>
      <c r="U49" s="3254"/>
      <c r="V49" s="3254"/>
      <c r="W49" s="325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2.2" thickBot="1">
      <c r="A57" s="763" t="s">
        <v>2581</v>
      </c>
      <c r="B57" s="759"/>
      <c r="C57" s="764"/>
      <c r="D57" s="764"/>
      <c r="E57" s="764"/>
      <c r="F57" s="765"/>
      <c r="G57" s="765"/>
      <c r="H57" s="764"/>
      <c r="I57" s="764"/>
      <c r="J57" s="764"/>
      <c r="K57" s="1160"/>
      <c r="L57" s="1161"/>
      <c r="M57" s="1159"/>
      <c r="N57" s="1159"/>
      <c r="O57" s="1159"/>
      <c r="P57" s="2627"/>
      <c r="Q57" s="504"/>
    </row>
    <row r="58" spans="1:29" s="508" customFormat="1" ht="14.4">
      <c r="A58" s="505" t="s">
        <v>2582</v>
      </c>
      <c r="B58" s="506"/>
      <c r="C58" s="1576" t="str">
        <f>YEAR(C7)&amp;"-"&amp;MONTH(C7)</f>
        <v>2020-4</v>
      </c>
      <c r="D58" s="1575">
        <f>EDATE(C58,-1)</f>
        <v>43891</v>
      </c>
      <c r="E58" s="1575">
        <f>EDATE(D58,-1)</f>
        <v>43862</v>
      </c>
      <c r="F58" s="1575">
        <f t="shared" ref="F58:O58" si="19">EDATE(E58,-1)</f>
        <v>43831</v>
      </c>
      <c r="G58" s="1575">
        <f t="shared" si="19"/>
        <v>43800</v>
      </c>
      <c r="H58" s="1575">
        <f t="shared" si="19"/>
        <v>43770</v>
      </c>
      <c r="I58" s="1575">
        <f t="shared" si="19"/>
        <v>43739</v>
      </c>
      <c r="J58" s="1575">
        <f t="shared" si="19"/>
        <v>43709</v>
      </c>
      <c r="K58" s="1575">
        <f t="shared" si="19"/>
        <v>43678</v>
      </c>
      <c r="L58" s="1575">
        <f t="shared" si="19"/>
        <v>43647</v>
      </c>
      <c r="M58" s="1575">
        <f t="shared" si="19"/>
        <v>43617</v>
      </c>
      <c r="N58" s="1575">
        <f t="shared" si="19"/>
        <v>43586</v>
      </c>
      <c r="O58" s="1575">
        <f t="shared" si="19"/>
        <v>43556</v>
      </c>
      <c r="P58" s="1570"/>
    </row>
    <row r="59" spans="1:29" s="117" customFormat="1">
      <c r="A59" s="509"/>
      <c r="B59" s="2628"/>
      <c r="C59" s="1573">
        <v>100</v>
      </c>
      <c r="D59" s="511"/>
      <c r="E59" s="512"/>
      <c r="F59" s="512"/>
      <c r="G59" s="512"/>
      <c r="H59" s="512"/>
      <c r="I59" s="512"/>
      <c r="J59" s="512"/>
      <c r="K59" s="512"/>
      <c r="L59" s="512"/>
      <c r="M59" s="513"/>
      <c r="N59" s="512"/>
      <c r="O59" s="513"/>
      <c r="P59" s="2629"/>
    </row>
    <row r="60" spans="1:29" s="117" customFormat="1" ht="15" thickBot="1">
      <c r="A60" s="515" t="s">
        <v>2583</v>
      </c>
      <c r="B60" s="516"/>
      <c r="C60" s="517"/>
      <c r="D60" s="518"/>
      <c r="E60" s="518"/>
      <c r="F60" s="518"/>
      <c r="G60" s="518"/>
      <c r="H60" s="518"/>
      <c r="I60" s="518"/>
      <c r="J60" s="518"/>
      <c r="K60" s="518"/>
      <c r="L60" s="518"/>
      <c r="M60" s="519"/>
      <c r="N60" s="518"/>
      <c r="O60" s="519"/>
      <c r="P60" s="2629"/>
      <c r="Q60" s="504"/>
    </row>
    <row r="61" spans="1:29" s="117" customFormat="1" ht="14.4">
      <c r="A61" s="521" t="s">
        <v>2584</v>
      </c>
      <c r="B61" s="510"/>
      <c r="C61" s="522" t="s">
        <v>2585</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2586</v>
      </c>
      <c r="B63" s="528" t="s">
        <v>2552</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60"/>
      <c r="E73" s="560"/>
      <c r="F73" s="560"/>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2097</v>
      </c>
      <c r="C82" s="539" t="s">
        <v>2602</v>
      </c>
      <c r="D82" s="539" t="s">
        <v>2603</v>
      </c>
      <c r="E82" s="539" t="s">
        <v>2604</v>
      </c>
      <c r="F82" s="539" t="s">
        <v>2605</v>
      </c>
      <c r="G82" s="539" t="s">
        <v>2606</v>
      </c>
      <c r="H82" s="539"/>
      <c r="I82" s="539"/>
      <c r="J82" s="539"/>
      <c r="K82" s="539"/>
      <c r="L82" s="539"/>
      <c r="M82" s="1382"/>
      <c r="N82" s="1153"/>
      <c r="O82" s="1153"/>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2608</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 thickTop="1">
      <c r="A88" s="579"/>
      <c r="B88" s="538" t="s">
        <v>2609</v>
      </c>
      <c r="C88" s="554"/>
      <c r="D88" s="554"/>
      <c r="E88" s="554"/>
      <c r="F88" s="2636"/>
      <c r="G88" s="554"/>
      <c r="H88" s="554"/>
      <c r="I88" s="554"/>
      <c r="J88" s="554"/>
      <c r="K88" s="554"/>
      <c r="L88" s="554"/>
      <c r="M88" s="581"/>
      <c r="N88" s="1151"/>
      <c r="O88" s="1151"/>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4.4" thickTop="1">
      <c r="A90" s="553"/>
      <c r="B90" s="538">
        <f>B27</f>
        <v>111</v>
      </c>
      <c r="C90" s="554"/>
      <c r="D90" s="554"/>
      <c r="E90" s="554"/>
      <c r="F90" s="554"/>
      <c r="G90" s="554"/>
      <c r="H90" s="555"/>
      <c r="I90" s="555"/>
      <c r="J90" s="555"/>
      <c r="K90" s="555"/>
      <c r="L90" s="556"/>
      <c r="M90" s="557"/>
      <c r="N90" s="1154"/>
      <c r="O90" s="1154"/>
      <c r="P90" s="2632"/>
      <c r="Q90" s="559"/>
    </row>
    <row r="91" spans="1:17" s="471" customFormat="1" ht="14.4" thickBot="1">
      <c r="A91" s="553"/>
      <c r="B91" s="543"/>
      <c r="C91" s="560"/>
      <c r="D91" s="560"/>
      <c r="E91" s="560"/>
      <c r="F91" s="560"/>
      <c r="G91" s="560"/>
      <c r="H91" s="562"/>
      <c r="I91" s="562"/>
      <c r="J91" s="562"/>
      <c r="K91" s="562"/>
      <c r="L91" s="562"/>
      <c r="M91" s="563"/>
      <c r="N91" s="1154"/>
      <c r="O91" s="1154"/>
      <c r="P91" s="2632"/>
      <c r="Q91" s="559"/>
    </row>
    <row r="92" spans="1:17" ht="14.4" thickTop="1">
      <c r="A92" s="534"/>
      <c r="B92" s="538">
        <f>B28</f>
        <v>111</v>
      </c>
      <c r="C92" s="554"/>
      <c r="D92" s="554"/>
      <c r="E92" s="554"/>
      <c r="F92" s="554"/>
      <c r="G92" s="583"/>
      <c r="H92" s="583"/>
      <c r="I92" s="583"/>
      <c r="J92" s="583"/>
      <c r="K92" s="584"/>
      <c r="L92" s="585"/>
      <c r="M92" s="586"/>
      <c r="N92" s="1152"/>
      <c r="O92" s="1152"/>
      <c r="P92" s="2631"/>
      <c r="Q92" s="504"/>
    </row>
    <row r="93" spans="1:17" ht="14.4" thickBot="1">
      <c r="A93" s="534"/>
      <c r="B93" s="543"/>
      <c r="C93" s="560"/>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60"/>
      <c r="E95" s="560"/>
      <c r="F95" s="560"/>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70"/>
      <c r="D97" s="570"/>
      <c r="E97" s="570"/>
      <c r="F97" s="570"/>
      <c r="G97" s="536"/>
      <c r="H97" s="536"/>
      <c r="I97" s="536"/>
      <c r="J97" s="536"/>
      <c r="K97" s="536"/>
      <c r="L97" s="536"/>
      <c r="M97" s="537"/>
      <c r="N97" s="1153"/>
      <c r="O97" s="1153"/>
      <c r="P97" s="2631"/>
      <c r="Q97" s="504"/>
    </row>
    <row r="98" spans="1:17" ht="14.4" thickTop="1">
      <c r="A98" s="534"/>
      <c r="B98" s="546">
        <f>B31</f>
        <v>111</v>
      </c>
      <c r="C98" s="587"/>
      <c r="D98" s="587"/>
      <c r="E98" s="587"/>
      <c r="F98" s="587"/>
      <c r="G98" s="587"/>
      <c r="H98" s="587"/>
      <c r="I98" s="587"/>
      <c r="J98" s="587"/>
      <c r="K98" s="588"/>
      <c r="L98" s="589"/>
      <c r="M98" s="590"/>
      <c r="N98" s="1152"/>
      <c r="O98" s="1152"/>
      <c r="P98" s="2631"/>
      <c r="Q98" s="504"/>
    </row>
    <row r="99" spans="1:17" ht="14.4" thickBot="1">
      <c r="A99" s="2637"/>
      <c r="B99" s="569"/>
      <c r="C99" s="591"/>
      <c r="D99" s="591"/>
      <c r="E99" s="591"/>
      <c r="F99" s="591"/>
      <c r="G99" s="591"/>
      <c r="H99" s="591"/>
      <c r="I99" s="591"/>
      <c r="J99" s="591"/>
      <c r="K99" s="591"/>
      <c r="L99" s="591"/>
      <c r="M99" s="592"/>
      <c r="N99" s="1153"/>
      <c r="O99" s="1153"/>
      <c r="P99" s="2631"/>
      <c r="Q99" s="504"/>
    </row>
    <row r="100" spans="1:17" ht="14.4">
      <c r="A100" s="527" t="s">
        <v>2561</v>
      </c>
      <c r="B100" s="528" t="s">
        <v>2610</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2612</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2613</v>
      </c>
      <c r="C107" s="583"/>
      <c r="D107" s="583"/>
      <c r="E107" s="583"/>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2614</v>
      </c>
      <c r="C109" s="554"/>
      <c r="D109" s="554"/>
      <c r="E109" s="554"/>
      <c r="F109" s="583"/>
      <c r="G109" s="583"/>
      <c r="H109" s="583"/>
      <c r="I109" s="583"/>
      <c r="J109" s="583"/>
      <c r="K109" s="584"/>
      <c r="L109" s="585"/>
      <c r="M109" s="586"/>
      <c r="N109" s="1152"/>
      <c r="O109" s="1152"/>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2615</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2616</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2617</v>
      </c>
      <c r="C118" s="583"/>
      <c r="D118" s="583"/>
      <c r="E118" s="583"/>
      <c r="F118" s="583"/>
      <c r="G118" s="583"/>
      <c r="H118" s="583"/>
      <c r="I118" s="583"/>
      <c r="J118" s="583"/>
      <c r="K118" s="584"/>
      <c r="L118" s="585"/>
      <c r="M118" s="586"/>
      <c r="N118" s="1152"/>
      <c r="O118" s="1152"/>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9.4" thickTop="1">
      <c r="A120" s="593"/>
      <c r="B120" s="538" t="s">
        <v>2572</v>
      </c>
      <c r="C120" s="554"/>
      <c r="D120" s="554"/>
      <c r="E120" s="554"/>
      <c r="F120" s="554"/>
      <c r="G120" s="554"/>
      <c r="H120" s="554"/>
      <c r="I120" s="554"/>
      <c r="J120" s="554"/>
      <c r="K120" s="554"/>
      <c r="L120" s="580"/>
      <c r="M120" s="581"/>
      <c r="N120" s="1154"/>
      <c r="O120" s="1154"/>
      <c r="P120" s="2632"/>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2618</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60"/>
      <c r="E129" s="560"/>
      <c r="F129" s="560"/>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2620</v>
      </c>
    </row>
    <row r="137" spans="1:17" ht="15">
      <c r="B137" s="2639" t="s">
        <v>2621</v>
      </c>
      <c r="C137" s="2640"/>
      <c r="D137" s="2640"/>
      <c r="E137" s="2640"/>
      <c r="F137" s="2640"/>
      <c r="G137" s="2641"/>
      <c r="H137" s="2642"/>
      <c r="I137" s="2643" t="s">
        <v>2622</v>
      </c>
      <c r="J137" s="2640"/>
      <c r="K137" s="2644"/>
    </row>
    <row r="138" spans="1:17" ht="15">
      <c r="B138" s="2645"/>
      <c r="C138" s="146" t="s">
        <v>2623</v>
      </c>
      <c r="D138" s="146" t="s">
        <v>2624</v>
      </c>
      <c r="E138" s="2646" t="s">
        <v>2625</v>
      </c>
      <c r="F138" s="2647" t="s">
        <v>2626</v>
      </c>
      <c r="G138" s="146" t="s">
        <v>2624</v>
      </c>
      <c r="H138" s="147" t="s">
        <v>2625</v>
      </c>
      <c r="I138" s="2648"/>
      <c r="J138" s="146" t="s">
        <v>2627</v>
      </c>
      <c r="K138" s="147" t="s">
        <v>2628</v>
      </c>
    </row>
    <row r="139" spans="1:17" ht="15">
      <c r="B139" s="1084">
        <v>6</v>
      </c>
      <c r="C139" s="1085">
        <v>96</v>
      </c>
      <c r="D139" s="2649" t="s">
        <v>2629</v>
      </c>
      <c r="E139" s="1086">
        <v>100</v>
      </c>
      <c r="F139" s="1087">
        <v>102.5</v>
      </c>
      <c r="G139" s="2649" t="s">
        <v>2629</v>
      </c>
      <c r="H139" s="1088">
        <v>105</v>
      </c>
      <c r="I139" s="2650" t="s">
        <v>2630</v>
      </c>
      <c r="J139" s="1085">
        <v>20</v>
      </c>
      <c r="K139" s="1089">
        <f>C145/(J139-2)</f>
        <v>4.0555555555555553E-3</v>
      </c>
    </row>
    <row r="140" spans="1:17" ht="15">
      <c r="B140" s="1090">
        <v>5</v>
      </c>
      <c r="C140" s="1091">
        <v>100</v>
      </c>
      <c r="D140" s="1091"/>
      <c r="E140" s="1092"/>
      <c r="F140" s="1093">
        <v>102</v>
      </c>
      <c r="G140" s="1091"/>
      <c r="H140" s="1094"/>
      <c r="I140" s="2651" t="s">
        <v>2631</v>
      </c>
      <c r="J140" s="315">
        <f>ROUNDUP((J139-1)/2,0)</f>
        <v>10</v>
      </c>
      <c r="K140" s="1095">
        <v>100</v>
      </c>
    </row>
    <row r="141" spans="1:17" ht="15">
      <c r="B141" s="1090">
        <v>4</v>
      </c>
      <c r="C141" s="1091">
        <v>102</v>
      </c>
      <c r="D141" s="1091"/>
      <c r="E141" s="1092"/>
      <c r="F141" s="1093">
        <v>101.5</v>
      </c>
      <c r="G141" s="1091"/>
      <c r="H141" s="1094"/>
      <c r="I141" s="2651" t="s">
        <v>2632</v>
      </c>
      <c r="J141" s="315">
        <v>1</v>
      </c>
      <c r="K141" s="1096">
        <f>ROUND(100+(J141-J140)*K139*100,1)</f>
        <v>96.4</v>
      </c>
    </row>
    <row r="142" spans="1:17" ht="15">
      <c r="B142" s="1090">
        <v>3</v>
      </c>
      <c r="C142" s="1091">
        <v>103</v>
      </c>
      <c r="D142" s="1091"/>
      <c r="E142" s="1092"/>
      <c r="F142" s="1093">
        <v>101</v>
      </c>
      <c r="G142" s="1091"/>
      <c r="H142" s="1094"/>
      <c r="I142" s="2651" t="s">
        <v>2633</v>
      </c>
      <c r="J142" s="315">
        <f>J139</f>
        <v>20</v>
      </c>
      <c r="K142" s="1097">
        <v>95</v>
      </c>
    </row>
    <row r="143" spans="1:17" ht="15">
      <c r="B143" s="1090">
        <v>2</v>
      </c>
      <c r="C143" s="1091">
        <v>100</v>
      </c>
      <c r="D143" s="1091"/>
      <c r="E143" s="1092"/>
      <c r="F143" s="1093">
        <v>100.5</v>
      </c>
      <c r="G143" s="1091"/>
      <c r="H143" s="1094"/>
      <c r="I143" s="2651" t="s">
        <v>2634</v>
      </c>
      <c r="J143" s="1091">
        <v>15</v>
      </c>
      <c r="K143" s="1096">
        <f>ROUND(100+(J143-J140)*K139*100,1)</f>
        <v>102</v>
      </c>
    </row>
    <row r="144" spans="1:17" ht="15">
      <c r="B144" s="1090">
        <v>1</v>
      </c>
      <c r="C144" s="1091">
        <v>98</v>
      </c>
      <c r="D144" s="2652" t="s">
        <v>2635</v>
      </c>
      <c r="E144" s="1092">
        <v>102</v>
      </c>
      <c r="F144" s="1098">
        <v>100</v>
      </c>
      <c r="G144" s="2652" t="s">
        <v>2635</v>
      </c>
      <c r="H144" s="1094">
        <v>105</v>
      </c>
      <c r="I144" s="2651" t="s">
        <v>2634</v>
      </c>
      <c r="J144" s="1091">
        <v>18</v>
      </c>
      <c r="K144" s="1096">
        <f>ROUND(100+(J144-J140)*K139*100,1)</f>
        <v>103.2</v>
      </c>
    </row>
    <row r="145" spans="2:11" ht="16.2" thickBot="1">
      <c r="B145" s="2653" t="s">
        <v>2636</v>
      </c>
      <c r="C145" s="1099">
        <f>ROUND(MAX(C139:C144)/MIN(C139:C144)-1,3)</f>
        <v>7.2999999999999995E-2</v>
      </c>
      <c r="D145" s="1100"/>
      <c r="E145" s="1100"/>
      <c r="F145" s="2654" t="s">
        <v>2637</v>
      </c>
      <c r="G145" s="2655"/>
      <c r="H145" s="2656"/>
      <c r="I145" s="2657" t="s">
        <v>2634</v>
      </c>
      <c r="J145" s="1101">
        <v>8</v>
      </c>
      <c r="K145" s="1102">
        <f>ROUND(100+(J145-J140)*K139*100,1)</f>
        <v>99.2</v>
      </c>
    </row>
    <row r="147" spans="2:11" ht="14.4">
      <c r="B147" s="2638" t="s">
        <v>2638</v>
      </c>
    </row>
    <row r="148" spans="2:11" ht="14.4">
      <c r="B148" s="2638"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1605</v>
      </c>
    </row>
    <row r="2" spans="1:1">
      <c r="A2" s="1945"/>
    </row>
    <row r="3" spans="1:1" ht="17.399999999999999">
      <c r="A3" s="1946" t="str">
        <f>项目基本情况!B5&amp;"："</f>
        <v>：</v>
      </c>
    </row>
    <row r="4" spans="1:1" ht="34.799999999999997">
      <c r="A4" s="1947" t="str">
        <f>"受贵公司委托，我公司对"&amp;项目基本情况!S1&amp;"进行了预评估。"</f>
        <v>受贵公司委托，我公司对出让国有建设用地使用权及在建建筑物房地产抵押价值进行了预评估。</v>
      </c>
    </row>
    <row r="5" spans="1:1" ht="17.399999999999999">
      <c r="A5" s="1948" t="s">
        <v>1606</v>
      </c>
    </row>
    <row r="6" spans="1:1" ht="17.399999999999999">
      <c r="A6" s="1949" t="s">
        <v>1607</v>
      </c>
    </row>
    <row r="7" spans="1:1" ht="52.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估价对象为出让国有建设用地使用权及在建建筑物房地产，为所有。根据《国有土地使用证》[]，估价对象（分摊）出让国有建设用地使用权面积为72927平方米，建筑面积为176567.07平方米。</v>
      </c>
    </row>
    <row r="8" spans="1:1" ht="54.6">
      <c r="A8" s="1950" t="s">
        <v>1608</v>
      </c>
    </row>
    <row r="9" spans="1:1" ht="17.399999999999999">
      <c r="A9" s="1949" t="s">
        <v>1609</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72927平方米，规划建筑面积为176567.07平方米。</v>
      </c>
    </row>
    <row r="11" spans="1:1" ht="72">
      <c r="A11" s="1950" t="s">
        <v>1610</v>
      </c>
    </row>
    <row r="12" spans="1:1" ht="17.399999999999999">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7.399999999999999">
      <c r="A14" s="1952" t="s">
        <v>1612</v>
      </c>
    </row>
    <row r="15" spans="1:1" ht="17.399999999999999">
      <c r="A15" s="1953" t="str">
        <f>TEXT(项目基本情况!D3,"yyyy年m月d日;;")&amp;IF(项目基本情况!D3=项目基本情况!B3,"（评估专业人员实地查勘之日）","")</f>
        <v>2020年4月2日（评估专业人员实地查勘之日）</v>
      </c>
    </row>
    <row r="16" spans="1:1" ht="17.399999999999999">
      <c r="A16" s="1952" t="s">
        <v>1613</v>
      </c>
    </row>
    <row r="17" spans="1:1" ht="69.599999999999994">
      <c r="A17" s="1947" t="s">
        <v>1614</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1603</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583" t="s">
        <v>2640</v>
      </c>
      <c r="C1" s="1634" t="s">
        <v>2528</v>
      </c>
      <c r="D1" s="1621"/>
      <c r="E1" s="2658"/>
      <c r="F1" s="2585"/>
      <c r="G1" s="1631" t="s">
        <v>2641</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2328</v>
      </c>
      <c r="B2" s="1418" t="e">
        <f ca="1">IF(C2="——",ROUND(C49*D3/10000,0),ROUND(C49*D3/10000,0)-D2)</f>
        <v>#DIV/0!</v>
      </c>
      <c r="C2" s="2587"/>
      <c r="D2" s="1365" t="e">
        <f ca="1">SUMIF(INDIRECT("'"&amp;F2&amp;"'"&amp;"!A:A"),"承租人权益价值",INDIRECT("'"&amp;F2&amp;"'"&amp;"!c:c"))</f>
        <v>#REF!</v>
      </c>
      <c r="E2" s="2588" t="s">
        <v>2329</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2330</v>
      </c>
      <c r="B3" s="609" t="e">
        <f ca="1">IF(C2="——",C49,ROUND(B2*10000/D3,0))</f>
        <v>#DIV/0!</v>
      </c>
      <c r="C3" s="400" t="s">
        <v>2642</v>
      </c>
      <c r="D3" s="399">
        <f>IF(D1="",'数据-汇总表'!E3,SUMIF('数据-汇总表'!$C19:$C33,D1,'数据-汇总表'!$E19:$E33))</f>
        <v>176567.06999999998</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4.4">
      <c r="A4" s="401" t="s">
        <v>2643</v>
      </c>
      <c r="B4" s="402"/>
      <c r="C4" s="3188" t="s">
        <v>2644</v>
      </c>
      <c r="D4" s="3201"/>
      <c r="E4" s="3202" t="s">
        <v>2645</v>
      </c>
      <c r="F4" s="3203"/>
      <c r="G4" s="3188" t="s">
        <v>2646</v>
      </c>
      <c r="H4" s="3201"/>
      <c r="I4" s="3188" t="s">
        <v>2647</v>
      </c>
      <c r="J4" s="3201"/>
      <c r="K4" s="610" t="s">
        <v>2648</v>
      </c>
      <c r="L4" s="1130"/>
      <c r="M4" s="1131"/>
      <c r="N4" s="1131"/>
      <c r="O4" s="1131"/>
      <c r="P4" s="3204" t="s">
        <v>2649</v>
      </c>
      <c r="Q4" s="3205"/>
      <c r="R4" s="3210" t="s">
        <v>2645</v>
      </c>
      <c r="S4" s="3211"/>
      <c r="T4" s="3210" t="s">
        <v>2646</v>
      </c>
      <c r="U4" s="3211"/>
      <c r="V4" s="3197" t="s">
        <v>2647</v>
      </c>
      <c r="W4" s="3197"/>
      <c r="X4" s="1813"/>
      <c r="Y4" s="3210" t="s">
        <v>2649</v>
      </c>
      <c r="Z4" s="3211"/>
      <c r="AA4" s="3198" t="s">
        <v>2645</v>
      </c>
      <c r="AB4" s="3197" t="s">
        <v>2646</v>
      </c>
      <c r="AC4" s="3198" t="s">
        <v>2647</v>
      </c>
    </row>
    <row r="5" spans="1:29">
      <c r="A5" s="404"/>
      <c r="B5" s="405"/>
      <c r="C5" s="3218" t="s">
        <v>2540</v>
      </c>
      <c r="D5" s="3219"/>
      <c r="E5" s="3225" t="s">
        <v>2541</v>
      </c>
      <c r="F5" s="3226"/>
      <c r="G5" s="3218" t="s">
        <v>2542</v>
      </c>
      <c r="H5" s="3219"/>
      <c r="I5" s="3218" t="s">
        <v>2543</v>
      </c>
      <c r="J5" s="3219"/>
      <c r="K5" s="610"/>
      <c r="L5" s="1130"/>
      <c r="M5" s="1131"/>
      <c r="N5" s="1131"/>
      <c r="O5" s="1131"/>
      <c r="P5" s="3206"/>
      <c r="Q5" s="3207"/>
      <c r="R5" s="3212"/>
      <c r="S5" s="3213"/>
      <c r="T5" s="3212"/>
      <c r="U5" s="3213"/>
      <c r="V5" s="3197"/>
      <c r="W5" s="3197"/>
      <c r="X5" s="1813"/>
      <c r="Y5" s="3212"/>
      <c r="Z5" s="3213"/>
      <c r="AA5" s="3199"/>
      <c r="AB5" s="3197"/>
      <c r="AC5" s="3199"/>
    </row>
    <row r="6" spans="1:29" ht="15" thickBot="1">
      <c r="A6" s="406"/>
      <c r="B6" s="407"/>
      <c r="C6" s="3216" t="s">
        <v>2544</v>
      </c>
      <c r="D6" s="3217"/>
      <c r="E6" s="3223" t="s">
        <v>2544</v>
      </c>
      <c r="F6" s="3224"/>
      <c r="G6" s="3216" t="s">
        <v>2544</v>
      </c>
      <c r="H6" s="3217"/>
      <c r="I6" s="3216" t="s">
        <v>2544</v>
      </c>
      <c r="J6" s="3217"/>
      <c r="K6" s="610" t="s">
        <v>2545</v>
      </c>
      <c r="L6" s="1130"/>
      <c r="M6" s="1131"/>
      <c r="N6" s="1131"/>
      <c r="O6" s="1131"/>
      <c r="P6" s="3208"/>
      <c r="Q6" s="3209"/>
      <c r="R6" s="3212"/>
      <c r="S6" s="3213"/>
      <c r="T6" s="3214"/>
      <c r="U6" s="3215"/>
      <c r="V6" s="3197"/>
      <c r="W6" s="3197"/>
      <c r="X6" s="1813"/>
      <c r="Y6" s="3214"/>
      <c r="Z6" s="3215"/>
      <c r="AA6" s="3200"/>
      <c r="AB6" s="3197"/>
      <c r="AC6" s="3200"/>
    </row>
    <row r="7" spans="1:29" s="117" customFormat="1" ht="15" thickBot="1">
      <c r="A7" s="408" t="s">
        <v>2546</v>
      </c>
      <c r="B7" s="409"/>
      <c r="C7" s="410">
        <f>'数据-取费表'!B2</f>
        <v>43923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0" t="s">
        <v>2547</v>
      </c>
      <c r="Q7" s="3222"/>
      <c r="R7" s="770" t="s">
        <v>17</v>
      </c>
      <c r="S7" s="771">
        <f t="shared" ref="S7:S15" si="0">F7</f>
        <v>0</v>
      </c>
      <c r="T7" s="770" t="s">
        <v>17</v>
      </c>
      <c r="U7" s="771">
        <f t="shared" ref="U7:U15" si="1">H7</f>
        <v>0</v>
      </c>
      <c r="V7" s="770" t="s">
        <v>17</v>
      </c>
      <c r="W7" s="771">
        <f t="shared" ref="W7:W15" si="2">J7</f>
        <v>0</v>
      </c>
      <c r="X7" s="772"/>
      <c r="Y7" s="3220" t="s">
        <v>2547</v>
      </c>
      <c r="Z7" s="3221"/>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0" t="s">
        <v>2550</v>
      </c>
      <c r="Q8" s="3221"/>
      <c r="R8" s="770" t="s">
        <v>17</v>
      </c>
      <c r="S8" s="771">
        <f t="shared" si="0"/>
        <v>0</v>
      </c>
      <c r="T8" s="770" t="s">
        <v>17</v>
      </c>
      <c r="U8" s="771">
        <f t="shared" si="1"/>
        <v>0</v>
      </c>
      <c r="V8" s="770" t="s">
        <v>17</v>
      </c>
      <c r="W8" s="771">
        <f t="shared" si="2"/>
        <v>0</v>
      </c>
      <c r="X8" s="772"/>
      <c r="Y8" s="3220" t="s">
        <v>2550</v>
      </c>
      <c r="Z8" s="3221"/>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0" t="s">
        <v>2553</v>
      </c>
      <c r="Q9" s="1795"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0"/>
      <c r="Q11" s="1795"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0"/>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0"/>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0"/>
      <c r="Q14" s="1795">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69">
      <c r="A15" s="440" t="s">
        <v>2557</v>
      </c>
      <c r="B15" s="69" t="s">
        <v>2651</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0" t="s">
        <v>2558</v>
      </c>
      <c r="Q15" s="1810" t="str">
        <f t="shared" si="6"/>
        <v>商业繁华度</v>
      </c>
      <c r="R15" s="774" t="s">
        <v>17</v>
      </c>
      <c r="S15" s="775">
        <f t="shared" si="0"/>
        <v>100</v>
      </c>
      <c r="T15" s="774" t="s">
        <v>17</v>
      </c>
      <c r="U15" s="775">
        <f t="shared" si="1"/>
        <v>100</v>
      </c>
      <c r="V15" s="774" t="s">
        <v>17</v>
      </c>
      <c r="W15" s="775">
        <f t="shared" si="2"/>
        <v>100</v>
      </c>
      <c r="X15" s="1813"/>
      <c r="Y15" s="3193"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61"/>
      <c r="Q16" s="1810"/>
      <c r="R16" s="774"/>
      <c r="S16" s="775"/>
      <c r="T16" s="774"/>
      <c r="U16" s="775"/>
      <c r="V16" s="774"/>
      <c r="W16" s="775"/>
      <c r="X16" s="1813"/>
      <c r="Y16" s="3194"/>
      <c r="Z16" s="1814"/>
      <c r="AA16" s="1811">
        <v>1</v>
      </c>
      <c r="AB16" s="1811">
        <v>1</v>
      </c>
      <c r="AC16" s="1811">
        <v>1</v>
      </c>
    </row>
    <row r="17" spans="1:29" ht="82.8">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1"/>
      <c r="Q17" s="1810" t="str">
        <f>B17</f>
        <v>交通便捷度</v>
      </c>
      <c r="R17" s="774" t="s">
        <v>17</v>
      </c>
      <c r="S17" s="775">
        <f>F17</f>
        <v>100</v>
      </c>
      <c r="T17" s="774" t="s">
        <v>17</v>
      </c>
      <c r="U17" s="775">
        <f>H17</f>
        <v>100</v>
      </c>
      <c r="V17" s="774" t="s">
        <v>17</v>
      </c>
      <c r="W17" s="775">
        <f>J17</f>
        <v>100</v>
      </c>
      <c r="X17" s="1813"/>
      <c r="Y17" s="3194"/>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261"/>
      <c r="Q18" s="1810"/>
      <c r="R18" s="774"/>
      <c r="S18" s="775"/>
      <c r="T18" s="774"/>
      <c r="U18" s="775"/>
      <c r="V18" s="774"/>
      <c r="W18" s="775"/>
      <c r="X18" s="1813"/>
      <c r="Y18" s="3194"/>
      <c r="Z18" s="1814"/>
      <c r="AA18" s="1811">
        <v>1</v>
      </c>
      <c r="AB18" s="1811">
        <v>1</v>
      </c>
      <c r="AC18" s="1811">
        <v>1</v>
      </c>
    </row>
    <row r="19" spans="1:29" ht="41.4">
      <c r="A19" s="428"/>
      <c r="B19" s="451" t="s">
        <v>2652</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1"/>
      <c r="Q19" s="1810" t="str">
        <f>B19</f>
        <v>公共配套设施</v>
      </c>
      <c r="R19" s="774" t="s">
        <v>17</v>
      </c>
      <c r="S19" s="775">
        <f>F19</f>
        <v>100</v>
      </c>
      <c r="T19" s="774" t="s">
        <v>17</v>
      </c>
      <c r="U19" s="775">
        <f>H19</f>
        <v>100</v>
      </c>
      <c r="V19" s="774" t="s">
        <v>17</v>
      </c>
      <c r="W19" s="775">
        <f>J19</f>
        <v>100</v>
      </c>
      <c r="X19" s="1813"/>
      <c r="Y19" s="3194"/>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261"/>
      <c r="Q20" s="1810"/>
      <c r="R20" s="774"/>
      <c r="S20" s="775"/>
      <c r="T20" s="774"/>
      <c r="U20" s="775"/>
      <c r="V20" s="774"/>
      <c r="W20" s="775"/>
      <c r="X20" s="1813"/>
      <c r="Y20" s="3194"/>
      <c r="Z20" s="1814"/>
      <c r="AA20" s="1811">
        <v>1</v>
      </c>
      <c r="AB20" s="1811">
        <v>1</v>
      </c>
      <c r="AC20" s="1811">
        <v>1</v>
      </c>
    </row>
    <row r="21" spans="1:29" ht="27.6">
      <c r="A21" s="428"/>
      <c r="B21" s="1384"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1"/>
      <c r="Q21" s="1810" t="str">
        <f>B21</f>
        <v>基础设施水平</v>
      </c>
      <c r="R21" s="774" t="s">
        <v>17</v>
      </c>
      <c r="S21" s="775">
        <f>F21</f>
        <v>100</v>
      </c>
      <c r="T21" s="774" t="s">
        <v>17</v>
      </c>
      <c r="U21" s="775">
        <f>H21</f>
        <v>100</v>
      </c>
      <c r="V21" s="774" t="s">
        <v>17</v>
      </c>
      <c r="W21" s="775">
        <f>J21</f>
        <v>100</v>
      </c>
      <c r="X21" s="1813"/>
      <c r="Y21" s="3194"/>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261"/>
      <c r="Q22" s="1810"/>
      <c r="R22" s="774"/>
      <c r="S22" s="775"/>
      <c r="T22" s="774"/>
      <c r="U22" s="775"/>
      <c r="V22" s="774"/>
      <c r="W22" s="775"/>
      <c r="X22" s="1813"/>
      <c r="Y22" s="3194"/>
      <c r="Z22" s="1814"/>
      <c r="AA22" s="1811">
        <v>1</v>
      </c>
      <c r="AB22" s="1811">
        <v>1</v>
      </c>
      <c r="AC22" s="1811">
        <v>1</v>
      </c>
    </row>
    <row r="23" spans="1:29" ht="55.2">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1"/>
      <c r="Q23" s="1810" t="str">
        <f>B23</f>
        <v>自然及人文环境</v>
      </c>
      <c r="R23" s="774" t="s">
        <v>17</v>
      </c>
      <c r="S23" s="775">
        <f>F23</f>
        <v>100</v>
      </c>
      <c r="T23" s="774" t="s">
        <v>17</v>
      </c>
      <c r="U23" s="775">
        <f>H23</f>
        <v>100</v>
      </c>
      <c r="V23" s="774" t="s">
        <v>17</v>
      </c>
      <c r="W23" s="775">
        <f>J23</f>
        <v>100</v>
      </c>
      <c r="X23" s="1813"/>
      <c r="Y23" s="3194"/>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261"/>
      <c r="Q24" s="1810"/>
      <c r="R24" s="774"/>
      <c r="S24" s="775"/>
      <c r="T24" s="774"/>
      <c r="U24" s="775"/>
      <c r="V24" s="774"/>
      <c r="W24" s="775"/>
      <c r="X24" s="1813"/>
      <c r="Y24" s="3194"/>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1"/>
      <c r="Q25" s="1810" t="str">
        <f t="shared" ref="Q25:Q46" si="11">B25</f>
        <v>临街状况</v>
      </c>
      <c r="R25" s="774" t="s">
        <v>17</v>
      </c>
      <c r="S25" s="775">
        <f>F25</f>
        <v>100</v>
      </c>
      <c r="T25" s="774" t="s">
        <v>17</v>
      </c>
      <c r="U25" s="775">
        <f>H25</f>
        <v>100</v>
      </c>
      <c r="V25" s="774" t="s">
        <v>17</v>
      </c>
      <c r="W25" s="775">
        <f>J25</f>
        <v>100</v>
      </c>
      <c r="X25" s="1813"/>
      <c r="Y25" s="3194"/>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1"/>
      <c r="Q26" s="1810" t="str">
        <f t="shared" si="11"/>
        <v>平面位置/可视性</v>
      </c>
      <c r="R26" s="774" t="s">
        <v>17</v>
      </c>
      <c r="S26" s="775">
        <f>F26</f>
        <v>100</v>
      </c>
      <c r="T26" s="774" t="s">
        <v>17</v>
      </c>
      <c r="U26" s="775">
        <f>H26</f>
        <v>100</v>
      </c>
      <c r="V26" s="774" t="s">
        <v>17</v>
      </c>
      <c r="W26" s="775">
        <f>J26</f>
        <v>100</v>
      </c>
      <c r="X26" s="1813"/>
      <c r="Y26" s="3194"/>
      <c r="Z26" s="1814" t="str">
        <f>Q26</f>
        <v>平面位置/可视性</v>
      </c>
      <c r="AA26" s="1811">
        <f t="shared" si="3"/>
        <v>1</v>
      </c>
      <c r="AB26" s="1811">
        <f t="shared" si="4"/>
        <v>1</v>
      </c>
      <c r="AC26" s="1811">
        <f t="shared" si="5"/>
        <v>1</v>
      </c>
    </row>
    <row r="27" spans="1:29" s="117" customFormat="1" ht="15">
      <c r="A27" s="431"/>
      <c r="B27" s="451" t="s">
        <v>2656</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61"/>
      <c r="Q27" s="1795" t="str">
        <f t="shared" si="11"/>
        <v>人流量</v>
      </c>
      <c r="R27" s="770" t="s">
        <v>17</v>
      </c>
      <c r="S27" s="771">
        <f>F27</f>
        <v>100</v>
      </c>
      <c r="T27" s="770" t="s">
        <v>17</v>
      </c>
      <c r="U27" s="771">
        <f>H27</f>
        <v>100</v>
      </c>
      <c r="V27" s="770" t="s">
        <v>17</v>
      </c>
      <c r="W27" s="771">
        <f>J27</f>
        <v>100</v>
      </c>
      <c r="X27" s="772"/>
      <c r="Y27" s="3194"/>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1"/>
      <c r="Q29" s="1810">
        <f t="shared" si="11"/>
        <v>111</v>
      </c>
      <c r="R29" s="774" t="s">
        <v>17</v>
      </c>
      <c r="S29" s="775">
        <f t="shared" si="12"/>
        <v>100</v>
      </c>
      <c r="T29" s="774" t="s">
        <v>17</v>
      </c>
      <c r="U29" s="775">
        <f t="shared" si="13"/>
        <v>100</v>
      </c>
      <c r="V29" s="774" t="s">
        <v>17</v>
      </c>
      <c r="W29" s="775">
        <f t="shared" si="14"/>
        <v>100</v>
      </c>
      <c r="X29" s="1813"/>
      <c r="Y29" s="319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1"/>
      <c r="Q30" s="1810">
        <f t="shared" si="11"/>
        <v>111</v>
      </c>
      <c r="R30" s="774" t="s">
        <v>17</v>
      </c>
      <c r="S30" s="775">
        <f t="shared" si="12"/>
        <v>100</v>
      </c>
      <c r="T30" s="774" t="s">
        <v>17</v>
      </c>
      <c r="U30" s="775">
        <f t="shared" si="13"/>
        <v>100</v>
      </c>
      <c r="V30" s="774" t="s">
        <v>17</v>
      </c>
      <c r="W30" s="775">
        <f t="shared" si="14"/>
        <v>100</v>
      </c>
      <c r="X30" s="1813"/>
      <c r="Y30" s="3194"/>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1"/>
      <c r="Q31" s="1810">
        <f t="shared" si="11"/>
        <v>111</v>
      </c>
      <c r="R31" s="774" t="s">
        <v>17</v>
      </c>
      <c r="S31" s="775">
        <f t="shared" si="12"/>
        <v>100</v>
      </c>
      <c r="T31" s="774" t="s">
        <v>17</v>
      </c>
      <c r="U31" s="775">
        <f t="shared" si="13"/>
        <v>100</v>
      </c>
      <c r="V31" s="774" t="s">
        <v>17</v>
      </c>
      <c r="W31" s="775">
        <f t="shared" si="14"/>
        <v>100</v>
      </c>
      <c r="X31" s="1813"/>
      <c r="Y31" s="3194"/>
      <c r="Z31" s="1814">
        <f t="shared" si="15"/>
        <v>111</v>
      </c>
      <c r="AA31" s="1811">
        <f t="shared" si="3"/>
        <v>1</v>
      </c>
      <c r="AB31" s="1811">
        <f t="shared" si="4"/>
        <v>1</v>
      </c>
      <c r="AC31" s="1811">
        <f t="shared" si="5"/>
        <v>1</v>
      </c>
    </row>
    <row r="32" spans="1:29" ht="15">
      <c r="A32" s="440" t="s">
        <v>2561</v>
      </c>
      <c r="B32" s="71" t="s">
        <v>2658</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56" t="s">
        <v>2563</v>
      </c>
      <c r="Q32" s="1810" t="str">
        <f t="shared" si="11"/>
        <v>商业类型</v>
      </c>
      <c r="R32" s="774" t="s">
        <v>17</v>
      </c>
      <c r="S32" s="775">
        <f t="shared" si="12"/>
        <v>100</v>
      </c>
      <c r="T32" s="774" t="s">
        <v>17</v>
      </c>
      <c r="U32" s="775">
        <f t="shared" si="13"/>
        <v>100</v>
      </c>
      <c r="V32" s="774" t="s">
        <v>17</v>
      </c>
      <c r="W32" s="775">
        <f t="shared" si="14"/>
        <v>100</v>
      </c>
      <c r="X32" s="1813"/>
      <c r="Y32" s="3196"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7"/>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11" t="e">
        <f t="shared" si="3"/>
        <v>#N/A</v>
      </c>
      <c r="AB33" s="1811" t="e">
        <f t="shared" si="4"/>
        <v>#N/A</v>
      </c>
      <c r="AC33" s="1811" t="e">
        <f t="shared" si="5"/>
        <v>#N/A</v>
      </c>
    </row>
    <row r="34" spans="1:29" ht="15">
      <c r="A34" s="472"/>
      <c r="B34" s="422" t="s">
        <v>2565</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57"/>
      <c r="Q34" s="1810" t="str">
        <f t="shared" si="11"/>
        <v>建筑结构</v>
      </c>
      <c r="R34" s="774" t="s">
        <v>17</v>
      </c>
      <c r="S34" s="775">
        <f t="shared" si="12"/>
        <v>100</v>
      </c>
      <c r="T34" s="774" t="s">
        <v>17</v>
      </c>
      <c r="U34" s="775">
        <f t="shared" si="13"/>
        <v>100</v>
      </c>
      <c r="V34" s="774" t="s">
        <v>17</v>
      </c>
      <c r="W34" s="775">
        <f t="shared" si="14"/>
        <v>100</v>
      </c>
      <c r="X34" s="1813"/>
      <c r="Y34" s="3196"/>
      <c r="Z34" s="1814" t="str">
        <f t="shared" si="15"/>
        <v>建筑结构</v>
      </c>
      <c r="AA34" s="1811">
        <f t="shared" si="3"/>
        <v>1</v>
      </c>
      <c r="AB34" s="1811">
        <f t="shared" si="4"/>
        <v>1</v>
      </c>
      <c r="AC34" s="1811">
        <f t="shared" si="5"/>
        <v>1</v>
      </c>
    </row>
    <row r="35" spans="1:29" ht="15">
      <c r="A35" s="472"/>
      <c r="B35" s="422" t="s">
        <v>2659</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57"/>
      <c r="Q35" s="1810" t="str">
        <f t="shared" si="11"/>
        <v>公共部分装修</v>
      </c>
      <c r="R35" s="774" t="s">
        <v>17</v>
      </c>
      <c r="S35" s="775">
        <f t="shared" si="12"/>
        <v>100</v>
      </c>
      <c r="T35" s="774" t="s">
        <v>17</v>
      </c>
      <c r="U35" s="775">
        <f t="shared" si="13"/>
        <v>100</v>
      </c>
      <c r="V35" s="774" t="s">
        <v>17</v>
      </c>
      <c r="W35" s="775">
        <f t="shared" si="14"/>
        <v>100</v>
      </c>
      <c r="X35" s="1813"/>
      <c r="Y35" s="3196"/>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7"/>
      <c r="Q36" s="1810" t="str">
        <f t="shared" si="11"/>
        <v>成新度</v>
      </c>
      <c r="R36" s="774" t="s">
        <v>17</v>
      </c>
      <c r="S36" s="775" t="e">
        <f t="shared" si="12"/>
        <v>#N/A</v>
      </c>
      <c r="T36" s="774" t="s">
        <v>17</v>
      </c>
      <c r="U36" s="775" t="e">
        <f t="shared" si="13"/>
        <v>#N/A</v>
      </c>
      <c r="V36" s="774" t="s">
        <v>17</v>
      </c>
      <c r="W36" s="775" t="e">
        <f t="shared" si="14"/>
        <v>#N/A</v>
      </c>
      <c r="X36" s="1813"/>
      <c r="Y36" s="3196"/>
      <c r="Z36" s="1814" t="str">
        <f t="shared" si="15"/>
        <v>成新度</v>
      </c>
      <c r="AA36" s="1811" t="e">
        <f t="shared" si="3"/>
        <v>#N/A</v>
      </c>
      <c r="AB36" s="1811" t="e">
        <f t="shared" si="4"/>
        <v>#N/A</v>
      </c>
      <c r="AC36" s="1811" t="e">
        <f t="shared" si="5"/>
        <v>#N/A</v>
      </c>
    </row>
    <row r="37" spans="1:29" s="117" customFormat="1" ht="15">
      <c r="A37" s="473"/>
      <c r="B37" s="422" t="s">
        <v>2661</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57"/>
      <c r="Q37" s="1795"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2662</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57" t="s">
        <v>2563</v>
      </c>
      <c r="Q38" s="1810" t="str">
        <f t="shared" si="11"/>
        <v>业态</v>
      </c>
      <c r="R38" s="774" t="s">
        <v>17</v>
      </c>
      <c r="S38" s="775">
        <f t="shared" si="12"/>
        <v>100</v>
      </c>
      <c r="T38" s="774" t="s">
        <v>17</v>
      </c>
      <c r="U38" s="775">
        <f t="shared" si="13"/>
        <v>100</v>
      </c>
      <c r="V38" s="774" t="s">
        <v>17</v>
      </c>
      <c r="W38" s="775">
        <f t="shared" si="14"/>
        <v>100</v>
      </c>
      <c r="X38" s="1813"/>
      <c r="Y38" s="3196" t="s">
        <v>2563</v>
      </c>
      <c r="Z38" s="1814" t="str">
        <f t="shared" si="15"/>
        <v>业态</v>
      </c>
      <c r="AA38" s="1811">
        <f t="shared" si="3"/>
        <v>1</v>
      </c>
      <c r="AB38" s="1811">
        <f t="shared" si="4"/>
        <v>1</v>
      </c>
      <c r="AC38" s="1811">
        <f t="shared" si="5"/>
        <v>1</v>
      </c>
    </row>
    <row r="39" spans="1:29" ht="15">
      <c r="A39" s="472"/>
      <c r="B39" s="422" t="s">
        <v>2663</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57"/>
      <c r="Q39" s="1810" t="str">
        <f t="shared" si="11"/>
        <v>层高</v>
      </c>
      <c r="R39" s="774" t="s">
        <v>17</v>
      </c>
      <c r="S39" s="775">
        <f t="shared" si="12"/>
        <v>100</v>
      </c>
      <c r="T39" s="774" t="s">
        <v>17</v>
      </c>
      <c r="U39" s="775">
        <f t="shared" si="13"/>
        <v>100</v>
      </c>
      <c r="V39" s="774" t="s">
        <v>17</v>
      </c>
      <c r="W39" s="775">
        <f t="shared" si="14"/>
        <v>100</v>
      </c>
      <c r="X39" s="1813"/>
      <c r="Y39" s="3196"/>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7"/>
      <c r="Q40" s="1810" t="str">
        <f t="shared" si="11"/>
        <v>单套建筑面积</v>
      </c>
      <c r="R40" s="774" t="s">
        <v>17</v>
      </c>
      <c r="S40" s="775">
        <f t="shared" si="12"/>
        <v>100</v>
      </c>
      <c r="T40" s="774" t="s">
        <v>17</v>
      </c>
      <c r="U40" s="775">
        <f t="shared" si="13"/>
        <v>100</v>
      </c>
      <c r="V40" s="774" t="s">
        <v>17</v>
      </c>
      <c r="W40" s="775">
        <f t="shared" si="14"/>
        <v>100</v>
      </c>
      <c r="X40" s="1813"/>
      <c r="Y40" s="3196"/>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7"/>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1">
        <f t="shared" si="3"/>
        <v>1</v>
      </c>
      <c r="AB41" s="1811">
        <f t="shared" si="4"/>
        <v>1</v>
      </c>
      <c r="AC41" s="1811">
        <f t="shared" si="5"/>
        <v>1</v>
      </c>
    </row>
    <row r="42" spans="1:29" ht="15">
      <c r="A42" s="472"/>
      <c r="B42" s="422" t="s">
        <v>2666</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57"/>
      <c r="Q42" s="1810" t="str">
        <f t="shared" si="11"/>
        <v>内部装修</v>
      </c>
      <c r="R42" s="774" t="s">
        <v>17</v>
      </c>
      <c r="S42" s="775">
        <f t="shared" si="12"/>
        <v>100</v>
      </c>
      <c r="T42" s="774" t="s">
        <v>17</v>
      </c>
      <c r="U42" s="775">
        <f t="shared" si="13"/>
        <v>100</v>
      </c>
      <c r="V42" s="774" t="s">
        <v>17</v>
      </c>
      <c r="W42" s="775">
        <f t="shared" si="14"/>
        <v>100</v>
      </c>
      <c r="X42" s="1813"/>
      <c r="Y42" s="3196"/>
      <c r="Z42" s="1814" t="str">
        <f t="shared" si="15"/>
        <v>内部装修</v>
      </c>
      <c r="AA42" s="1811">
        <f t="shared" si="3"/>
        <v>1</v>
      </c>
      <c r="AB42" s="1811">
        <f t="shared" si="4"/>
        <v>1</v>
      </c>
      <c r="AC42" s="1811">
        <f t="shared" si="5"/>
        <v>1</v>
      </c>
    </row>
    <row r="43" spans="1:29" ht="28.8">
      <c r="A43" s="472"/>
      <c r="B43" s="422" t="s">
        <v>2574</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57"/>
      <c r="Q43" s="1810" t="str">
        <f t="shared" si="11"/>
        <v>内部装修维护情况</v>
      </c>
      <c r="R43" s="774" t="s">
        <v>17</v>
      </c>
      <c r="S43" s="775">
        <f t="shared" si="12"/>
        <v>100</v>
      </c>
      <c r="T43" s="774" t="s">
        <v>17</v>
      </c>
      <c r="U43" s="775">
        <f t="shared" si="13"/>
        <v>100</v>
      </c>
      <c r="V43" s="774" t="s">
        <v>17</v>
      </c>
      <c r="W43" s="775">
        <f t="shared" si="14"/>
        <v>100</v>
      </c>
      <c r="X43" s="1813"/>
      <c r="Y43" s="319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7"/>
      <c r="Q44" s="1795">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7"/>
      <c r="Q45" s="1810">
        <f t="shared" si="11"/>
        <v>111</v>
      </c>
      <c r="R45" s="774" t="s">
        <v>17</v>
      </c>
      <c r="S45" s="775">
        <f t="shared" si="12"/>
        <v>100</v>
      </c>
      <c r="T45" s="774" t="s">
        <v>17</v>
      </c>
      <c r="U45" s="775">
        <f t="shared" si="13"/>
        <v>100</v>
      </c>
      <c r="V45" s="774" t="s">
        <v>17</v>
      </c>
      <c r="W45" s="775">
        <f t="shared" si="14"/>
        <v>100</v>
      </c>
      <c r="X45" s="1813"/>
      <c r="Y45" s="3196"/>
      <c r="Z45" s="1814">
        <f t="shared" si="15"/>
        <v>111</v>
      </c>
      <c r="AA45" s="1811">
        <f t="shared" si="3"/>
        <v>1</v>
      </c>
      <c r="AB45" s="1811">
        <f t="shared" si="4"/>
        <v>1</v>
      </c>
      <c r="AC45" s="1811">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8"/>
      <c r="Q46" s="1810">
        <f t="shared" si="11"/>
        <v>111</v>
      </c>
      <c r="R46" s="774" t="s">
        <v>17</v>
      </c>
      <c r="S46" s="775">
        <f t="shared" si="12"/>
        <v>100</v>
      </c>
      <c r="T46" s="774" t="s">
        <v>17</v>
      </c>
      <c r="U46" s="775">
        <f t="shared" si="13"/>
        <v>100</v>
      </c>
      <c r="V46" s="774" t="s">
        <v>17</v>
      </c>
      <c r="W46" s="775">
        <f t="shared" si="14"/>
        <v>100</v>
      </c>
      <c r="X46" s="1813"/>
      <c r="Y46" s="3259"/>
      <c r="Z46" s="1814">
        <f t="shared" si="15"/>
        <v>111</v>
      </c>
      <c r="AA46" s="1811">
        <f t="shared" si="3"/>
        <v>1</v>
      </c>
      <c r="AB46" s="1811">
        <f t="shared" si="4"/>
        <v>1</v>
      </c>
      <c r="AC46" s="1811">
        <f t="shared" si="5"/>
        <v>1</v>
      </c>
    </row>
    <row r="47" spans="1:29" ht="14.4">
      <c r="A47" s="479" t="s">
        <v>2575</v>
      </c>
      <c r="B47" s="480"/>
      <c r="C47" s="1407" t="s">
        <v>1</v>
      </c>
      <c r="D47" s="1408"/>
      <c r="E47" s="1409"/>
      <c r="F47" s="1410"/>
      <c r="G47" s="1411"/>
      <c r="H47" s="1412"/>
      <c r="I47" s="1409"/>
      <c r="J47" s="1412"/>
      <c r="K47" s="783"/>
      <c r="L47" s="1143"/>
      <c r="M47" s="1144"/>
      <c r="N47" s="1131"/>
      <c r="O47" s="1144"/>
      <c r="P47" s="3191" t="str">
        <f>A47</f>
        <v>成交单价（元/平方米）</v>
      </c>
      <c r="Q47" s="3191"/>
      <c r="R47" s="3197">
        <f>E47</f>
        <v>0</v>
      </c>
      <c r="S47" s="3197"/>
      <c r="T47" s="3197">
        <f>G47</f>
        <v>0</v>
      </c>
      <c r="U47" s="3197"/>
      <c r="V47" s="3197">
        <f>I47</f>
        <v>0</v>
      </c>
      <c r="W47" s="3197"/>
      <c r="X47" s="759"/>
      <c r="Y47" s="781"/>
      <c r="Z47" s="759"/>
      <c r="AA47" s="759"/>
      <c r="AB47" s="759"/>
      <c r="AC47" s="759"/>
    </row>
    <row r="48" spans="1:29" ht="1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91" t="str">
        <f>A48</f>
        <v>比较价值（元/平方米）</v>
      </c>
      <c r="Q48" s="3191"/>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9"/>
      <c r="Y48" s="759"/>
      <c r="Z48" s="759"/>
      <c r="AA48" s="759"/>
      <c r="AB48" s="759"/>
      <c r="AC48" s="759"/>
    </row>
    <row r="49" spans="1:29" ht="15" thickBot="1">
      <c r="A49" s="492" t="s">
        <v>2668</v>
      </c>
      <c r="B49" s="493"/>
      <c r="C49" s="1417" t="e">
        <f>R49</f>
        <v>#DIV/0!</v>
      </c>
      <c r="D49" s="1417"/>
      <c r="E49" s="1417"/>
      <c r="F49" s="1417"/>
      <c r="G49" s="1417"/>
      <c r="H49" s="1417"/>
      <c r="I49" s="1417"/>
      <c r="J49" s="1417"/>
      <c r="K49" s="785"/>
      <c r="L49" s="1143"/>
      <c r="M49" s="1144"/>
      <c r="N49" s="1131"/>
      <c r="O49" s="1144"/>
      <c r="P49" s="3185" t="str">
        <f>A49</f>
        <v>估价对象XX用房的比较价值（楼面单价，元/平方米）</v>
      </c>
      <c r="Q49" s="3186"/>
      <c r="R49" s="3254" t="e">
        <f>IF(F1="售价",ROUND(AVERAGE(R48:V48),0),ROUND(AVERAGE(R48:V48),1))</f>
        <v>#DIV/0!</v>
      </c>
      <c r="S49" s="3254"/>
      <c r="T49" s="3254"/>
      <c r="U49" s="3254"/>
      <c r="V49" s="3254"/>
      <c r="W49" s="325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4.4">
      <c r="A58" s="505" t="s">
        <v>2546</v>
      </c>
      <c r="B58" s="506"/>
      <c r="C58" s="1574" t="str">
        <f>YEAR(C7)&amp;"-"&amp;MONTH(C7)</f>
        <v>2020-4</v>
      </c>
      <c r="D58" s="1575">
        <f>EDATE(C58,-1)</f>
        <v>43891</v>
      </c>
      <c r="E58" s="1575">
        <f t="shared" ref="E58:N58" si="16">EDATE(D58,-1)</f>
        <v>43862</v>
      </c>
      <c r="F58" s="1575">
        <f t="shared" si="16"/>
        <v>43831</v>
      </c>
      <c r="G58" s="1575">
        <f t="shared" si="16"/>
        <v>43800</v>
      </c>
      <c r="H58" s="1575">
        <f t="shared" si="16"/>
        <v>43770</v>
      </c>
      <c r="I58" s="1575">
        <f t="shared" si="16"/>
        <v>43739</v>
      </c>
      <c r="J58" s="1575">
        <f t="shared" si="16"/>
        <v>43709</v>
      </c>
      <c r="K58" s="1575">
        <f t="shared" si="16"/>
        <v>43678</v>
      </c>
      <c r="L58" s="1575">
        <f t="shared" si="16"/>
        <v>43647</v>
      </c>
      <c r="M58" s="1575">
        <f t="shared" si="16"/>
        <v>43617</v>
      </c>
      <c r="N58" s="1575">
        <f t="shared" si="16"/>
        <v>43586</v>
      </c>
      <c r="O58" s="1575">
        <f>EDATE(N58,-1)</f>
        <v>43556</v>
      </c>
      <c r="P58" s="1570"/>
    </row>
    <row r="59" spans="1:29" s="117" customFormat="1">
      <c r="A59" s="509"/>
      <c r="B59" s="510"/>
      <c r="C59" s="1573">
        <v>100</v>
      </c>
      <c r="D59" s="512"/>
      <c r="E59" s="512"/>
      <c r="F59" s="512"/>
      <c r="G59" s="512"/>
      <c r="H59" s="512"/>
      <c r="I59" s="512"/>
      <c r="J59" s="512"/>
      <c r="K59" s="512"/>
      <c r="L59" s="512"/>
      <c r="M59" s="513"/>
      <c r="N59" s="512"/>
      <c r="O59" s="513"/>
      <c r="P59" s="2629"/>
    </row>
    <row r="60" spans="1:29" s="117" customFormat="1" ht="15" thickBot="1">
      <c r="A60" s="515" t="s">
        <v>2583</v>
      </c>
      <c r="B60" s="516"/>
      <c r="C60" s="517"/>
      <c r="D60" s="518"/>
      <c r="E60" s="518"/>
      <c r="F60" s="518"/>
      <c r="G60" s="518"/>
      <c r="H60" s="518"/>
      <c r="I60" s="518"/>
      <c r="J60" s="518"/>
      <c r="K60" s="518"/>
      <c r="L60" s="518"/>
      <c r="M60" s="519"/>
      <c r="N60" s="518"/>
      <c r="O60" s="519"/>
      <c r="P60" s="2629"/>
      <c r="Q60" s="504"/>
    </row>
    <row r="61" spans="1:29" s="117" customFormat="1" ht="14.4">
      <c r="A61" s="521" t="s">
        <v>2548</v>
      </c>
      <c r="B61" s="510"/>
      <c r="C61" s="522" t="s">
        <v>2650</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2586</v>
      </c>
      <c r="B63" s="528" t="s">
        <v>2552</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36"/>
      <c r="E73" s="536"/>
      <c r="F73" s="536"/>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2653</v>
      </c>
      <c r="C82" s="660" t="s">
        <v>2673</v>
      </c>
      <c r="D82" s="660" t="s">
        <v>2674</v>
      </c>
      <c r="E82" s="660" t="s">
        <v>2675</v>
      </c>
      <c r="F82" s="660" t="s">
        <v>2676</v>
      </c>
      <c r="G82" s="660" t="s">
        <v>2677</v>
      </c>
      <c r="H82" s="539"/>
      <c r="I82" s="539"/>
      <c r="J82" s="539"/>
      <c r="K82" s="539"/>
      <c r="L82" s="539"/>
      <c r="M82" s="1382"/>
      <c r="N82" s="1153"/>
      <c r="O82" s="1153"/>
      <c r="P82" s="263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2678</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4.4" thickBot="1">
      <c r="A89" s="579"/>
      <c r="B89" s="543"/>
      <c r="C89" s="560"/>
      <c r="D89" s="536"/>
      <c r="E89" s="536"/>
      <c r="F89" s="536"/>
      <c r="G89" s="536"/>
      <c r="H89" s="536"/>
      <c r="I89" s="536"/>
      <c r="J89" s="536"/>
      <c r="K89" s="536"/>
      <c r="L89" s="536"/>
      <c r="M89" s="536"/>
      <c r="N89" s="1153"/>
      <c r="O89" s="1153"/>
      <c r="P89" s="2631"/>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4.4" thickTop="1">
      <c r="A92" s="534"/>
      <c r="B92" s="538" t="str">
        <f>B28</f>
        <v>楼层</v>
      </c>
      <c r="C92" s="554"/>
      <c r="D92" s="554"/>
      <c r="E92" s="554"/>
      <c r="F92" s="554"/>
      <c r="G92" s="554"/>
      <c r="H92" s="554"/>
      <c r="I92" s="554"/>
      <c r="J92" s="554"/>
      <c r="K92" s="554"/>
      <c r="L92" s="580"/>
      <c r="M92" s="581"/>
      <c r="N92" s="1152"/>
      <c r="O92" s="1152"/>
      <c r="P92" s="2631"/>
      <c r="Q92" s="504"/>
    </row>
    <row r="93" spans="1:17" ht="14.4" thickBot="1">
      <c r="A93" s="534"/>
      <c r="B93" s="543"/>
      <c r="C93" s="536"/>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36"/>
      <c r="E95" s="536"/>
      <c r="F95" s="536"/>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60"/>
      <c r="D97" s="536"/>
      <c r="E97" s="536"/>
      <c r="F97" s="536"/>
      <c r="G97" s="536"/>
      <c r="H97" s="536"/>
      <c r="I97" s="536"/>
      <c r="J97" s="536"/>
      <c r="K97" s="536"/>
      <c r="L97" s="536"/>
      <c r="M97" s="537"/>
      <c r="N97" s="1153"/>
      <c r="O97" s="1153"/>
      <c r="P97" s="2631"/>
      <c r="Q97" s="504"/>
    </row>
    <row r="98" spans="1:17" ht="14.4" thickTop="1">
      <c r="A98" s="534"/>
      <c r="B98" s="546">
        <f>B31</f>
        <v>111</v>
      </c>
      <c r="C98" s="554"/>
      <c r="D98" s="554"/>
      <c r="E98" s="554"/>
      <c r="F98" s="554"/>
      <c r="G98" s="587"/>
      <c r="H98" s="587"/>
      <c r="I98" s="587"/>
      <c r="J98" s="587"/>
      <c r="K98" s="588"/>
      <c r="L98" s="589"/>
      <c r="M98" s="590"/>
      <c r="N98" s="1152"/>
      <c r="O98" s="1152"/>
      <c r="P98" s="2631"/>
      <c r="Q98" s="504"/>
    </row>
    <row r="99" spans="1:17" ht="14.4" thickBot="1">
      <c r="A99" s="2637"/>
      <c r="B99" s="569"/>
      <c r="C99" s="570"/>
      <c r="D99" s="570"/>
      <c r="E99" s="570"/>
      <c r="F99" s="570"/>
      <c r="G99" s="591"/>
      <c r="H99" s="591"/>
      <c r="I99" s="591"/>
      <c r="J99" s="591"/>
      <c r="K99" s="591"/>
      <c r="L99" s="591"/>
      <c r="M99" s="592"/>
      <c r="N99" s="1153"/>
      <c r="O99" s="1153"/>
      <c r="P99" s="2631"/>
      <c r="Q99" s="504"/>
    </row>
    <row r="100" spans="1:17" ht="14.4">
      <c r="A100" s="527" t="s">
        <v>2561</v>
      </c>
      <c r="B100" s="528" t="s">
        <v>2679</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2612</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2614</v>
      </c>
      <c r="C107" s="554"/>
      <c r="D107" s="554"/>
      <c r="E107" s="554"/>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2680</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2681</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2682</v>
      </c>
      <c r="C118" s="627"/>
      <c r="D118" s="627"/>
      <c r="E118" s="627"/>
      <c r="F118" s="627"/>
      <c r="G118" s="627"/>
      <c r="H118" s="555"/>
      <c r="I118" s="555"/>
      <c r="J118" s="555"/>
      <c r="K118" s="555"/>
      <c r="L118" s="556"/>
      <c r="M118" s="557"/>
      <c r="N118" s="1152"/>
      <c r="O118" s="1152"/>
      <c r="P118" s="2631"/>
      <c r="Q118" s="504"/>
    </row>
    <row r="119" spans="1:17" ht="14.4"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2618</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36"/>
      <c r="E129" s="536"/>
      <c r="F129" s="536"/>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670" t="s">
        <v>2684</v>
      </c>
      <c r="C1" s="1620" t="s">
        <v>2528</v>
      </c>
      <c r="D1" s="1621"/>
      <c r="E1" s="1630"/>
      <c r="F1" s="2585"/>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7"/>
      <c r="D2" s="1365"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176567.06999999998</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2643</v>
      </c>
      <c r="B4" s="402"/>
      <c r="C4" s="3188" t="s">
        <v>2644</v>
      </c>
      <c r="D4" s="3201"/>
      <c r="E4" s="3202" t="s">
        <v>2645</v>
      </c>
      <c r="F4" s="3203"/>
      <c r="G4" s="3188" t="s">
        <v>2646</v>
      </c>
      <c r="H4" s="3201"/>
      <c r="I4" s="3188" t="s">
        <v>2647</v>
      </c>
      <c r="J4" s="3201"/>
      <c r="K4" s="610" t="s">
        <v>2648</v>
      </c>
      <c r="L4" s="1130"/>
      <c r="M4" s="1131"/>
      <c r="N4" s="1131"/>
      <c r="O4" s="1131"/>
      <c r="P4" s="3268" t="s">
        <v>2649</v>
      </c>
      <c r="Q4" s="3269"/>
      <c r="R4" s="3272" t="s">
        <v>2645</v>
      </c>
      <c r="S4" s="3273"/>
      <c r="T4" s="3272" t="s">
        <v>2646</v>
      </c>
      <c r="U4" s="3273"/>
      <c r="V4" s="3274" t="s">
        <v>2647</v>
      </c>
      <c r="W4" s="3274"/>
      <c r="X4" s="2671"/>
      <c r="Y4" s="3272" t="s">
        <v>2649</v>
      </c>
      <c r="Z4" s="3273"/>
      <c r="AA4" s="3276" t="s">
        <v>2645</v>
      </c>
      <c r="AB4" s="3276" t="s">
        <v>2646</v>
      </c>
      <c r="AC4" s="3265" t="s">
        <v>2647</v>
      </c>
    </row>
    <row r="5" spans="1:29">
      <c r="A5" s="404"/>
      <c r="B5" s="405"/>
      <c r="C5" s="3218" t="s">
        <v>2540</v>
      </c>
      <c r="D5" s="3219"/>
      <c r="E5" s="3225" t="s">
        <v>2541</v>
      </c>
      <c r="F5" s="3226"/>
      <c r="G5" s="3218" t="s">
        <v>2542</v>
      </c>
      <c r="H5" s="3219"/>
      <c r="I5" s="3218" t="s">
        <v>2543</v>
      </c>
      <c r="J5" s="3219"/>
      <c r="K5" s="610"/>
      <c r="L5" s="1130"/>
      <c r="M5" s="1131"/>
      <c r="N5" s="1131"/>
      <c r="O5" s="1131"/>
      <c r="P5" s="3270"/>
      <c r="Q5" s="3207"/>
      <c r="R5" s="3212"/>
      <c r="S5" s="3213"/>
      <c r="T5" s="3212"/>
      <c r="U5" s="3213"/>
      <c r="V5" s="3197"/>
      <c r="W5" s="3197"/>
      <c r="X5" s="1813"/>
      <c r="Y5" s="3212"/>
      <c r="Z5" s="3213"/>
      <c r="AA5" s="3199"/>
      <c r="AB5" s="3199"/>
      <c r="AC5" s="3266"/>
    </row>
    <row r="6" spans="1:29" ht="15" thickBot="1">
      <c r="A6" s="406"/>
      <c r="B6" s="407"/>
      <c r="C6" s="3216" t="s">
        <v>2544</v>
      </c>
      <c r="D6" s="3217"/>
      <c r="E6" s="3223" t="s">
        <v>2544</v>
      </c>
      <c r="F6" s="3224"/>
      <c r="G6" s="3216" t="s">
        <v>2544</v>
      </c>
      <c r="H6" s="3217"/>
      <c r="I6" s="3216" t="s">
        <v>2544</v>
      </c>
      <c r="J6" s="3217"/>
      <c r="K6" s="610" t="s">
        <v>2545</v>
      </c>
      <c r="L6" s="1130"/>
      <c r="M6" s="1131"/>
      <c r="N6" s="1131"/>
      <c r="O6" s="1131"/>
      <c r="P6" s="3271"/>
      <c r="Q6" s="3209"/>
      <c r="R6" s="3212"/>
      <c r="S6" s="3213"/>
      <c r="T6" s="3214"/>
      <c r="U6" s="3215"/>
      <c r="V6" s="3197"/>
      <c r="W6" s="3197"/>
      <c r="X6" s="1813"/>
      <c r="Y6" s="3214"/>
      <c r="Z6" s="3215"/>
      <c r="AA6" s="3200"/>
      <c r="AB6" s="3200"/>
      <c r="AC6" s="3267"/>
    </row>
    <row r="7" spans="1:29" s="117" customFormat="1" ht="15" thickBot="1">
      <c r="A7" s="408" t="s">
        <v>2546</v>
      </c>
      <c r="B7" s="409"/>
      <c r="C7" s="410">
        <f>'数据-取费表'!B2</f>
        <v>43923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5" t="s">
        <v>2547</v>
      </c>
      <c r="Q7" s="3222"/>
      <c r="R7" s="770" t="s">
        <v>17</v>
      </c>
      <c r="S7" s="771">
        <f t="shared" ref="S7:S15" si="0">F7</f>
        <v>0</v>
      </c>
      <c r="T7" s="770" t="s">
        <v>17</v>
      </c>
      <c r="U7" s="771">
        <f t="shared" ref="U7:U15" si="1">H7</f>
        <v>0</v>
      </c>
      <c r="V7" s="770" t="s">
        <v>17</v>
      </c>
      <c r="W7" s="771">
        <f t="shared" ref="W7:W15" si="2">J7</f>
        <v>0</v>
      </c>
      <c r="X7" s="772"/>
      <c r="Y7" s="3220" t="s">
        <v>2547</v>
      </c>
      <c r="Z7" s="3221"/>
      <c r="AA7" s="773" t="e">
        <f>D7/F7</f>
        <v>#DIV/0!</v>
      </c>
      <c r="AB7" s="773" t="e">
        <f>D7/H7</f>
        <v>#DIV/0!</v>
      </c>
      <c r="AC7" s="2672" t="e">
        <f>D7/J7</f>
        <v>#DIV/0!</v>
      </c>
    </row>
    <row r="8" spans="1:29" s="117" customFormat="1" ht="1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5" t="s">
        <v>2550</v>
      </c>
      <c r="Q8" s="3221"/>
      <c r="R8" s="770" t="s">
        <v>17</v>
      </c>
      <c r="S8" s="771">
        <f t="shared" si="0"/>
        <v>0</v>
      </c>
      <c r="T8" s="770" t="s">
        <v>17</v>
      </c>
      <c r="U8" s="771">
        <f t="shared" si="1"/>
        <v>0</v>
      </c>
      <c r="V8" s="770" t="s">
        <v>17</v>
      </c>
      <c r="W8" s="771">
        <f t="shared" si="2"/>
        <v>0</v>
      </c>
      <c r="X8" s="772"/>
      <c r="Y8" s="3220" t="s">
        <v>2550</v>
      </c>
      <c r="Z8" s="3221"/>
      <c r="AA8" s="773" t="e">
        <f t="shared" ref="AA8:AA47" si="3">D8/F8</f>
        <v>#DIV/0!</v>
      </c>
      <c r="AB8" s="773" t="e">
        <f t="shared" ref="AB8:AB47" si="4">D8/H8</f>
        <v>#DIV/0!</v>
      </c>
      <c r="AC8" s="2672" t="e">
        <f t="shared" ref="AC8:AC47" si="5">D8/J8</f>
        <v>#DIV/0!</v>
      </c>
    </row>
    <row r="9" spans="1:29" s="117" customFormat="1" ht="14.4">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0" t="s">
        <v>2553</v>
      </c>
      <c r="Q9" s="1795"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2672">
        <f t="shared" si="5"/>
        <v>1</v>
      </c>
    </row>
    <row r="10" spans="1:29" s="427" customFormat="1" ht="28.8">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72">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0"/>
      <c r="Q11" s="1795"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190"/>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190"/>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72">
        <f t="shared" si="5"/>
        <v>1</v>
      </c>
    </row>
    <row r="14" spans="1:29" ht="15.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190"/>
      <c r="Q14" s="1795">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72">
        <f t="shared" si="5"/>
        <v>1</v>
      </c>
    </row>
    <row r="15" spans="1:29" ht="69">
      <c r="A15" s="440" t="s">
        <v>2557</v>
      </c>
      <c r="B15" s="629" t="s">
        <v>2685</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0" t="s">
        <v>2558</v>
      </c>
      <c r="Q15" s="1810" t="str">
        <f t="shared" si="6"/>
        <v>办公集聚程度</v>
      </c>
      <c r="R15" s="774" t="s">
        <v>17</v>
      </c>
      <c r="S15" s="775">
        <f t="shared" si="0"/>
        <v>100</v>
      </c>
      <c r="T15" s="774" t="s">
        <v>17</v>
      </c>
      <c r="U15" s="775">
        <f t="shared" si="1"/>
        <v>100</v>
      </c>
      <c r="V15" s="774" t="s">
        <v>17</v>
      </c>
      <c r="W15" s="775">
        <f t="shared" si="2"/>
        <v>100</v>
      </c>
      <c r="X15" s="1813"/>
      <c r="Y15" s="3193" t="s">
        <v>2558</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261"/>
      <c r="Q16" s="1810"/>
      <c r="R16" s="774"/>
      <c r="S16" s="775"/>
      <c r="T16" s="774"/>
      <c r="U16" s="775"/>
      <c r="V16" s="774"/>
      <c r="W16" s="775"/>
      <c r="X16" s="1813"/>
      <c r="Y16" s="3194"/>
      <c r="Z16" s="1814"/>
      <c r="AA16" s="1811">
        <v>1</v>
      </c>
      <c r="AB16" s="1811">
        <v>1</v>
      </c>
      <c r="AC16" s="2675">
        <v>1</v>
      </c>
    </row>
    <row r="17" spans="1:29" ht="82.8">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1"/>
      <c r="Q17" s="1810" t="str">
        <f>B17</f>
        <v>交通便捷度</v>
      </c>
      <c r="R17" s="774" t="s">
        <v>17</v>
      </c>
      <c r="S17" s="775">
        <f>F17</f>
        <v>100</v>
      </c>
      <c r="T17" s="774" t="s">
        <v>17</v>
      </c>
      <c r="U17" s="775">
        <f>H17</f>
        <v>100</v>
      </c>
      <c r="V17" s="774" t="s">
        <v>17</v>
      </c>
      <c r="W17" s="775">
        <f>J17</f>
        <v>100</v>
      </c>
      <c r="X17" s="1813"/>
      <c r="Y17" s="3194"/>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261"/>
      <c r="Q18" s="1810"/>
      <c r="R18" s="774"/>
      <c r="S18" s="775"/>
      <c r="T18" s="774"/>
      <c r="U18" s="775"/>
      <c r="V18" s="774"/>
      <c r="W18" s="775"/>
      <c r="X18" s="1813"/>
      <c r="Y18" s="3194"/>
      <c r="Z18" s="1814"/>
      <c r="AA18" s="1811">
        <v>1</v>
      </c>
      <c r="AB18" s="1811">
        <v>1</v>
      </c>
      <c r="AC18" s="2675">
        <v>1</v>
      </c>
    </row>
    <row r="19" spans="1:29" ht="41.4">
      <c r="A19" s="428"/>
      <c r="B19" s="631" t="s">
        <v>2686</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1"/>
      <c r="Q19" s="1810" t="str">
        <f>B19</f>
        <v>公共配套设施</v>
      </c>
      <c r="R19" s="774" t="s">
        <v>17</v>
      </c>
      <c r="S19" s="775">
        <f>F19</f>
        <v>100</v>
      </c>
      <c r="T19" s="774" t="s">
        <v>17</v>
      </c>
      <c r="U19" s="775">
        <f>H19</f>
        <v>100</v>
      </c>
      <c r="V19" s="774" t="s">
        <v>17</v>
      </c>
      <c r="W19" s="775">
        <f>J19</f>
        <v>100</v>
      </c>
      <c r="X19" s="1813"/>
      <c r="Y19" s="3194"/>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261"/>
      <c r="Q20" s="1810"/>
      <c r="R20" s="774"/>
      <c r="S20" s="775"/>
      <c r="T20" s="774"/>
      <c r="U20" s="775"/>
      <c r="V20" s="774"/>
      <c r="W20" s="775"/>
      <c r="X20" s="1813"/>
      <c r="Y20" s="3194"/>
      <c r="Z20" s="1814"/>
      <c r="AA20" s="1811">
        <v>1</v>
      </c>
      <c r="AB20" s="1811">
        <v>1</v>
      </c>
      <c r="AC20" s="2675">
        <v>1</v>
      </c>
    </row>
    <row r="21" spans="1:29" ht="27.6">
      <c r="A21" s="428"/>
      <c r="B21" s="633"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1"/>
      <c r="Q21" s="1810" t="str">
        <f>B21</f>
        <v>基础设施水平</v>
      </c>
      <c r="R21" s="774" t="s">
        <v>17</v>
      </c>
      <c r="S21" s="775">
        <f>F21</f>
        <v>100</v>
      </c>
      <c r="T21" s="774" t="s">
        <v>17</v>
      </c>
      <c r="U21" s="775">
        <f>H21</f>
        <v>100</v>
      </c>
      <c r="V21" s="774" t="s">
        <v>17</v>
      </c>
      <c r="W21" s="775">
        <f>J21</f>
        <v>100</v>
      </c>
      <c r="X21" s="1813"/>
      <c r="Y21" s="3194"/>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61"/>
      <c r="Q22" s="1810"/>
      <c r="R22" s="774"/>
      <c r="S22" s="775"/>
      <c r="T22" s="774"/>
      <c r="U22" s="775"/>
      <c r="V22" s="774"/>
      <c r="W22" s="775"/>
      <c r="X22" s="1813"/>
      <c r="Y22" s="3194"/>
      <c r="Z22" s="1814"/>
      <c r="AA22" s="1811">
        <v>1</v>
      </c>
      <c r="AB22" s="1811">
        <v>1</v>
      </c>
      <c r="AC22" s="2675">
        <v>1</v>
      </c>
    </row>
    <row r="23" spans="1:29" ht="55.2">
      <c r="A23" s="428"/>
      <c r="B23" s="631"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1"/>
      <c r="Q23" s="1810" t="str">
        <f>B23</f>
        <v>环境质量</v>
      </c>
      <c r="R23" s="774" t="s">
        <v>17</v>
      </c>
      <c r="S23" s="775">
        <f>F23</f>
        <v>100</v>
      </c>
      <c r="T23" s="774" t="s">
        <v>17</v>
      </c>
      <c r="U23" s="775">
        <f>H23</f>
        <v>100</v>
      </c>
      <c r="V23" s="774" t="s">
        <v>17</v>
      </c>
      <c r="W23" s="775">
        <f>J23</f>
        <v>100</v>
      </c>
      <c r="X23" s="1813"/>
      <c r="Y23" s="3194"/>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261"/>
      <c r="Q24" s="1810"/>
      <c r="R24" s="774"/>
      <c r="S24" s="775"/>
      <c r="T24" s="774"/>
      <c r="U24" s="775"/>
      <c r="V24" s="774"/>
      <c r="W24" s="775"/>
      <c r="X24" s="1813"/>
      <c r="Y24" s="3194"/>
      <c r="Z24" s="1814"/>
      <c r="AA24" s="1811">
        <v>1</v>
      </c>
      <c r="AB24" s="1811">
        <v>1</v>
      </c>
      <c r="AC24" s="2675">
        <v>1</v>
      </c>
    </row>
    <row r="25" spans="1:29" ht="28.8">
      <c r="A25" s="404"/>
      <c r="B25" s="631" t="s">
        <v>2689</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61"/>
      <c r="Q25" s="1810" t="str">
        <f>B25</f>
        <v>毗邻道路的类型与等级</v>
      </c>
      <c r="R25" s="774" t="s">
        <v>17</v>
      </c>
      <c r="S25" s="775">
        <f>F25</f>
        <v>100</v>
      </c>
      <c r="T25" s="774" t="s">
        <v>17</v>
      </c>
      <c r="U25" s="775">
        <f>H25</f>
        <v>100</v>
      </c>
      <c r="V25" s="774" t="s">
        <v>17</v>
      </c>
      <c r="W25" s="775">
        <f>J25</f>
        <v>100</v>
      </c>
      <c r="X25" s="1813"/>
      <c r="Y25" s="3194"/>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261"/>
      <c r="Q26" s="1810"/>
      <c r="R26" s="774"/>
      <c r="S26" s="775"/>
      <c r="T26" s="774"/>
      <c r="U26" s="775"/>
      <c r="V26" s="774"/>
      <c r="W26" s="775"/>
      <c r="X26" s="1813"/>
      <c r="Y26" s="3194"/>
      <c r="Z26" s="1814"/>
      <c r="AA26" s="1811">
        <v>1</v>
      </c>
      <c r="AB26" s="1811">
        <v>1</v>
      </c>
      <c r="AC26" s="267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1"/>
      <c r="Q27" s="1810" t="str">
        <f t="shared" ref="Q27:Q47" si="11">B27</f>
        <v>楼层</v>
      </c>
      <c r="R27" s="774" t="s">
        <v>17</v>
      </c>
      <c r="S27" s="775">
        <f>F27</f>
        <v>100</v>
      </c>
      <c r="T27" s="774" t="s">
        <v>17</v>
      </c>
      <c r="U27" s="775">
        <f>H27</f>
        <v>100</v>
      </c>
      <c r="V27" s="774" t="s">
        <v>17</v>
      </c>
      <c r="W27" s="775">
        <f>J27</f>
        <v>100</v>
      </c>
      <c r="X27" s="1813"/>
      <c r="Y27" s="3194"/>
      <c r="Z27" s="1814" t="str">
        <f>Q27</f>
        <v>楼层</v>
      </c>
      <c r="AA27" s="1811">
        <f t="shared" si="3"/>
        <v>1</v>
      </c>
      <c r="AB27" s="1811">
        <f t="shared" si="4"/>
        <v>1</v>
      </c>
      <c r="AC27" s="2675">
        <f t="shared" si="5"/>
        <v>1</v>
      </c>
    </row>
    <row r="28" spans="1:29" s="117" customFormat="1" ht="15">
      <c r="A28" s="431"/>
      <c r="B28" s="631"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61"/>
      <c r="Q28" s="1795" t="str">
        <f t="shared" si="11"/>
        <v>朝向</v>
      </c>
      <c r="R28" s="770" t="s">
        <v>17</v>
      </c>
      <c r="S28" s="771">
        <f>F28</f>
        <v>100</v>
      </c>
      <c r="T28" s="770" t="s">
        <v>17</v>
      </c>
      <c r="U28" s="771">
        <f>H28</f>
        <v>100</v>
      </c>
      <c r="V28" s="770" t="s">
        <v>17</v>
      </c>
      <c r="W28" s="771">
        <f>J28</f>
        <v>100</v>
      </c>
      <c r="X28" s="772"/>
      <c r="Y28" s="3194"/>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61"/>
      <c r="Q29" s="1810">
        <f t="shared" si="11"/>
        <v>111</v>
      </c>
      <c r="R29" s="774" t="s">
        <v>17</v>
      </c>
      <c r="S29" s="775">
        <f t="shared" ref="S29:S47" si="12">F29</f>
        <v>100</v>
      </c>
      <c r="T29" s="774" t="s">
        <v>17</v>
      </c>
      <c r="U29" s="775">
        <f t="shared" ref="U29:U47" si="13">H29</f>
        <v>100</v>
      </c>
      <c r="V29" s="774" t="s">
        <v>17</v>
      </c>
      <c r="W29" s="775">
        <f t="shared" ref="W29:W47" si="14">J29</f>
        <v>100</v>
      </c>
      <c r="X29" s="1813"/>
      <c r="Y29" s="3194"/>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61"/>
      <c r="Q30" s="1810">
        <f t="shared" si="11"/>
        <v>111</v>
      </c>
      <c r="R30" s="774" t="s">
        <v>17</v>
      </c>
      <c r="S30" s="775">
        <f t="shared" si="12"/>
        <v>100</v>
      </c>
      <c r="T30" s="774" t="s">
        <v>17</v>
      </c>
      <c r="U30" s="775">
        <f t="shared" si="13"/>
        <v>100</v>
      </c>
      <c r="V30" s="774" t="s">
        <v>17</v>
      </c>
      <c r="W30" s="775">
        <f t="shared" si="14"/>
        <v>100</v>
      </c>
      <c r="X30" s="1813"/>
      <c r="Y30" s="3194"/>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61"/>
      <c r="Q31" s="1810">
        <f t="shared" si="11"/>
        <v>111</v>
      </c>
      <c r="R31" s="774" t="s">
        <v>17</v>
      </c>
      <c r="S31" s="775">
        <f t="shared" si="12"/>
        <v>100</v>
      </c>
      <c r="T31" s="774" t="s">
        <v>17</v>
      </c>
      <c r="U31" s="775">
        <f t="shared" si="13"/>
        <v>100</v>
      </c>
      <c r="V31" s="774" t="s">
        <v>17</v>
      </c>
      <c r="W31" s="775">
        <f t="shared" si="14"/>
        <v>100</v>
      </c>
      <c r="X31" s="1813"/>
      <c r="Y31" s="3194"/>
      <c r="Z31" s="1814">
        <f t="shared" si="15"/>
        <v>111</v>
      </c>
      <c r="AA31" s="1811">
        <f t="shared" si="3"/>
        <v>1</v>
      </c>
      <c r="AB31" s="1811">
        <f t="shared" si="4"/>
        <v>1</v>
      </c>
      <c r="AC31" s="2675">
        <f t="shared" si="5"/>
        <v>1</v>
      </c>
    </row>
    <row r="32" spans="1:29" ht="15.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61"/>
      <c r="Q32" s="1810">
        <f t="shared" si="11"/>
        <v>111</v>
      </c>
      <c r="R32" s="774" t="s">
        <v>17</v>
      </c>
      <c r="S32" s="775">
        <f t="shared" si="12"/>
        <v>100</v>
      </c>
      <c r="T32" s="774" t="s">
        <v>17</v>
      </c>
      <c r="U32" s="775">
        <f t="shared" si="13"/>
        <v>100</v>
      </c>
      <c r="V32" s="774" t="s">
        <v>17</v>
      </c>
      <c r="W32" s="775">
        <f t="shared" si="14"/>
        <v>100</v>
      </c>
      <c r="X32" s="1813"/>
      <c r="Y32" s="3194"/>
      <c r="Z32" s="1814">
        <f t="shared" si="15"/>
        <v>111</v>
      </c>
      <c r="AA32" s="1811">
        <f t="shared" si="3"/>
        <v>1</v>
      </c>
      <c r="AB32" s="1811">
        <f t="shared" si="4"/>
        <v>1</v>
      </c>
      <c r="AC32" s="2675">
        <f t="shared" si="5"/>
        <v>1</v>
      </c>
    </row>
    <row r="33" spans="1:29" ht="15">
      <c r="A33" s="440" t="s">
        <v>2561</v>
      </c>
      <c r="B33" s="71" t="s">
        <v>2691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56" t="s">
        <v>2563</v>
      </c>
      <c r="Q33" s="1810" t="str">
        <f t="shared" si="11"/>
        <v>建筑类型</v>
      </c>
      <c r="R33" s="774" t="s">
        <v>17</v>
      </c>
      <c r="S33" s="775">
        <f t="shared" si="12"/>
        <v>100</v>
      </c>
      <c r="T33" s="774" t="s">
        <v>17</v>
      </c>
      <c r="U33" s="775">
        <f t="shared" si="13"/>
        <v>100</v>
      </c>
      <c r="V33" s="774" t="s">
        <v>17</v>
      </c>
      <c r="W33" s="775">
        <f t="shared" si="14"/>
        <v>100</v>
      </c>
      <c r="X33" s="1813"/>
      <c r="Y33" s="3196" t="s">
        <v>2563</v>
      </c>
      <c r="Z33" s="1814" t="str">
        <f t="shared" si="15"/>
        <v>建筑类型</v>
      </c>
      <c r="AA33" s="1811">
        <f t="shared" si="3"/>
        <v>1</v>
      </c>
      <c r="AB33" s="1811">
        <f t="shared" si="4"/>
        <v>1</v>
      </c>
      <c r="AC33" s="2675">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7"/>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11" t="e">
        <f t="shared" si="3"/>
        <v>#N/A</v>
      </c>
      <c r="AB34" s="1811" t="e">
        <f t="shared" si="4"/>
        <v>#N/A</v>
      </c>
      <c r="AC34" s="2675"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7"/>
      <c r="Q35" s="1810" t="str">
        <f t="shared" si="11"/>
        <v>建筑结构</v>
      </c>
      <c r="R35" s="774" t="s">
        <v>17</v>
      </c>
      <c r="S35" s="775">
        <f t="shared" si="12"/>
        <v>100</v>
      </c>
      <c r="T35" s="774" t="s">
        <v>17</v>
      </c>
      <c r="U35" s="775">
        <f t="shared" si="13"/>
        <v>100</v>
      </c>
      <c r="V35" s="774" t="s">
        <v>17</v>
      </c>
      <c r="W35" s="775">
        <f t="shared" si="14"/>
        <v>100</v>
      </c>
      <c r="X35" s="1813"/>
      <c r="Y35" s="3196"/>
      <c r="Z35" s="1814" t="str">
        <f t="shared" si="15"/>
        <v>建筑结构</v>
      </c>
      <c r="AA35" s="1811">
        <f t="shared" si="3"/>
        <v>1</v>
      </c>
      <c r="AB35" s="1811">
        <f t="shared" si="4"/>
        <v>1</v>
      </c>
      <c r="AC35" s="2675">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7"/>
      <c r="Q36" s="1810" t="str">
        <f t="shared" si="11"/>
        <v>公共部分装修</v>
      </c>
      <c r="R36" s="774" t="s">
        <v>17</v>
      </c>
      <c r="S36" s="775">
        <f t="shared" si="12"/>
        <v>100</v>
      </c>
      <c r="T36" s="774" t="s">
        <v>17</v>
      </c>
      <c r="U36" s="775">
        <f t="shared" si="13"/>
        <v>100</v>
      </c>
      <c r="V36" s="774" t="s">
        <v>17</v>
      </c>
      <c r="W36" s="775">
        <f t="shared" si="14"/>
        <v>100</v>
      </c>
      <c r="X36" s="1813"/>
      <c r="Y36" s="3196"/>
      <c r="Z36" s="1814" t="str">
        <f t="shared" si="15"/>
        <v>公共部分装修</v>
      </c>
      <c r="AA36" s="1811">
        <f t="shared" si="3"/>
        <v>1</v>
      </c>
      <c r="AB36" s="1811">
        <f t="shared" si="4"/>
        <v>1</v>
      </c>
      <c r="AC36" s="2675">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7"/>
      <c r="Q37" s="1810" t="str">
        <f t="shared" si="11"/>
        <v>成新度</v>
      </c>
      <c r="R37" s="774" t="s">
        <v>17</v>
      </c>
      <c r="S37" s="775" t="e">
        <f t="shared" si="12"/>
        <v>#N/A</v>
      </c>
      <c r="T37" s="774" t="s">
        <v>17</v>
      </c>
      <c r="U37" s="775" t="e">
        <f t="shared" si="13"/>
        <v>#N/A</v>
      </c>
      <c r="V37" s="774" t="s">
        <v>17</v>
      </c>
      <c r="W37" s="775" t="e">
        <f t="shared" si="14"/>
        <v>#N/A</v>
      </c>
      <c r="X37" s="1813"/>
      <c r="Y37" s="3196"/>
      <c r="Z37" s="1814" t="str">
        <f t="shared" si="15"/>
        <v>成新度</v>
      </c>
      <c r="AA37" s="1811" t="e">
        <f t="shared" si="3"/>
        <v>#N/A</v>
      </c>
      <c r="AB37" s="1811" t="e">
        <f t="shared" si="4"/>
        <v>#N/A</v>
      </c>
      <c r="AC37" s="2675"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7"/>
      <c r="Q38" s="1795"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72">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7" t="s">
        <v>2563</v>
      </c>
      <c r="Q39" s="1810" t="str">
        <f t="shared" si="11"/>
        <v>物业管理</v>
      </c>
      <c r="R39" s="774" t="s">
        <v>17</v>
      </c>
      <c r="S39" s="775">
        <f t="shared" si="12"/>
        <v>100</v>
      </c>
      <c r="T39" s="774" t="s">
        <v>17</v>
      </c>
      <c r="U39" s="775">
        <f t="shared" si="13"/>
        <v>100</v>
      </c>
      <c r="V39" s="774" t="s">
        <v>17</v>
      </c>
      <c r="W39" s="775">
        <f t="shared" si="14"/>
        <v>100</v>
      </c>
      <c r="X39" s="1813"/>
      <c r="Y39" s="3196" t="s">
        <v>2563</v>
      </c>
      <c r="Z39" s="1814" t="str">
        <f t="shared" si="15"/>
        <v>物业管理</v>
      </c>
      <c r="AA39" s="1811">
        <f t="shared" si="3"/>
        <v>1</v>
      </c>
      <c r="AB39" s="1811">
        <f t="shared" si="4"/>
        <v>1</v>
      </c>
      <c r="AC39" s="2675">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7"/>
      <c r="Q40" s="1810" t="str">
        <f t="shared" si="11"/>
        <v>市政基础设施</v>
      </c>
      <c r="R40" s="774" t="s">
        <v>17</v>
      </c>
      <c r="S40" s="775">
        <f t="shared" si="12"/>
        <v>100</v>
      </c>
      <c r="T40" s="774" t="s">
        <v>17</v>
      </c>
      <c r="U40" s="775">
        <f t="shared" si="13"/>
        <v>100</v>
      </c>
      <c r="V40" s="774" t="s">
        <v>17</v>
      </c>
      <c r="W40" s="775">
        <f t="shared" si="14"/>
        <v>100</v>
      </c>
      <c r="X40" s="1813"/>
      <c r="Y40" s="3196"/>
      <c r="Z40" s="1814" t="str">
        <f t="shared" si="15"/>
        <v>市政基础设施</v>
      </c>
      <c r="AA40" s="1811">
        <f t="shared" si="3"/>
        <v>1</v>
      </c>
      <c r="AB40" s="1811">
        <f t="shared" si="4"/>
        <v>1</v>
      </c>
      <c r="AC40" s="2675">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7"/>
      <c r="Q41" s="1810" t="str">
        <f t="shared" si="11"/>
        <v>层高</v>
      </c>
      <c r="R41" s="774" t="s">
        <v>17</v>
      </c>
      <c r="S41" s="775">
        <f t="shared" si="12"/>
        <v>100</v>
      </c>
      <c r="T41" s="774" t="s">
        <v>17</v>
      </c>
      <c r="U41" s="775">
        <f t="shared" si="13"/>
        <v>100</v>
      </c>
      <c r="V41" s="774" t="s">
        <v>17</v>
      </c>
      <c r="W41" s="775">
        <f t="shared" si="14"/>
        <v>100</v>
      </c>
      <c r="X41" s="1813"/>
      <c r="Y41" s="3196"/>
      <c r="Z41" s="1814" t="str">
        <f t="shared" si="15"/>
        <v>层高</v>
      </c>
      <c r="AA41" s="1811">
        <f t="shared" si="3"/>
        <v>1</v>
      </c>
      <c r="AB41" s="1811">
        <f t="shared" si="4"/>
        <v>1</v>
      </c>
      <c r="AC41" s="2675">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7"/>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11">
        <f t="shared" si="3"/>
        <v>1</v>
      </c>
      <c r="AB42" s="1811">
        <f t="shared" si="4"/>
        <v>1</v>
      </c>
      <c r="AC42" s="2675">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7"/>
      <c r="Q43" s="1810" t="str">
        <f t="shared" si="11"/>
        <v>内部装修</v>
      </c>
      <c r="R43" s="774" t="s">
        <v>17</v>
      </c>
      <c r="S43" s="775">
        <f t="shared" si="12"/>
        <v>100</v>
      </c>
      <c r="T43" s="774" t="s">
        <v>17</v>
      </c>
      <c r="U43" s="775">
        <f t="shared" si="13"/>
        <v>100</v>
      </c>
      <c r="V43" s="774" t="s">
        <v>17</v>
      </c>
      <c r="W43" s="775">
        <f t="shared" si="14"/>
        <v>100</v>
      </c>
      <c r="X43" s="1813"/>
      <c r="Y43" s="3196"/>
      <c r="Z43" s="1814" t="str">
        <f t="shared" si="15"/>
        <v>内部装修</v>
      </c>
      <c r="AA43" s="1811">
        <f t="shared" si="3"/>
        <v>1</v>
      </c>
      <c r="AB43" s="1811">
        <f t="shared" si="4"/>
        <v>1</v>
      </c>
      <c r="AC43" s="2675">
        <f t="shared" si="5"/>
        <v>1</v>
      </c>
    </row>
    <row r="44" spans="1:29" ht="28.8">
      <c r="A44" s="472"/>
      <c r="B44" s="422" t="s">
        <v>2574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57"/>
      <c r="Q44" s="1810" t="str">
        <f t="shared" si="11"/>
        <v>内部装修维护情况</v>
      </c>
      <c r="R44" s="774" t="s">
        <v>17</v>
      </c>
      <c r="S44" s="775">
        <f t="shared" si="12"/>
        <v>100</v>
      </c>
      <c r="T44" s="774" t="s">
        <v>17</v>
      </c>
      <c r="U44" s="775">
        <f t="shared" si="13"/>
        <v>100</v>
      </c>
      <c r="V44" s="774" t="s">
        <v>17</v>
      </c>
      <c r="W44" s="775">
        <f t="shared" si="14"/>
        <v>100</v>
      </c>
      <c r="X44" s="1813"/>
      <c r="Y44" s="3196"/>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7"/>
      <c r="Q45" s="1795">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7"/>
      <c r="Q46" s="1810">
        <f t="shared" si="11"/>
        <v>111</v>
      </c>
      <c r="R46" s="774" t="s">
        <v>17</v>
      </c>
      <c r="S46" s="775">
        <f t="shared" si="12"/>
        <v>100</v>
      </c>
      <c r="T46" s="774" t="s">
        <v>17</v>
      </c>
      <c r="U46" s="775">
        <f t="shared" si="13"/>
        <v>100</v>
      </c>
      <c r="V46" s="774" t="s">
        <v>17</v>
      </c>
      <c r="W46" s="775">
        <f t="shared" si="14"/>
        <v>100</v>
      </c>
      <c r="X46" s="1813"/>
      <c r="Y46" s="3196"/>
      <c r="Z46" s="1814">
        <f t="shared" si="15"/>
        <v>111</v>
      </c>
      <c r="AA46" s="1811">
        <f t="shared" si="3"/>
        <v>1</v>
      </c>
      <c r="AB46" s="1811">
        <f t="shared" si="4"/>
        <v>1</v>
      </c>
      <c r="AC46" s="2675">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8"/>
      <c r="Q47" s="1810">
        <f t="shared" si="11"/>
        <v>111</v>
      </c>
      <c r="R47" s="774" t="s">
        <v>17</v>
      </c>
      <c r="S47" s="775">
        <f t="shared" si="12"/>
        <v>100</v>
      </c>
      <c r="T47" s="774" t="s">
        <v>17</v>
      </c>
      <c r="U47" s="775">
        <f t="shared" si="13"/>
        <v>100</v>
      </c>
      <c r="V47" s="774" t="s">
        <v>17</v>
      </c>
      <c r="W47" s="775">
        <f t="shared" si="14"/>
        <v>100</v>
      </c>
      <c r="X47" s="1813"/>
      <c r="Y47" s="3259"/>
      <c r="Z47" s="1814">
        <f t="shared" si="15"/>
        <v>111</v>
      </c>
      <c r="AA47" s="1811">
        <f t="shared" si="3"/>
        <v>1</v>
      </c>
      <c r="AB47" s="1811">
        <f t="shared" si="4"/>
        <v>1</v>
      </c>
      <c r="AC47" s="2675">
        <f t="shared" si="5"/>
        <v>1</v>
      </c>
    </row>
    <row r="48" spans="1:29" ht="14.4">
      <c r="A48" s="479" t="s">
        <v>2575</v>
      </c>
      <c r="B48" s="480"/>
      <c r="C48" s="1407" t="s">
        <v>1</v>
      </c>
      <c r="D48" s="1408"/>
      <c r="E48" s="1409"/>
      <c r="F48" s="1410"/>
      <c r="G48" s="1411"/>
      <c r="H48" s="1412"/>
      <c r="I48" s="1409"/>
      <c r="J48" s="485"/>
      <c r="K48" s="783"/>
      <c r="L48" s="1143"/>
      <c r="M48" s="1131"/>
      <c r="N48" s="1131"/>
      <c r="O48" s="1131"/>
      <c r="P48" s="3190" t="str">
        <f>A48</f>
        <v>成交单价（元/平方米）</v>
      </c>
      <c r="Q48" s="3191"/>
      <c r="R48" s="3255">
        <f>E48</f>
        <v>0</v>
      </c>
      <c r="S48" s="3255"/>
      <c r="T48" s="3255">
        <f>G48</f>
        <v>0</v>
      </c>
      <c r="U48" s="3255"/>
      <c r="V48" s="3255">
        <f>I48</f>
        <v>0</v>
      </c>
      <c r="W48" s="3255"/>
      <c r="X48" s="446"/>
      <c r="Y48" s="781"/>
      <c r="Z48" s="446"/>
      <c r="AA48" s="446"/>
      <c r="AB48" s="446"/>
      <c r="AC48" s="630"/>
    </row>
    <row r="49" spans="1:29" ht="1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90" t="str">
        <f>A49</f>
        <v>比较价值（元/平方米）</v>
      </c>
      <c r="Q49" s="3191"/>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6"/>
      <c r="Y49" s="446"/>
      <c r="Z49" s="446"/>
      <c r="AA49" s="446"/>
      <c r="AB49" s="446"/>
      <c r="AC49" s="630"/>
    </row>
    <row r="50" spans="1:29" ht="15" thickBot="1">
      <c r="A50" s="492" t="s">
        <v>2668</v>
      </c>
      <c r="B50" s="493"/>
      <c r="C50" s="1417" t="e">
        <f>R50</f>
        <v>#DIV/0!</v>
      </c>
      <c r="D50" s="1417"/>
      <c r="E50" s="1417"/>
      <c r="F50" s="1417"/>
      <c r="G50" s="1417"/>
      <c r="H50" s="1417"/>
      <c r="I50" s="1417"/>
      <c r="J50" s="494"/>
      <c r="K50" s="785"/>
      <c r="L50" s="1143"/>
      <c r="M50" s="1131"/>
      <c r="N50" s="1131"/>
      <c r="O50" s="1131"/>
      <c r="P50" s="3262" t="str">
        <f>A50</f>
        <v>估价对象XX用房的比较价值（楼面单价，元/平方米）</v>
      </c>
      <c r="Q50" s="3263"/>
      <c r="R50" s="3264" t="e">
        <f>IF(F1="售价",ROUND(AVERAGE(R49:V49),0),ROUND(AVERAGE(R49:V49),1))</f>
        <v>#DIV/0!</v>
      </c>
      <c r="S50" s="3264"/>
      <c r="T50" s="3264"/>
      <c r="U50" s="3264"/>
      <c r="V50" s="3264"/>
      <c r="W50" s="3264"/>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2.2" thickBot="1">
      <c r="A58" s="763" t="s">
        <v>2672</v>
      </c>
      <c r="B58" s="759"/>
      <c r="C58" s="764"/>
      <c r="D58" s="764"/>
      <c r="E58" s="764"/>
      <c r="F58" s="765"/>
      <c r="G58" s="765"/>
      <c r="H58" s="764"/>
      <c r="I58" s="764"/>
      <c r="J58" s="764"/>
      <c r="K58" s="766"/>
      <c r="L58" s="1161"/>
      <c r="M58" s="1159"/>
      <c r="N58" s="1159"/>
      <c r="O58" s="1159"/>
      <c r="P58" s="2682"/>
      <c r="Q58" s="504"/>
    </row>
    <row r="59" spans="1:29" s="508" customFormat="1" ht="14.4">
      <c r="A59" s="505" t="s">
        <v>2546</v>
      </c>
      <c r="B59" s="506"/>
      <c r="C59" s="1574" t="str">
        <f>YEAR(C7)&amp;"-"&amp;MONTH(C7)</f>
        <v>2020-4</v>
      </c>
      <c r="D59" s="1575">
        <f>EDATE(C59,-1)</f>
        <v>43891</v>
      </c>
      <c r="E59" s="1575">
        <f>EDATE(D59,-1)</f>
        <v>43862</v>
      </c>
      <c r="F59" s="1575">
        <f t="shared" ref="F59:O59" si="16">EDATE(E59,-1)</f>
        <v>43831</v>
      </c>
      <c r="G59" s="1575">
        <f t="shared" si="16"/>
        <v>43800</v>
      </c>
      <c r="H59" s="1575">
        <f t="shared" si="16"/>
        <v>43770</v>
      </c>
      <c r="I59" s="1575">
        <f t="shared" si="16"/>
        <v>43739</v>
      </c>
      <c r="J59" s="1575">
        <f t="shared" si="16"/>
        <v>43709</v>
      </c>
      <c r="K59" s="1575">
        <f t="shared" si="16"/>
        <v>43678</v>
      </c>
      <c r="L59" s="1575">
        <f t="shared" si="16"/>
        <v>43647</v>
      </c>
      <c r="M59" s="1575">
        <f t="shared" si="16"/>
        <v>43617</v>
      </c>
      <c r="N59" s="1575">
        <f t="shared" si="16"/>
        <v>43586</v>
      </c>
      <c r="O59" s="1575">
        <f t="shared" si="16"/>
        <v>43556</v>
      </c>
      <c r="P59" s="1571"/>
    </row>
    <row r="60" spans="1:29" s="117" customFormat="1">
      <c r="A60" s="509"/>
      <c r="B60" s="510"/>
      <c r="C60" s="1573">
        <v>100</v>
      </c>
      <c r="D60" s="512"/>
      <c r="E60" s="512"/>
      <c r="F60" s="512"/>
      <c r="G60" s="512"/>
      <c r="H60" s="512"/>
      <c r="I60" s="512"/>
      <c r="J60" s="512"/>
      <c r="K60" s="512"/>
      <c r="L60" s="512"/>
      <c r="M60" s="513"/>
      <c r="N60" s="512"/>
      <c r="O60" s="513"/>
      <c r="P60" s="2683"/>
    </row>
    <row r="61" spans="1:29" s="117" customFormat="1" ht="15" thickBot="1">
      <c r="A61" s="515" t="s">
        <v>2583</v>
      </c>
      <c r="B61" s="516"/>
      <c r="C61" s="517"/>
      <c r="D61" s="518"/>
      <c r="E61" s="518"/>
      <c r="F61" s="518"/>
      <c r="G61" s="518"/>
      <c r="H61" s="518"/>
      <c r="I61" s="518"/>
      <c r="J61" s="518"/>
      <c r="K61" s="518"/>
      <c r="L61" s="518"/>
      <c r="M61" s="519"/>
      <c r="N61" s="518"/>
      <c r="O61" s="519"/>
      <c r="P61" s="2683"/>
      <c r="Q61" s="504"/>
    </row>
    <row r="62" spans="1:29" s="117" customFormat="1" ht="14.4">
      <c r="A62" s="521" t="s">
        <v>2548</v>
      </c>
      <c r="B62" s="510"/>
      <c r="C62" s="522" t="s">
        <v>2650</v>
      </c>
      <c r="D62" s="523"/>
      <c r="E62" s="523"/>
      <c r="F62" s="523"/>
      <c r="G62" s="523"/>
      <c r="H62" s="523"/>
      <c r="I62" s="523"/>
      <c r="J62" s="523"/>
      <c r="K62" s="523"/>
      <c r="L62" s="524"/>
      <c r="M62" s="525"/>
      <c r="N62" s="1151"/>
      <c r="O62" s="1151"/>
      <c r="P62" s="2684"/>
      <c r="Q62" s="504"/>
    </row>
    <row r="63" spans="1:29" s="117" customFormat="1" ht="14.4" thickBot="1">
      <c r="A63" s="521"/>
      <c r="B63" s="510"/>
      <c r="C63" s="511">
        <v>100</v>
      </c>
      <c r="D63" s="512"/>
      <c r="E63" s="512"/>
      <c r="F63" s="512"/>
      <c r="G63" s="512"/>
      <c r="H63" s="512"/>
      <c r="I63" s="512"/>
      <c r="J63" s="512"/>
      <c r="K63" s="512"/>
      <c r="L63" s="512"/>
      <c r="M63" s="514"/>
      <c r="N63" s="1151"/>
      <c r="O63" s="1151"/>
      <c r="P63" s="2683"/>
      <c r="Q63" s="504"/>
    </row>
    <row r="64" spans="1:29" ht="14.4">
      <c r="A64" s="527" t="s">
        <v>2586</v>
      </c>
      <c r="B64" s="528" t="s">
        <v>2552</v>
      </c>
      <c r="C64" s="529">
        <f>C9</f>
        <v>0</v>
      </c>
      <c r="D64" s="530"/>
      <c r="E64" s="530"/>
      <c r="F64" s="530"/>
      <c r="G64" s="530"/>
      <c r="H64" s="530"/>
      <c r="I64" s="530"/>
      <c r="J64" s="530"/>
      <c r="K64" s="531"/>
      <c r="L64" s="532"/>
      <c r="M64" s="533"/>
      <c r="N64" s="1152"/>
      <c r="O64" s="1152"/>
      <c r="P64" s="2685"/>
      <c r="Q64" s="504"/>
    </row>
    <row r="65" spans="1:17" ht="14.4" thickBot="1">
      <c r="A65" s="534"/>
      <c r="B65" s="535"/>
      <c r="C65" s="536">
        <v>100</v>
      </c>
      <c r="D65" s="536"/>
      <c r="E65" s="536"/>
      <c r="F65" s="536"/>
      <c r="G65" s="536"/>
      <c r="H65" s="536"/>
      <c r="I65" s="536"/>
      <c r="J65" s="536"/>
      <c r="K65" s="536"/>
      <c r="L65" s="536"/>
      <c r="M65" s="537"/>
      <c r="N65" s="1153"/>
      <c r="O65" s="1153"/>
      <c r="P65" s="2685"/>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c r="A69" s="534"/>
      <c r="B69" s="548"/>
      <c r="C69" s="549"/>
      <c r="D69" s="549"/>
      <c r="E69" s="549"/>
      <c r="F69" s="549"/>
      <c r="G69" s="549"/>
      <c r="H69" s="549"/>
      <c r="I69" s="549"/>
      <c r="J69" s="549"/>
      <c r="K69" s="550"/>
      <c r="L69" s="551"/>
      <c r="M69" s="552"/>
      <c r="N69" s="1152"/>
      <c r="O69" s="1152"/>
      <c r="P69" s="268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4.4" thickTop="1">
      <c r="A71" s="553"/>
      <c r="B71" s="538">
        <f>B12</f>
        <v>111</v>
      </c>
      <c r="C71" s="554"/>
      <c r="D71" s="554"/>
      <c r="E71" s="554"/>
      <c r="F71" s="554"/>
      <c r="G71" s="554"/>
      <c r="H71" s="555"/>
      <c r="I71" s="555"/>
      <c r="J71" s="555"/>
      <c r="K71" s="555"/>
      <c r="L71" s="556"/>
      <c r="M71" s="557"/>
      <c r="N71" s="1154"/>
      <c r="O71" s="1154"/>
      <c r="P71" s="2686"/>
      <c r="Q71" s="559"/>
    </row>
    <row r="72" spans="1:17" s="471" customFormat="1" ht="14.4" thickBot="1">
      <c r="A72" s="553"/>
      <c r="B72" s="543"/>
      <c r="C72" s="560"/>
      <c r="D72" s="536"/>
      <c r="E72" s="536"/>
      <c r="F72" s="536"/>
      <c r="G72" s="536"/>
      <c r="H72" s="536"/>
      <c r="I72" s="536"/>
      <c r="J72" s="536"/>
      <c r="K72" s="536"/>
      <c r="L72" s="536"/>
      <c r="M72" s="537"/>
      <c r="N72" s="1153"/>
      <c r="O72" s="1153"/>
      <c r="P72" s="2686"/>
      <c r="Q72" s="559"/>
    </row>
    <row r="73" spans="1:17" s="471" customFormat="1" ht="14.4" thickTop="1">
      <c r="A73" s="553"/>
      <c r="B73" s="538">
        <f>B13</f>
        <v>111</v>
      </c>
      <c r="C73" s="554"/>
      <c r="D73" s="554"/>
      <c r="E73" s="554"/>
      <c r="F73" s="554"/>
      <c r="G73" s="554"/>
      <c r="H73" s="555"/>
      <c r="I73" s="555"/>
      <c r="J73" s="555"/>
      <c r="K73" s="555"/>
      <c r="L73" s="556"/>
      <c r="M73" s="557"/>
      <c r="N73" s="1154"/>
      <c r="O73" s="1154"/>
      <c r="P73" s="2687"/>
      <c r="Q73" s="561"/>
    </row>
    <row r="74" spans="1:17" s="471" customFormat="1" ht="14.4" thickBot="1">
      <c r="A74" s="553"/>
      <c r="B74" s="543"/>
      <c r="C74" s="560"/>
      <c r="D74" s="560"/>
      <c r="E74" s="560"/>
      <c r="F74" s="560"/>
      <c r="G74" s="560"/>
      <c r="H74" s="562"/>
      <c r="I74" s="562"/>
      <c r="J74" s="562"/>
      <c r="K74" s="562"/>
      <c r="L74" s="562"/>
      <c r="M74" s="563"/>
      <c r="N74" s="1154"/>
      <c r="O74" s="1154"/>
      <c r="P74" s="2686"/>
      <c r="Q74" s="559"/>
    </row>
    <row r="75" spans="1:17" s="471" customFormat="1" ht="14.4" thickTop="1">
      <c r="A75" s="553"/>
      <c r="B75" s="546">
        <f>B14</f>
        <v>111</v>
      </c>
      <c r="C75" s="523"/>
      <c r="D75" s="523"/>
      <c r="E75" s="523"/>
      <c r="F75" s="523"/>
      <c r="G75" s="523"/>
      <c r="H75" s="564"/>
      <c r="I75" s="564"/>
      <c r="J75" s="564"/>
      <c r="K75" s="564"/>
      <c r="L75" s="565"/>
      <c r="M75" s="566"/>
      <c r="N75" s="1154"/>
      <c r="O75" s="1154"/>
      <c r="P75" s="2688"/>
      <c r="Q75" s="559"/>
    </row>
    <row r="76" spans="1:17" s="471" customFormat="1" ht="14.4" thickBot="1">
      <c r="A76" s="568"/>
      <c r="B76" s="569"/>
      <c r="C76" s="570"/>
      <c r="D76" s="570"/>
      <c r="E76" s="570"/>
      <c r="F76" s="570"/>
      <c r="G76" s="570"/>
      <c r="H76" s="571"/>
      <c r="I76" s="571"/>
      <c r="J76" s="571"/>
      <c r="K76" s="571"/>
      <c r="L76" s="571"/>
      <c r="M76" s="572"/>
      <c r="N76" s="1154"/>
      <c r="O76" s="1154"/>
      <c r="P76" s="2686"/>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2"/>
      <c r="O77" s="1152"/>
      <c r="P77" s="268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2"/>
      <c r="O79" s="1152"/>
      <c r="P79" s="268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2"/>
      <c r="O81" s="1152"/>
      <c r="P81" s="268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 thickTop="1">
      <c r="A83" s="534"/>
      <c r="B83" s="546" t="s">
        <v>2687</v>
      </c>
      <c r="C83" s="660" t="s">
        <v>2673</v>
      </c>
      <c r="D83" s="660" t="s">
        <v>2674</v>
      </c>
      <c r="E83" s="660" t="s">
        <v>2675</v>
      </c>
      <c r="F83" s="660" t="s">
        <v>2676</v>
      </c>
      <c r="G83" s="660" t="s">
        <v>2677</v>
      </c>
      <c r="H83" s="539"/>
      <c r="I83" s="539"/>
      <c r="J83" s="539"/>
      <c r="K83" s="539"/>
      <c r="L83" s="539"/>
      <c r="M83" s="1382"/>
      <c r="N83" s="1153"/>
      <c r="O83" s="1153"/>
      <c r="P83" s="268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2"/>
      <c r="O85" s="1152"/>
      <c r="P85" s="268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9.4" thickTop="1">
      <c r="A87" s="579"/>
      <c r="B87" s="538" t="s">
        <v>2697</v>
      </c>
      <c r="C87" s="554"/>
      <c r="D87" s="554"/>
      <c r="E87" s="554"/>
      <c r="F87" s="554"/>
      <c r="G87" s="554"/>
      <c r="H87" s="554"/>
      <c r="I87" s="554"/>
      <c r="J87" s="554"/>
      <c r="K87" s="554"/>
      <c r="L87" s="580"/>
      <c r="M87" s="581"/>
      <c r="N87" s="1151"/>
      <c r="O87" s="1151"/>
      <c r="P87" s="268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4.4"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4.4" thickTop="1">
      <c r="A93" s="534"/>
      <c r="B93" s="538">
        <f>B29</f>
        <v>111</v>
      </c>
      <c r="C93" s="554"/>
      <c r="D93" s="554"/>
      <c r="E93" s="554"/>
      <c r="F93" s="554"/>
      <c r="G93" s="554"/>
      <c r="H93" s="554"/>
      <c r="I93" s="554"/>
      <c r="J93" s="554"/>
      <c r="K93" s="554"/>
      <c r="L93" s="580"/>
      <c r="M93" s="581"/>
      <c r="N93" s="1152"/>
      <c r="O93" s="1152"/>
      <c r="P93" s="2685"/>
      <c r="Q93" s="504"/>
    </row>
    <row r="94" spans="1:17" ht="14.4" thickBot="1">
      <c r="A94" s="534"/>
      <c r="B94" s="543"/>
      <c r="C94" s="560"/>
      <c r="D94" s="536"/>
      <c r="E94" s="536"/>
      <c r="F94" s="536"/>
      <c r="G94" s="536"/>
      <c r="H94" s="536"/>
      <c r="I94" s="536"/>
      <c r="J94" s="536"/>
      <c r="K94" s="536"/>
      <c r="L94" s="536"/>
      <c r="M94" s="537"/>
      <c r="N94" s="1153"/>
      <c r="O94" s="1153"/>
      <c r="P94" s="2685"/>
      <c r="Q94" s="504"/>
    </row>
    <row r="95" spans="1:17" ht="14.4" thickTop="1">
      <c r="A95" s="534"/>
      <c r="B95" s="538">
        <f>B30</f>
        <v>111</v>
      </c>
      <c r="C95" s="554"/>
      <c r="D95" s="554"/>
      <c r="E95" s="554"/>
      <c r="F95" s="554"/>
      <c r="G95" s="583"/>
      <c r="H95" s="583"/>
      <c r="I95" s="583"/>
      <c r="J95" s="583"/>
      <c r="K95" s="584"/>
      <c r="L95" s="585"/>
      <c r="M95" s="586"/>
      <c r="N95" s="1152"/>
      <c r="O95" s="1152"/>
      <c r="P95" s="2685"/>
      <c r="Q95" s="504"/>
    </row>
    <row r="96" spans="1:17" ht="14.4" thickBot="1">
      <c r="A96" s="534"/>
      <c r="B96" s="543"/>
      <c r="C96" s="560"/>
      <c r="D96" s="560"/>
      <c r="E96" s="560"/>
      <c r="F96" s="560"/>
      <c r="G96" s="536"/>
      <c r="H96" s="536"/>
      <c r="I96" s="536"/>
      <c r="J96" s="536"/>
      <c r="K96" s="536"/>
      <c r="L96" s="536"/>
      <c r="M96" s="537"/>
      <c r="N96" s="1153"/>
      <c r="O96" s="1153"/>
      <c r="P96" s="2685"/>
      <c r="Q96" s="504"/>
    </row>
    <row r="97" spans="1:17" ht="14.4" thickTop="1">
      <c r="A97" s="534"/>
      <c r="B97" s="538">
        <f>B31</f>
        <v>111</v>
      </c>
      <c r="C97" s="554"/>
      <c r="D97" s="554"/>
      <c r="E97" s="554"/>
      <c r="F97" s="554"/>
      <c r="G97" s="583"/>
      <c r="H97" s="583"/>
      <c r="I97" s="583"/>
      <c r="J97" s="583"/>
      <c r="K97" s="584"/>
      <c r="L97" s="585"/>
      <c r="M97" s="586"/>
      <c r="N97" s="1152"/>
      <c r="O97" s="1152"/>
      <c r="P97" s="2685"/>
      <c r="Q97" s="504"/>
    </row>
    <row r="98" spans="1:17" ht="14.4" thickBot="1">
      <c r="A98" s="534"/>
      <c r="B98" s="543"/>
      <c r="C98" s="560"/>
      <c r="D98" s="536"/>
      <c r="E98" s="536"/>
      <c r="F98" s="536"/>
      <c r="G98" s="536"/>
      <c r="H98" s="536"/>
      <c r="I98" s="536"/>
      <c r="J98" s="536"/>
      <c r="K98" s="536"/>
      <c r="L98" s="536"/>
      <c r="M98" s="537"/>
      <c r="N98" s="1153"/>
      <c r="O98" s="1153"/>
      <c r="P98" s="2685"/>
      <c r="Q98" s="504"/>
    </row>
    <row r="99" spans="1:17" ht="14.4" thickTop="1">
      <c r="A99" s="534"/>
      <c r="B99" s="546">
        <f>B32</f>
        <v>111</v>
      </c>
      <c r="C99" s="523"/>
      <c r="D99" s="523"/>
      <c r="E99" s="523"/>
      <c r="F99" s="523"/>
      <c r="G99" s="587"/>
      <c r="H99" s="587"/>
      <c r="I99" s="587"/>
      <c r="J99" s="587"/>
      <c r="K99" s="588"/>
      <c r="L99" s="589"/>
      <c r="M99" s="590"/>
      <c r="N99" s="1152"/>
      <c r="O99" s="1152"/>
      <c r="P99" s="2685"/>
      <c r="Q99" s="504"/>
    </row>
    <row r="100" spans="1:17" ht="14.4" thickBot="1">
      <c r="A100" s="2637"/>
      <c r="B100" s="569"/>
      <c r="C100" s="570"/>
      <c r="D100" s="570"/>
      <c r="E100" s="570"/>
      <c r="F100" s="570"/>
      <c r="G100" s="591"/>
      <c r="H100" s="591"/>
      <c r="I100" s="591"/>
      <c r="J100" s="591"/>
      <c r="K100" s="591"/>
      <c r="L100" s="591"/>
      <c r="M100" s="592"/>
      <c r="N100" s="1153"/>
      <c r="O100" s="1153"/>
      <c r="P100" s="2685"/>
      <c r="Q100" s="504"/>
    </row>
    <row r="101" spans="1:17" ht="14.4">
      <c r="A101" s="527" t="s">
        <v>2561</v>
      </c>
      <c r="B101" s="528" t="s">
        <v>2610</v>
      </c>
      <c r="C101" s="530"/>
      <c r="D101" s="530"/>
      <c r="E101" s="530"/>
      <c r="F101" s="530"/>
      <c r="G101" s="530"/>
      <c r="H101" s="530"/>
      <c r="I101" s="530"/>
      <c r="J101" s="530"/>
      <c r="K101" s="531"/>
      <c r="L101" s="532"/>
      <c r="M101" s="533"/>
      <c r="N101" s="1152"/>
      <c r="O101" s="1152"/>
      <c r="P101" s="268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2612</v>
      </c>
      <c r="C106" s="554"/>
      <c r="D106" s="554"/>
      <c r="E106" s="583"/>
      <c r="F106" s="583"/>
      <c r="G106" s="583"/>
      <c r="H106" s="583"/>
      <c r="I106" s="583"/>
      <c r="J106" s="583"/>
      <c r="K106" s="584"/>
      <c r="L106" s="585"/>
      <c r="M106" s="586"/>
      <c r="N106" s="1152"/>
      <c r="O106" s="1152"/>
      <c r="P106" s="268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2614</v>
      </c>
      <c r="C108" s="554"/>
      <c r="D108" s="554"/>
      <c r="E108" s="554"/>
      <c r="F108" s="583"/>
      <c r="G108" s="583"/>
      <c r="H108" s="583"/>
      <c r="I108" s="583"/>
      <c r="J108" s="583"/>
      <c r="K108" s="584"/>
      <c r="L108" s="585"/>
      <c r="M108" s="586"/>
      <c r="N108" s="1152"/>
      <c r="O108" s="1152"/>
      <c r="P108" s="268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2615</v>
      </c>
      <c r="C115" s="554"/>
      <c r="D115" s="554"/>
      <c r="E115" s="583"/>
      <c r="F115" s="583"/>
      <c r="G115" s="583"/>
      <c r="H115" s="583"/>
      <c r="I115" s="583"/>
      <c r="J115" s="583"/>
      <c r="K115" s="584"/>
      <c r="L115" s="585"/>
      <c r="M115" s="586"/>
      <c r="N115" s="1152"/>
      <c r="O115" s="1152"/>
      <c r="P115" s="268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2616</v>
      </c>
      <c r="C117" s="554"/>
      <c r="D117" s="554"/>
      <c r="E117" s="554"/>
      <c r="F117" s="554"/>
      <c r="G117" s="554"/>
      <c r="H117" s="583"/>
      <c r="I117" s="583"/>
      <c r="J117" s="583"/>
      <c r="K117" s="584"/>
      <c r="L117" s="585"/>
      <c r="M117" s="586"/>
      <c r="N117" s="1152"/>
      <c r="O117" s="1152"/>
      <c r="P117" s="268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2699</v>
      </c>
      <c r="C119" s="583"/>
      <c r="D119" s="583"/>
      <c r="E119" s="583"/>
      <c r="F119" s="583"/>
      <c r="G119" s="583"/>
      <c r="H119" s="583"/>
      <c r="I119" s="583"/>
      <c r="J119" s="583"/>
      <c r="K119" s="583"/>
      <c r="L119" s="2690"/>
      <c r="M119" s="2691"/>
      <c r="N119" s="1153"/>
      <c r="O119" s="1153"/>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6"/>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2618</v>
      </c>
      <c r="C123" s="554"/>
      <c r="D123" s="554"/>
      <c r="E123" s="554"/>
      <c r="F123" s="583"/>
      <c r="G123" s="583"/>
      <c r="H123" s="583"/>
      <c r="I123" s="583"/>
      <c r="J123" s="583"/>
      <c r="K123" s="584"/>
      <c r="L123" s="585"/>
      <c r="M123" s="586"/>
      <c r="N123" s="1152"/>
      <c r="O123" s="1152"/>
      <c r="P123" s="268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6"/>
      <c r="Q128" s="559"/>
    </row>
    <row r="129" spans="1:17" ht="14.4" thickTop="1">
      <c r="A129" s="599"/>
      <c r="B129" s="538">
        <f>B46</f>
        <v>111</v>
      </c>
      <c r="C129" s="554"/>
      <c r="D129" s="554"/>
      <c r="E129" s="554"/>
      <c r="F129" s="554"/>
      <c r="G129" s="583"/>
      <c r="H129" s="583"/>
      <c r="I129" s="583"/>
      <c r="J129" s="583"/>
      <c r="K129" s="584"/>
      <c r="L129" s="585"/>
      <c r="M129" s="586"/>
      <c r="N129" s="1152"/>
      <c r="O129" s="1152"/>
      <c r="P129" s="2685"/>
      <c r="Q129" s="504"/>
    </row>
    <row r="130" spans="1:17" ht="14.4" thickBot="1">
      <c r="A130" s="534"/>
      <c r="B130" s="543"/>
      <c r="C130" s="560"/>
      <c r="D130" s="560"/>
      <c r="E130" s="560"/>
      <c r="F130" s="560"/>
      <c r="G130" s="536"/>
      <c r="H130" s="536"/>
      <c r="I130" s="536"/>
      <c r="J130" s="536"/>
      <c r="K130" s="536"/>
      <c r="L130" s="536"/>
      <c r="M130" s="537"/>
      <c r="N130" s="1153"/>
      <c r="O130" s="1153"/>
      <c r="P130" s="2685"/>
      <c r="Q130" s="504"/>
    </row>
    <row r="131" spans="1:17" ht="14.4" thickTop="1">
      <c r="A131" s="599"/>
      <c r="B131" s="546">
        <f>B47</f>
        <v>111</v>
      </c>
      <c r="C131" s="523"/>
      <c r="D131" s="523"/>
      <c r="E131" s="523"/>
      <c r="F131" s="523"/>
      <c r="G131" s="587"/>
      <c r="H131" s="587"/>
      <c r="I131" s="587"/>
      <c r="J131" s="587"/>
      <c r="K131" s="523"/>
      <c r="L131" s="524"/>
      <c r="M131" s="590"/>
      <c r="N131" s="1152"/>
      <c r="O131" s="1152"/>
      <c r="P131" s="2685"/>
      <c r="Q131" s="504"/>
    </row>
    <row r="132" spans="1:17" ht="14.4"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670" t="s">
        <v>2700</v>
      </c>
      <c r="C1" s="1620" t="s">
        <v>2528</v>
      </c>
      <c r="D1" s="1621"/>
      <c r="E1" s="1630"/>
      <c r="F1" s="2585"/>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7"/>
      <c r="D2" s="112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176567.06999999998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88" t="s">
        <v>2644</v>
      </c>
      <c r="D4" s="3201"/>
      <c r="E4" s="3202" t="s">
        <v>2645</v>
      </c>
      <c r="F4" s="3203"/>
      <c r="G4" s="3188" t="s">
        <v>2646</v>
      </c>
      <c r="H4" s="3201"/>
      <c r="I4" s="3188" t="s">
        <v>2647</v>
      </c>
      <c r="J4" s="3201"/>
      <c r="K4" s="610" t="s">
        <v>2648</v>
      </c>
      <c r="L4" s="1130"/>
      <c r="M4" s="1131"/>
      <c r="N4" s="1131"/>
      <c r="O4" s="1131"/>
      <c r="P4" s="3204" t="s">
        <v>2649</v>
      </c>
      <c r="Q4" s="3205"/>
      <c r="R4" s="3210" t="s">
        <v>2645</v>
      </c>
      <c r="S4" s="3211"/>
      <c r="T4" s="3210" t="s">
        <v>2646</v>
      </c>
      <c r="U4" s="3211"/>
      <c r="V4" s="3197" t="s">
        <v>2647</v>
      </c>
      <c r="W4" s="3197"/>
      <c r="X4" s="1813"/>
      <c r="Y4" s="3210" t="s">
        <v>2649</v>
      </c>
      <c r="Z4" s="3211"/>
      <c r="AA4" s="3198" t="s">
        <v>2645</v>
      </c>
      <c r="AB4" s="3199" t="s">
        <v>2646</v>
      </c>
      <c r="AC4" s="3198" t="s">
        <v>2647</v>
      </c>
    </row>
    <row r="5" spans="1:29">
      <c r="A5" s="404"/>
      <c r="B5" s="405"/>
      <c r="C5" s="3218" t="s">
        <v>2540</v>
      </c>
      <c r="D5" s="3219"/>
      <c r="E5" s="3225" t="s">
        <v>2541</v>
      </c>
      <c r="F5" s="3226"/>
      <c r="G5" s="3218" t="s">
        <v>2542</v>
      </c>
      <c r="H5" s="3219"/>
      <c r="I5" s="3218" t="s">
        <v>2543</v>
      </c>
      <c r="J5" s="3219"/>
      <c r="K5" s="610"/>
      <c r="L5" s="1130"/>
      <c r="M5" s="1131"/>
      <c r="N5" s="1131"/>
      <c r="O5" s="1131"/>
      <c r="P5" s="3206"/>
      <c r="Q5" s="3207"/>
      <c r="R5" s="3212"/>
      <c r="S5" s="3213"/>
      <c r="T5" s="3212"/>
      <c r="U5" s="3213"/>
      <c r="V5" s="3197"/>
      <c r="W5" s="3197"/>
      <c r="X5" s="1813"/>
      <c r="Y5" s="3212"/>
      <c r="Z5" s="3213"/>
      <c r="AA5" s="3199"/>
      <c r="AB5" s="3199"/>
      <c r="AC5" s="3199"/>
    </row>
    <row r="6" spans="1:29" ht="15" thickBot="1">
      <c r="A6" s="406"/>
      <c r="B6" s="407"/>
      <c r="C6" s="3216" t="s">
        <v>2544</v>
      </c>
      <c r="D6" s="3217"/>
      <c r="E6" s="3223" t="s">
        <v>2544</v>
      </c>
      <c r="F6" s="3224"/>
      <c r="G6" s="3216" t="s">
        <v>2544</v>
      </c>
      <c r="H6" s="3217"/>
      <c r="I6" s="3216" t="s">
        <v>2544</v>
      </c>
      <c r="J6" s="3217"/>
      <c r="K6" s="610" t="s">
        <v>2545</v>
      </c>
      <c r="L6" s="1130"/>
      <c r="M6" s="1131"/>
      <c r="N6" s="1131"/>
      <c r="O6" s="1131"/>
      <c r="P6" s="3208"/>
      <c r="Q6" s="3209"/>
      <c r="R6" s="3212"/>
      <c r="S6" s="3213"/>
      <c r="T6" s="3214"/>
      <c r="U6" s="3215"/>
      <c r="V6" s="3197"/>
      <c r="W6" s="3197"/>
      <c r="X6" s="1813"/>
      <c r="Y6" s="3214"/>
      <c r="Z6" s="3215"/>
      <c r="AA6" s="3200"/>
      <c r="AB6" s="3200"/>
      <c r="AC6" s="3200"/>
    </row>
    <row r="7" spans="1:29" s="117" customFormat="1" ht="15" thickBot="1">
      <c r="A7" s="408" t="s">
        <v>2546</v>
      </c>
      <c r="B7" s="409"/>
      <c r="C7" s="410">
        <f>'数据-取费表'!B2</f>
        <v>43923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0" t="s">
        <v>2547</v>
      </c>
      <c r="Q7" s="3222"/>
      <c r="R7" s="770" t="s">
        <v>17</v>
      </c>
      <c r="S7" s="771">
        <f t="shared" ref="S7:S15" si="0">F7</f>
        <v>0</v>
      </c>
      <c r="T7" s="770" t="s">
        <v>17</v>
      </c>
      <c r="U7" s="771">
        <f t="shared" ref="U7:U15" si="1">H7</f>
        <v>0</v>
      </c>
      <c r="V7" s="770" t="s">
        <v>17</v>
      </c>
      <c r="W7" s="771">
        <f t="shared" ref="W7:W15" si="2">J7</f>
        <v>0</v>
      </c>
      <c r="X7" s="772"/>
      <c r="Y7" s="3220" t="s">
        <v>2547</v>
      </c>
      <c r="Z7" s="3221"/>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0" t="s">
        <v>2550</v>
      </c>
      <c r="Q8" s="3221"/>
      <c r="R8" s="770" t="s">
        <v>17</v>
      </c>
      <c r="S8" s="771">
        <f t="shared" si="0"/>
        <v>0</v>
      </c>
      <c r="T8" s="770" t="s">
        <v>17</v>
      </c>
      <c r="U8" s="771">
        <f t="shared" si="1"/>
        <v>0</v>
      </c>
      <c r="V8" s="770" t="s">
        <v>17</v>
      </c>
      <c r="W8" s="771">
        <f t="shared" si="2"/>
        <v>0</v>
      </c>
      <c r="X8" s="772"/>
      <c r="Y8" s="3220" t="s">
        <v>2550</v>
      </c>
      <c r="Z8" s="3221"/>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1" t="s">
        <v>2553</v>
      </c>
      <c r="Q9" s="1795"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1"/>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1"/>
      <c r="Q11" s="1795"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191"/>
      <c r="Q14" s="1795">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69">
      <c r="A15" s="440" t="s">
        <v>2557</v>
      </c>
      <c r="B15" s="69" t="s">
        <v>2701</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3" t="s">
        <v>2558</v>
      </c>
      <c r="Q15" s="1810" t="str">
        <f t="shared" si="6"/>
        <v>产业集聚程度</v>
      </c>
      <c r="R15" s="774" t="s">
        <v>17</v>
      </c>
      <c r="S15" s="775">
        <f t="shared" si="0"/>
        <v>100</v>
      </c>
      <c r="T15" s="774" t="s">
        <v>17</v>
      </c>
      <c r="U15" s="775">
        <f t="shared" si="1"/>
        <v>100</v>
      </c>
      <c r="V15" s="774" t="s">
        <v>17</v>
      </c>
      <c r="W15" s="775">
        <f t="shared" si="2"/>
        <v>100</v>
      </c>
      <c r="X15" s="1813"/>
      <c r="Y15" s="3193"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4"/>
      <c r="Q16" s="1810"/>
      <c r="R16" s="774"/>
      <c r="S16" s="775"/>
      <c r="T16" s="774"/>
      <c r="U16" s="775"/>
      <c r="V16" s="774"/>
      <c r="W16" s="775"/>
      <c r="X16" s="1813"/>
      <c r="Y16" s="3194"/>
      <c r="Z16" s="1814"/>
      <c r="AA16" s="1811">
        <v>1</v>
      </c>
      <c r="AB16" s="1811">
        <v>1</v>
      </c>
      <c r="AC16" s="1811">
        <v>1</v>
      </c>
    </row>
    <row r="17" spans="1:29" ht="96.6">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4"/>
      <c r="Q17" s="1810" t="str">
        <f>B17</f>
        <v>交通便捷度</v>
      </c>
      <c r="R17" s="774" t="s">
        <v>17</v>
      </c>
      <c r="S17" s="775">
        <f>F17</f>
        <v>100</v>
      </c>
      <c r="T17" s="774" t="s">
        <v>17</v>
      </c>
      <c r="U17" s="775">
        <f>H17</f>
        <v>100</v>
      </c>
      <c r="V17" s="774" t="s">
        <v>17</v>
      </c>
      <c r="W17" s="775">
        <f>J17</f>
        <v>100</v>
      </c>
      <c r="X17" s="1813"/>
      <c r="Y17" s="3194"/>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194"/>
      <c r="Q18" s="1810"/>
      <c r="R18" s="774"/>
      <c r="S18" s="775"/>
      <c r="T18" s="774"/>
      <c r="U18" s="775"/>
      <c r="V18" s="774"/>
      <c r="W18" s="775"/>
      <c r="X18" s="1813"/>
      <c r="Y18" s="3194"/>
      <c r="Z18" s="1814"/>
      <c r="AA18" s="1811">
        <v>1</v>
      </c>
      <c r="AB18" s="1811">
        <v>1</v>
      </c>
      <c r="AC18" s="1811">
        <v>1</v>
      </c>
    </row>
    <row r="19" spans="1:29" ht="41.4">
      <c r="A19" s="428"/>
      <c r="B19" s="451" t="s">
        <v>2686</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4"/>
      <c r="Q19" s="1810" t="str">
        <f>B19</f>
        <v>公共配套设施</v>
      </c>
      <c r="R19" s="774" t="s">
        <v>17</v>
      </c>
      <c r="S19" s="775">
        <f>F19</f>
        <v>100</v>
      </c>
      <c r="T19" s="774" t="s">
        <v>17</v>
      </c>
      <c r="U19" s="775">
        <f>H19</f>
        <v>100</v>
      </c>
      <c r="V19" s="774" t="s">
        <v>17</v>
      </c>
      <c r="W19" s="775">
        <f>J19</f>
        <v>100</v>
      </c>
      <c r="X19" s="1813"/>
      <c r="Y19" s="3194"/>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194"/>
      <c r="Q20" s="1810"/>
      <c r="R20" s="774"/>
      <c r="S20" s="775"/>
      <c r="T20" s="774"/>
      <c r="U20" s="775"/>
      <c r="V20" s="774"/>
      <c r="W20" s="775"/>
      <c r="X20" s="1813"/>
      <c r="Y20" s="3194"/>
      <c r="Z20" s="1814"/>
      <c r="AA20" s="1811">
        <v>1</v>
      </c>
      <c r="AB20" s="1811">
        <v>1</v>
      </c>
      <c r="AC20" s="1811">
        <v>1</v>
      </c>
    </row>
    <row r="21" spans="1:29" ht="41.4">
      <c r="A21" s="428"/>
      <c r="B21" s="1384" t="s">
        <v>2687</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4"/>
      <c r="Q21" s="1810" t="str">
        <f>B21</f>
        <v>基础设施水平</v>
      </c>
      <c r="R21" s="774" t="s">
        <v>17</v>
      </c>
      <c r="S21" s="775">
        <f>F21</f>
        <v>100</v>
      </c>
      <c r="T21" s="774" t="s">
        <v>17</v>
      </c>
      <c r="U21" s="775">
        <f>H21</f>
        <v>100</v>
      </c>
      <c r="V21" s="774" t="s">
        <v>17</v>
      </c>
      <c r="W21" s="775">
        <f>J21</f>
        <v>100</v>
      </c>
      <c r="X21" s="1813"/>
      <c r="Y21" s="3194"/>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194"/>
      <c r="Q22" s="1810"/>
      <c r="R22" s="774"/>
      <c r="S22" s="775"/>
      <c r="T22" s="774"/>
      <c r="U22" s="775"/>
      <c r="V22" s="774"/>
      <c r="W22" s="775"/>
      <c r="X22" s="1813"/>
      <c r="Y22" s="3194"/>
      <c r="Z22" s="1814"/>
      <c r="AA22" s="1811">
        <v>1</v>
      </c>
      <c r="AB22" s="1811">
        <v>1</v>
      </c>
      <c r="AC22" s="1811">
        <v>1</v>
      </c>
    </row>
    <row r="23" spans="1:29" ht="82.8">
      <c r="A23" s="428"/>
      <c r="B23" s="451" t="s">
        <v>2688</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4"/>
      <c r="Q23" s="1810" t="str">
        <f>B23</f>
        <v>环境质量</v>
      </c>
      <c r="R23" s="774" t="s">
        <v>17</v>
      </c>
      <c r="S23" s="775">
        <f>F23</f>
        <v>100</v>
      </c>
      <c r="T23" s="774" t="s">
        <v>17</v>
      </c>
      <c r="U23" s="775">
        <f>H23</f>
        <v>100</v>
      </c>
      <c r="V23" s="774" t="s">
        <v>17</v>
      </c>
      <c r="W23" s="775">
        <f>J23</f>
        <v>100</v>
      </c>
      <c r="X23" s="1813"/>
      <c r="Y23" s="3194"/>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194"/>
      <c r="Q24" s="1810"/>
      <c r="R24" s="774"/>
      <c r="S24" s="775"/>
      <c r="T24" s="774"/>
      <c r="U24" s="775"/>
      <c r="V24" s="774"/>
      <c r="W24" s="775"/>
      <c r="X24" s="1813"/>
      <c r="Y24" s="319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4"/>
      <c r="Q25" s="1810">
        <f>B25</f>
        <v>111</v>
      </c>
      <c r="R25" s="774" t="s">
        <v>17</v>
      </c>
      <c r="S25" s="775">
        <f>F25</f>
        <v>100</v>
      </c>
      <c r="T25" s="774" t="s">
        <v>17</v>
      </c>
      <c r="U25" s="775">
        <f>H25</f>
        <v>100</v>
      </c>
      <c r="V25" s="774" t="s">
        <v>17</v>
      </c>
      <c r="W25" s="775">
        <f>J25</f>
        <v>100</v>
      </c>
      <c r="X25" s="1813"/>
      <c r="Y25" s="319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4"/>
      <c r="Q26" s="1810">
        <f t="shared" ref="Q26:Q40" si="11">B26</f>
        <v>111</v>
      </c>
      <c r="R26" s="774" t="s">
        <v>17</v>
      </c>
      <c r="S26" s="775">
        <f>F26</f>
        <v>100</v>
      </c>
      <c r="T26" s="774" t="s">
        <v>17</v>
      </c>
      <c r="U26" s="775">
        <f>H26</f>
        <v>100</v>
      </c>
      <c r="V26" s="774" t="s">
        <v>17</v>
      </c>
      <c r="W26" s="775">
        <f>J26</f>
        <v>100</v>
      </c>
      <c r="X26" s="1813"/>
      <c r="Y26" s="319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4"/>
      <c r="Q27" s="1795">
        <f t="shared" si="11"/>
        <v>111</v>
      </c>
      <c r="R27" s="770" t="s">
        <v>17</v>
      </c>
      <c r="S27" s="771">
        <f>F27</f>
        <v>100</v>
      </c>
      <c r="T27" s="770" t="s">
        <v>17</v>
      </c>
      <c r="U27" s="771">
        <f>H27</f>
        <v>100</v>
      </c>
      <c r="V27" s="770" t="s">
        <v>17</v>
      </c>
      <c r="W27" s="771">
        <f>J27</f>
        <v>100</v>
      </c>
      <c r="X27" s="772"/>
      <c r="Y27" s="3194"/>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4"/>
      <c r="Q28" s="1810">
        <f t="shared" si="11"/>
        <v>111</v>
      </c>
      <c r="R28" s="774" t="s">
        <v>17</v>
      </c>
      <c r="S28" s="775">
        <f t="shared" ref="S28:S40" si="12">F28</f>
        <v>100</v>
      </c>
      <c r="T28" s="774" t="s">
        <v>17</v>
      </c>
      <c r="U28" s="775">
        <f t="shared" ref="U28:U40" si="13">H28</f>
        <v>100</v>
      </c>
      <c r="V28" s="774" t="s">
        <v>17</v>
      </c>
      <c r="W28" s="775">
        <f t="shared" ref="W28:W40" si="14">J28</f>
        <v>100</v>
      </c>
      <c r="X28" s="1813"/>
      <c r="Y28" s="3194"/>
      <c r="Z28" s="1814">
        <f t="shared" ref="Z28:Z40" si="15">Q28</f>
        <v>111</v>
      </c>
      <c r="AA28" s="1811">
        <f t="shared" si="3"/>
        <v>1</v>
      </c>
      <c r="AB28" s="1811">
        <f t="shared" si="4"/>
        <v>1</v>
      </c>
      <c r="AC28" s="1811">
        <f t="shared" si="5"/>
        <v>1</v>
      </c>
    </row>
    <row r="29" spans="1:29" ht="30">
      <c r="A29" s="466" t="s">
        <v>2561</v>
      </c>
      <c r="B29" s="71" t="s">
        <v>2691</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195" t="s">
        <v>2563</v>
      </c>
      <c r="Q29" s="1810" t="str">
        <f t="shared" si="11"/>
        <v>建筑类型</v>
      </c>
      <c r="R29" s="774" t="s">
        <v>17</v>
      </c>
      <c r="S29" s="775">
        <f t="shared" si="12"/>
        <v>100</v>
      </c>
      <c r="T29" s="774" t="s">
        <v>17</v>
      </c>
      <c r="U29" s="775">
        <f t="shared" si="13"/>
        <v>100</v>
      </c>
      <c r="V29" s="774" t="s">
        <v>17</v>
      </c>
      <c r="W29" s="775">
        <f t="shared" si="14"/>
        <v>100</v>
      </c>
      <c r="X29" s="1813"/>
      <c r="Y29" s="3196"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6"/>
      <c r="Q31" s="1810" t="str">
        <f t="shared" si="11"/>
        <v>建筑结构</v>
      </c>
      <c r="R31" s="774" t="s">
        <v>17</v>
      </c>
      <c r="S31" s="775">
        <f t="shared" si="12"/>
        <v>100</v>
      </c>
      <c r="T31" s="774" t="s">
        <v>17</v>
      </c>
      <c r="U31" s="775">
        <f t="shared" si="13"/>
        <v>100</v>
      </c>
      <c r="V31" s="774" t="s">
        <v>17</v>
      </c>
      <c r="W31" s="775">
        <f t="shared" si="14"/>
        <v>100</v>
      </c>
      <c r="X31" s="1813"/>
      <c r="Y31" s="3196"/>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6"/>
      <c r="Q32" s="1810" t="str">
        <f t="shared" si="11"/>
        <v>公共部分装修</v>
      </c>
      <c r="R32" s="774" t="s">
        <v>17</v>
      </c>
      <c r="S32" s="775">
        <f t="shared" si="12"/>
        <v>100</v>
      </c>
      <c r="T32" s="774" t="s">
        <v>17</v>
      </c>
      <c r="U32" s="775">
        <f t="shared" si="13"/>
        <v>100</v>
      </c>
      <c r="V32" s="774" t="s">
        <v>17</v>
      </c>
      <c r="W32" s="775">
        <f t="shared" si="14"/>
        <v>100</v>
      </c>
      <c r="X32" s="1813"/>
      <c r="Y32" s="3196"/>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6"/>
      <c r="Q33" s="1810" t="str">
        <f t="shared" si="11"/>
        <v>成新度</v>
      </c>
      <c r="R33" s="774" t="s">
        <v>17</v>
      </c>
      <c r="S33" s="775" t="e">
        <f t="shared" si="12"/>
        <v>#N/A</v>
      </c>
      <c r="T33" s="774" t="s">
        <v>17</v>
      </c>
      <c r="U33" s="775" t="e">
        <f t="shared" si="13"/>
        <v>#N/A</v>
      </c>
      <c r="V33" s="774" t="s">
        <v>17</v>
      </c>
      <c r="W33" s="775" t="e">
        <f t="shared" si="14"/>
        <v>#N/A</v>
      </c>
      <c r="X33" s="1813"/>
      <c r="Y33" s="3196"/>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6"/>
      <c r="Q34" s="1795"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6" t="s">
        <v>2563</v>
      </c>
      <c r="Q35" s="1810" t="str">
        <f t="shared" si="11"/>
        <v>市政基础设施</v>
      </c>
      <c r="R35" s="774" t="s">
        <v>17</v>
      </c>
      <c r="S35" s="775">
        <f t="shared" si="12"/>
        <v>100</v>
      </c>
      <c r="T35" s="774" t="s">
        <v>17</v>
      </c>
      <c r="U35" s="775">
        <f t="shared" si="13"/>
        <v>100</v>
      </c>
      <c r="V35" s="774" t="s">
        <v>17</v>
      </c>
      <c r="W35" s="775">
        <f t="shared" si="14"/>
        <v>100</v>
      </c>
      <c r="X35" s="1813"/>
      <c r="Y35" s="3196"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6"/>
      <c r="Q36" s="1810" t="str">
        <f t="shared" si="11"/>
        <v>内部装修</v>
      </c>
      <c r="R36" s="774" t="s">
        <v>17</v>
      </c>
      <c r="S36" s="775">
        <f t="shared" si="12"/>
        <v>100</v>
      </c>
      <c r="T36" s="774" t="s">
        <v>17</v>
      </c>
      <c r="U36" s="775">
        <f t="shared" si="13"/>
        <v>100</v>
      </c>
      <c r="V36" s="774" t="s">
        <v>17</v>
      </c>
      <c r="W36" s="775">
        <f t="shared" si="14"/>
        <v>100</v>
      </c>
      <c r="X36" s="1813"/>
      <c r="Y36" s="3196"/>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6"/>
      <c r="Q37" s="1810" t="str">
        <f t="shared" si="11"/>
        <v>内部装修状况</v>
      </c>
      <c r="R37" s="774" t="s">
        <v>17</v>
      </c>
      <c r="S37" s="775">
        <f t="shared" si="12"/>
        <v>100</v>
      </c>
      <c r="T37" s="774" t="s">
        <v>17</v>
      </c>
      <c r="U37" s="775">
        <f t="shared" si="13"/>
        <v>100</v>
      </c>
      <c r="V37" s="774" t="s">
        <v>17</v>
      </c>
      <c r="W37" s="775">
        <f t="shared" si="14"/>
        <v>100</v>
      </c>
      <c r="X37" s="1813"/>
      <c r="Y37" s="319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6"/>
      <c r="Q39" s="1810">
        <f t="shared" si="11"/>
        <v>111</v>
      </c>
      <c r="R39" s="774" t="s">
        <v>17</v>
      </c>
      <c r="S39" s="775">
        <f t="shared" si="12"/>
        <v>100</v>
      </c>
      <c r="T39" s="774" t="s">
        <v>17</v>
      </c>
      <c r="U39" s="775">
        <f t="shared" si="13"/>
        <v>100</v>
      </c>
      <c r="V39" s="774" t="s">
        <v>17</v>
      </c>
      <c r="W39" s="775">
        <f t="shared" si="14"/>
        <v>100</v>
      </c>
      <c r="X39" s="1813"/>
      <c r="Y39" s="3196"/>
      <c r="Z39" s="1814">
        <f t="shared" si="15"/>
        <v>111</v>
      </c>
      <c r="AA39" s="1811">
        <f t="shared" si="3"/>
        <v>1</v>
      </c>
      <c r="AB39" s="1811">
        <f t="shared" si="4"/>
        <v>1</v>
      </c>
      <c r="AC39" s="1811">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9"/>
      <c r="Q40" s="1810">
        <f t="shared" si="11"/>
        <v>111</v>
      </c>
      <c r="R40" s="774" t="s">
        <v>17</v>
      </c>
      <c r="S40" s="775">
        <f t="shared" si="12"/>
        <v>100</v>
      </c>
      <c r="T40" s="774" t="s">
        <v>17</v>
      </c>
      <c r="U40" s="775">
        <f t="shared" si="13"/>
        <v>100</v>
      </c>
      <c r="V40" s="774" t="s">
        <v>17</v>
      </c>
      <c r="W40" s="775">
        <f t="shared" si="14"/>
        <v>100</v>
      </c>
      <c r="X40" s="1813"/>
      <c r="Y40" s="3259"/>
      <c r="Z40" s="1814">
        <f t="shared" si="15"/>
        <v>111</v>
      </c>
      <c r="AA40" s="1811">
        <f t="shared" si="3"/>
        <v>1</v>
      </c>
      <c r="AB40" s="1811">
        <f t="shared" si="4"/>
        <v>1</v>
      </c>
      <c r="AC40" s="1811">
        <f t="shared" si="5"/>
        <v>1</v>
      </c>
    </row>
    <row r="41" spans="1:29" ht="14.4">
      <c r="A41" s="479" t="s">
        <v>2575</v>
      </c>
      <c r="B41" s="480"/>
      <c r="C41" s="1407" t="s">
        <v>1</v>
      </c>
      <c r="D41" s="1408"/>
      <c r="E41" s="1409"/>
      <c r="F41" s="1410"/>
      <c r="G41" s="1411"/>
      <c r="H41" s="1412"/>
      <c r="I41" s="1409"/>
      <c r="J41" s="1412"/>
      <c r="K41" s="783"/>
      <c r="L41" s="1143"/>
      <c r="M41" s="1144"/>
      <c r="N41" s="1131"/>
      <c r="O41" s="1144"/>
      <c r="P41" s="3191" t="str">
        <f>A41</f>
        <v>成交单价（元/平方米）</v>
      </c>
      <c r="Q41" s="3191"/>
      <c r="R41" s="3255">
        <f>E41</f>
        <v>0</v>
      </c>
      <c r="S41" s="3255"/>
      <c r="T41" s="3255">
        <f>G41</f>
        <v>0</v>
      </c>
      <c r="U41" s="3255"/>
      <c r="V41" s="3255">
        <f>I41</f>
        <v>0</v>
      </c>
      <c r="W41" s="3255"/>
      <c r="X41" s="759"/>
      <c r="Y41" s="781"/>
      <c r="Z41" s="759"/>
      <c r="AA41" s="759"/>
      <c r="AB41" s="759"/>
      <c r="AC41" s="759"/>
    </row>
    <row r="42" spans="1:29" ht="1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91" t="str">
        <f>A42</f>
        <v>比较价值（元/平方米）</v>
      </c>
      <c r="Q42" s="3191"/>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9"/>
      <c r="Y42" s="759"/>
      <c r="Z42" s="759"/>
      <c r="AA42" s="759"/>
      <c r="AB42" s="759"/>
      <c r="AC42" s="759"/>
    </row>
    <row r="43" spans="1:29" ht="15" thickBot="1">
      <c r="A43" s="492" t="s">
        <v>2668</v>
      </c>
      <c r="B43" s="493"/>
      <c r="C43" s="1417" t="e">
        <f>R43</f>
        <v>#DIV/0!</v>
      </c>
      <c r="D43" s="1417"/>
      <c r="E43" s="1417"/>
      <c r="F43" s="1417"/>
      <c r="G43" s="1417"/>
      <c r="H43" s="1417"/>
      <c r="I43" s="1417"/>
      <c r="J43" s="1417"/>
      <c r="K43" s="785"/>
      <c r="L43" s="1143"/>
      <c r="M43" s="1144"/>
      <c r="N43" s="1144"/>
      <c r="O43" s="1144"/>
      <c r="P43" s="3185" t="str">
        <f>A43</f>
        <v>估价对象XX用房的比较价值（楼面单价，元/平方米）</v>
      </c>
      <c r="Q43" s="3186"/>
      <c r="R43" s="3254" t="e">
        <f>IF(F1="售价",ROUND(AVERAGE(R42:V42),0),ROUND(AVERAGE(R42:V42),1))</f>
        <v>#DIV/0!</v>
      </c>
      <c r="S43" s="3254"/>
      <c r="T43" s="3254"/>
      <c r="U43" s="3254"/>
      <c r="V43" s="3254"/>
      <c r="W43" s="325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2672</v>
      </c>
      <c r="B51" s="759"/>
      <c r="C51" s="764"/>
      <c r="D51" s="764"/>
      <c r="E51" s="764"/>
      <c r="F51" s="765"/>
      <c r="G51" s="765"/>
      <c r="H51" s="764"/>
      <c r="I51" s="764"/>
      <c r="J51" s="764"/>
      <c r="K51" s="1160"/>
      <c r="L51" s="1161"/>
      <c r="M51" s="1159"/>
      <c r="N51" s="1159"/>
      <c r="O51" s="1159"/>
      <c r="P51" s="503"/>
      <c r="Q51" s="504"/>
    </row>
    <row r="52" spans="1:17" s="508" customFormat="1" ht="14.4">
      <c r="A52" s="505" t="s">
        <v>2546</v>
      </c>
      <c r="B52" s="506"/>
      <c r="C52" s="1574" t="str">
        <f>YEAR(C7)&amp;"-"&amp;MONTH(C7)</f>
        <v>2020-4</v>
      </c>
      <c r="D52" s="1575">
        <f>EDATE(C52,-1)</f>
        <v>43891</v>
      </c>
      <c r="E52" s="1575">
        <f t="shared" ref="E52:O52" si="16">EDATE(D52,-1)</f>
        <v>43862</v>
      </c>
      <c r="F52" s="1575">
        <f t="shared" si="16"/>
        <v>43831</v>
      </c>
      <c r="G52" s="1575">
        <f t="shared" si="16"/>
        <v>43800</v>
      </c>
      <c r="H52" s="1575">
        <f t="shared" si="16"/>
        <v>43770</v>
      </c>
      <c r="I52" s="1575">
        <f t="shared" si="16"/>
        <v>43739</v>
      </c>
      <c r="J52" s="1575">
        <f t="shared" si="16"/>
        <v>43709</v>
      </c>
      <c r="K52" s="1575">
        <f t="shared" si="16"/>
        <v>43678</v>
      </c>
      <c r="L52" s="1575">
        <f t="shared" si="16"/>
        <v>43647</v>
      </c>
      <c r="M52" s="1575">
        <f t="shared" si="16"/>
        <v>43617</v>
      </c>
      <c r="N52" s="1575">
        <f t="shared" si="16"/>
        <v>43586</v>
      </c>
      <c r="O52" s="1575">
        <f t="shared" si="16"/>
        <v>43556</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2586</v>
      </c>
      <c r="B57" s="528" t="s">
        <v>2552</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7"/>
      <c r="B87" s="569"/>
      <c r="C87" s="570"/>
      <c r="D87" s="570"/>
      <c r="E87" s="570"/>
      <c r="F87" s="570"/>
      <c r="G87" s="591"/>
      <c r="H87" s="591"/>
      <c r="I87" s="591"/>
      <c r="J87" s="591"/>
      <c r="K87" s="591"/>
      <c r="L87" s="591"/>
      <c r="M87" s="592"/>
      <c r="N87" s="1153"/>
      <c r="O87" s="1153"/>
      <c r="P87" s="45"/>
      <c r="Q87" s="504"/>
    </row>
    <row r="88" spans="1:17" ht="14.4">
      <c r="A88" s="527" t="s">
        <v>2561</v>
      </c>
      <c r="B88" s="528" t="s">
        <v>2610</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2705</v>
      </c>
      <c r="B1" s="1619"/>
      <c r="C1" s="1620" t="s">
        <v>2528</v>
      </c>
      <c r="D1" s="1621"/>
      <c r="E1" s="1622"/>
      <c r="F1" s="2585"/>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2643</v>
      </c>
      <c r="B4" s="402"/>
      <c r="C4" s="3188" t="s">
        <v>2644</v>
      </c>
      <c r="D4" s="3201"/>
      <c r="E4" s="3202" t="s">
        <v>2645</v>
      </c>
      <c r="F4" s="3203"/>
      <c r="G4" s="3188" t="s">
        <v>2646</v>
      </c>
      <c r="H4" s="3201"/>
      <c r="I4" s="3188" t="s">
        <v>2647</v>
      </c>
      <c r="J4" s="3201"/>
      <c r="K4" s="610" t="s">
        <v>2648</v>
      </c>
      <c r="L4" s="1130"/>
      <c r="M4" s="1131"/>
      <c r="N4" s="1131"/>
      <c r="O4" s="1131"/>
      <c r="P4" s="3204" t="s">
        <v>2649</v>
      </c>
      <c r="Q4" s="3205"/>
      <c r="R4" s="3210" t="s">
        <v>2645</v>
      </c>
      <c r="S4" s="3211"/>
      <c r="T4" s="3210" t="s">
        <v>2646</v>
      </c>
      <c r="U4" s="3211"/>
      <c r="V4" s="3197" t="s">
        <v>2647</v>
      </c>
      <c r="W4" s="3197"/>
      <c r="X4" s="1813"/>
      <c r="Y4" s="3210" t="s">
        <v>2649</v>
      </c>
      <c r="Z4" s="3211"/>
      <c r="AA4" s="3198" t="s">
        <v>2645</v>
      </c>
      <c r="AB4" s="3199" t="s">
        <v>2646</v>
      </c>
      <c r="AC4" s="3198" t="s">
        <v>2647</v>
      </c>
    </row>
    <row r="5" spans="1:29">
      <c r="A5" s="404"/>
      <c r="B5" s="405"/>
      <c r="C5" s="3218" t="s">
        <v>2540</v>
      </c>
      <c r="D5" s="3219"/>
      <c r="E5" s="3225" t="s">
        <v>2541</v>
      </c>
      <c r="F5" s="3226"/>
      <c r="G5" s="3218" t="s">
        <v>2542</v>
      </c>
      <c r="H5" s="3219"/>
      <c r="I5" s="3218" t="s">
        <v>2543</v>
      </c>
      <c r="J5" s="3219"/>
      <c r="K5" s="610"/>
      <c r="L5" s="1130"/>
      <c r="M5" s="1131"/>
      <c r="N5" s="1131"/>
      <c r="O5" s="1131"/>
      <c r="P5" s="3206"/>
      <c r="Q5" s="3207"/>
      <c r="R5" s="3212"/>
      <c r="S5" s="3213"/>
      <c r="T5" s="3212"/>
      <c r="U5" s="3213"/>
      <c r="V5" s="3197"/>
      <c r="W5" s="3197"/>
      <c r="X5" s="1813"/>
      <c r="Y5" s="3212"/>
      <c r="Z5" s="3213"/>
      <c r="AA5" s="3199"/>
      <c r="AB5" s="3199"/>
      <c r="AC5" s="3199"/>
    </row>
    <row r="6" spans="1:29" ht="15" thickBot="1">
      <c r="A6" s="406"/>
      <c r="B6" s="407"/>
      <c r="C6" s="3216" t="s">
        <v>2544</v>
      </c>
      <c r="D6" s="3217"/>
      <c r="E6" s="3223" t="s">
        <v>2544</v>
      </c>
      <c r="F6" s="3224"/>
      <c r="G6" s="3216" t="s">
        <v>2544</v>
      </c>
      <c r="H6" s="3217"/>
      <c r="I6" s="3216" t="s">
        <v>2544</v>
      </c>
      <c r="J6" s="3217"/>
      <c r="K6" s="610" t="s">
        <v>2545</v>
      </c>
      <c r="L6" s="1130"/>
      <c r="M6" s="1131"/>
      <c r="N6" s="1131"/>
      <c r="O6" s="1131"/>
      <c r="P6" s="3208"/>
      <c r="Q6" s="3209"/>
      <c r="R6" s="3212"/>
      <c r="S6" s="3213"/>
      <c r="T6" s="3214"/>
      <c r="U6" s="3215"/>
      <c r="V6" s="3197"/>
      <c r="W6" s="3197"/>
      <c r="X6" s="1813"/>
      <c r="Y6" s="3214"/>
      <c r="Z6" s="3215"/>
      <c r="AA6" s="3200"/>
      <c r="AB6" s="3200"/>
      <c r="AC6" s="3200"/>
    </row>
    <row r="7" spans="1:29" s="117" customFormat="1" ht="15" thickBot="1">
      <c r="A7" s="408" t="s">
        <v>2546</v>
      </c>
      <c r="B7" s="409"/>
      <c r="C7" s="410">
        <f>'数据-取费表'!B2</f>
        <v>43923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0" t="s">
        <v>2547</v>
      </c>
      <c r="Q7" s="3222"/>
      <c r="R7" s="770" t="s">
        <v>17</v>
      </c>
      <c r="S7" s="771">
        <f t="shared" ref="S7:S14" si="0">F7</f>
        <v>0</v>
      </c>
      <c r="T7" s="770" t="s">
        <v>17</v>
      </c>
      <c r="U7" s="771">
        <f t="shared" ref="U7:U14" si="1">H7</f>
        <v>0</v>
      </c>
      <c r="V7" s="770" t="s">
        <v>17</v>
      </c>
      <c r="W7" s="771">
        <f t="shared" ref="W7:W14" si="2">J7</f>
        <v>0</v>
      </c>
      <c r="X7" s="772"/>
      <c r="Y7" s="3220" t="s">
        <v>2547</v>
      </c>
      <c r="Z7" s="3221"/>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0" t="s">
        <v>2550</v>
      </c>
      <c r="Q8" s="3221"/>
      <c r="R8" s="770" t="s">
        <v>17</v>
      </c>
      <c r="S8" s="771">
        <f t="shared" si="0"/>
        <v>0</v>
      </c>
      <c r="T8" s="770" t="s">
        <v>17</v>
      </c>
      <c r="U8" s="771">
        <f t="shared" si="1"/>
        <v>0</v>
      </c>
      <c r="V8" s="770" t="s">
        <v>17</v>
      </c>
      <c r="W8" s="771">
        <f t="shared" si="2"/>
        <v>0</v>
      </c>
      <c r="X8" s="772"/>
      <c r="Y8" s="3220" t="s">
        <v>2550</v>
      </c>
      <c r="Z8" s="3221"/>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1" t="s">
        <v>2553</v>
      </c>
      <c r="Q9" s="1795" t="str">
        <f t="shared" ref="Q9:Q14" si="6">B9</f>
        <v>用途</v>
      </c>
      <c r="R9" s="770" t="s">
        <v>17</v>
      </c>
      <c r="S9" s="771">
        <f t="shared" si="0"/>
        <v>100</v>
      </c>
      <c r="T9" s="770" t="s">
        <v>17</v>
      </c>
      <c r="U9" s="771">
        <f t="shared" si="1"/>
        <v>100</v>
      </c>
      <c r="V9" s="770" t="s">
        <v>17</v>
      </c>
      <c r="W9" s="771">
        <f t="shared" si="2"/>
        <v>100</v>
      </c>
      <c r="X9" s="772"/>
      <c r="Y9" s="3033"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1"/>
      <c r="Q11" s="1795">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1"/>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1"/>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96.6">
      <c r="A14" s="401" t="s">
        <v>2557</v>
      </c>
      <c r="B14" s="629" t="s">
        <v>2707</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3" t="s">
        <v>2558</v>
      </c>
      <c r="Q14" s="1810" t="str">
        <f t="shared" si="6"/>
        <v>交通便捷度</v>
      </c>
      <c r="R14" s="774" t="s">
        <v>17</v>
      </c>
      <c r="S14" s="775">
        <f t="shared" si="0"/>
        <v>100</v>
      </c>
      <c r="T14" s="774" t="s">
        <v>17</v>
      </c>
      <c r="U14" s="775">
        <f t="shared" si="1"/>
        <v>100</v>
      </c>
      <c r="V14" s="774" t="s">
        <v>17</v>
      </c>
      <c r="W14" s="775">
        <f t="shared" si="2"/>
        <v>100</v>
      </c>
      <c r="X14" s="1813"/>
      <c r="Y14" s="3193"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4"/>
      <c r="Q15" s="1810"/>
      <c r="R15" s="774"/>
      <c r="S15" s="775"/>
      <c r="T15" s="774"/>
      <c r="U15" s="775"/>
      <c r="V15" s="774"/>
      <c r="W15" s="775"/>
      <c r="X15" s="1813"/>
      <c r="Y15" s="3194"/>
      <c r="Z15" s="1814"/>
      <c r="AA15" s="1811">
        <v>1</v>
      </c>
      <c r="AB15" s="1811">
        <v>1</v>
      </c>
      <c r="AC15" s="1811">
        <v>1</v>
      </c>
    </row>
    <row r="16" spans="1:29" ht="41.4">
      <c r="A16" s="404"/>
      <c r="B16" s="631" t="s">
        <v>2686</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4"/>
      <c r="Q16" s="1810" t="str">
        <f>B16</f>
        <v>公共配套设施</v>
      </c>
      <c r="R16" s="774" t="s">
        <v>17</v>
      </c>
      <c r="S16" s="775">
        <f>F16</f>
        <v>100</v>
      </c>
      <c r="T16" s="774" t="s">
        <v>17</v>
      </c>
      <c r="U16" s="775">
        <f>H16</f>
        <v>100</v>
      </c>
      <c r="V16" s="774" t="s">
        <v>17</v>
      </c>
      <c r="W16" s="775">
        <f>J16</f>
        <v>100</v>
      </c>
      <c r="X16" s="1813"/>
      <c r="Y16" s="3194"/>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194"/>
      <c r="Q17" s="1810"/>
      <c r="R17" s="774"/>
      <c r="S17" s="775"/>
      <c r="T17" s="774"/>
      <c r="U17" s="775"/>
      <c r="V17" s="774"/>
      <c r="W17" s="775"/>
      <c r="X17" s="1813"/>
      <c r="Y17" s="3194"/>
      <c r="Z17" s="1814"/>
      <c r="AA17" s="1811">
        <v>1</v>
      </c>
      <c r="AB17" s="1811">
        <v>1</v>
      </c>
      <c r="AC17" s="1811">
        <v>1</v>
      </c>
    </row>
    <row r="18" spans="1:29" ht="41.4">
      <c r="A18" s="404"/>
      <c r="B18" s="633" t="s">
        <v>2687</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4"/>
      <c r="Q18" s="1810" t="str">
        <f>B18</f>
        <v>基础设施水平</v>
      </c>
      <c r="R18" s="774" t="s">
        <v>17</v>
      </c>
      <c r="S18" s="775">
        <f>F18</f>
        <v>100</v>
      </c>
      <c r="T18" s="774" t="s">
        <v>17</v>
      </c>
      <c r="U18" s="775">
        <f>H18</f>
        <v>100</v>
      </c>
      <c r="V18" s="774" t="s">
        <v>17</v>
      </c>
      <c r="W18" s="775">
        <f>J18</f>
        <v>100</v>
      </c>
      <c r="X18" s="1813"/>
      <c r="Y18" s="3194"/>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194"/>
      <c r="Q19" s="1810"/>
      <c r="R19" s="774"/>
      <c r="S19" s="775"/>
      <c r="T19" s="774"/>
      <c r="U19" s="775"/>
      <c r="V19" s="774"/>
      <c r="W19" s="775"/>
      <c r="X19" s="1813"/>
      <c r="Y19" s="3194"/>
      <c r="Z19" s="1814"/>
      <c r="AA19" s="1811">
        <v>1</v>
      </c>
      <c r="AB19" s="1811">
        <v>1</v>
      </c>
      <c r="AC19" s="1811">
        <v>1</v>
      </c>
    </row>
    <row r="20" spans="1:29" ht="55.2">
      <c r="A20" s="404"/>
      <c r="B20" s="631" t="s">
        <v>2708</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4"/>
      <c r="Q20" s="1810" t="str">
        <f>B20</f>
        <v>自然及人文环境</v>
      </c>
      <c r="R20" s="774" t="s">
        <v>17</v>
      </c>
      <c r="S20" s="775">
        <f>F20</f>
        <v>100</v>
      </c>
      <c r="T20" s="774" t="s">
        <v>17</v>
      </c>
      <c r="U20" s="775">
        <f>H20</f>
        <v>100</v>
      </c>
      <c r="V20" s="774" t="s">
        <v>17</v>
      </c>
      <c r="W20" s="775">
        <f>J20</f>
        <v>100</v>
      </c>
      <c r="X20" s="1813"/>
      <c r="Y20" s="319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4"/>
      <c r="Q21" s="1810"/>
      <c r="R21" s="774"/>
      <c r="S21" s="775"/>
      <c r="T21" s="774"/>
      <c r="U21" s="775"/>
      <c r="V21" s="774"/>
      <c r="W21" s="775"/>
      <c r="X21" s="1813"/>
      <c r="Y21" s="3194"/>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4"/>
      <c r="Q22" s="1810" t="str">
        <f>B22</f>
        <v>楼层</v>
      </c>
      <c r="R22" s="774" t="s">
        <v>17</v>
      </c>
      <c r="S22" s="775">
        <f>F22</f>
        <v>100</v>
      </c>
      <c r="T22" s="774" t="s">
        <v>17</v>
      </c>
      <c r="U22" s="775">
        <f>H22</f>
        <v>100</v>
      </c>
      <c r="V22" s="774" t="s">
        <v>17</v>
      </c>
      <c r="W22" s="775">
        <f>J22</f>
        <v>100</v>
      </c>
      <c r="X22" s="1813"/>
      <c r="Y22" s="319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4"/>
      <c r="Q23" s="1810">
        <f>B23</f>
        <v>111</v>
      </c>
      <c r="R23" s="774" t="s">
        <v>17</v>
      </c>
      <c r="S23" s="775">
        <f>F23</f>
        <v>100</v>
      </c>
      <c r="T23" s="774" t="s">
        <v>17</v>
      </c>
      <c r="U23" s="775">
        <f>H23</f>
        <v>100</v>
      </c>
      <c r="V23" s="774" t="s">
        <v>17</v>
      </c>
      <c r="W23" s="775">
        <f>J23</f>
        <v>100</v>
      </c>
      <c r="X23" s="1813"/>
      <c r="Y23" s="319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4"/>
      <c r="Q24" s="1810">
        <f t="shared" ref="Q24:Q36" si="11">B24</f>
        <v>111</v>
      </c>
      <c r="R24" s="774" t="s">
        <v>17</v>
      </c>
      <c r="S24" s="775">
        <f>F24</f>
        <v>100</v>
      </c>
      <c r="T24" s="774" t="s">
        <v>17</v>
      </c>
      <c r="U24" s="775">
        <f>H24</f>
        <v>100</v>
      </c>
      <c r="V24" s="774" t="s">
        <v>17</v>
      </c>
      <c r="W24" s="775">
        <f>J24</f>
        <v>100</v>
      </c>
      <c r="X24" s="1813"/>
      <c r="Y24" s="3194"/>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4"/>
      <c r="Q25" s="1795">
        <f t="shared" si="11"/>
        <v>111</v>
      </c>
      <c r="R25" s="770" t="s">
        <v>17</v>
      </c>
      <c r="S25" s="771">
        <f>F25</f>
        <v>100</v>
      </c>
      <c r="T25" s="770" t="s">
        <v>17</v>
      </c>
      <c r="U25" s="771">
        <f>H25</f>
        <v>100</v>
      </c>
      <c r="V25" s="770" t="s">
        <v>17</v>
      </c>
      <c r="W25" s="771">
        <f>J25</f>
        <v>100</v>
      </c>
      <c r="X25" s="772"/>
      <c r="Y25" s="3194"/>
      <c r="Z25" s="55">
        <f>Q25</f>
        <v>111</v>
      </c>
      <c r="AA25" s="1811">
        <f>D25/F25</f>
        <v>1</v>
      </c>
      <c r="AB25" s="1811">
        <f>D25/H25</f>
        <v>1</v>
      </c>
      <c r="AC25" s="1811">
        <f>D25/J25</f>
        <v>1</v>
      </c>
    </row>
    <row r="26" spans="1:29" ht="30">
      <c r="A26" s="652" t="s">
        <v>2561</v>
      </c>
      <c r="B26" s="70" t="s">
        <v>2710</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5"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6"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6"/>
      <c r="Q28" s="1810" t="str">
        <f t="shared" si="11"/>
        <v>公共部分装修</v>
      </c>
      <c r="R28" s="774" t="s">
        <v>17</v>
      </c>
      <c r="S28" s="775">
        <f t="shared" si="12"/>
        <v>100</v>
      </c>
      <c r="T28" s="774" t="s">
        <v>17</v>
      </c>
      <c r="U28" s="775">
        <f t="shared" si="13"/>
        <v>100</v>
      </c>
      <c r="V28" s="774" t="s">
        <v>17</v>
      </c>
      <c r="W28" s="775">
        <f t="shared" si="14"/>
        <v>100</v>
      </c>
      <c r="X28" s="1813"/>
      <c r="Y28" s="3196"/>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6"/>
      <c r="Q29" s="1810" t="str">
        <f t="shared" si="11"/>
        <v>成新率</v>
      </c>
      <c r="R29" s="774" t="s">
        <v>17</v>
      </c>
      <c r="S29" s="775" t="e">
        <f t="shared" si="12"/>
        <v>#N/A</v>
      </c>
      <c r="T29" s="774" t="s">
        <v>17</v>
      </c>
      <c r="U29" s="775" t="e">
        <f t="shared" si="13"/>
        <v>#N/A</v>
      </c>
      <c r="V29" s="774" t="s">
        <v>17</v>
      </c>
      <c r="W29" s="775" t="e">
        <f t="shared" si="14"/>
        <v>#N/A</v>
      </c>
      <c r="X29" s="1813"/>
      <c r="Y29" s="3196"/>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6"/>
      <c r="Q30" s="1810" t="str">
        <f t="shared" si="11"/>
        <v>物业等级</v>
      </c>
      <c r="R30" s="774" t="s">
        <v>17</v>
      </c>
      <c r="S30" s="775">
        <f t="shared" si="12"/>
        <v>100</v>
      </c>
      <c r="T30" s="774" t="s">
        <v>17</v>
      </c>
      <c r="U30" s="775">
        <f t="shared" si="13"/>
        <v>100</v>
      </c>
      <c r="V30" s="774" t="s">
        <v>17</v>
      </c>
      <c r="W30" s="775">
        <f t="shared" si="14"/>
        <v>100</v>
      </c>
      <c r="X30" s="1813"/>
      <c r="Y30" s="3196"/>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6"/>
      <c r="Q31" s="1795"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6" t="s">
        <v>2563</v>
      </c>
      <c r="Q32" s="1810" t="str">
        <f t="shared" si="11"/>
        <v>车位类型</v>
      </c>
      <c r="R32" s="774" t="s">
        <v>17</v>
      </c>
      <c r="S32" s="775">
        <f t="shared" si="12"/>
        <v>100</v>
      </c>
      <c r="T32" s="774" t="s">
        <v>17</v>
      </c>
      <c r="U32" s="775">
        <f t="shared" si="13"/>
        <v>100</v>
      </c>
      <c r="V32" s="774" t="s">
        <v>17</v>
      </c>
      <c r="W32" s="775">
        <f t="shared" si="14"/>
        <v>100</v>
      </c>
      <c r="X32" s="1813"/>
      <c r="Y32" s="3196"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6"/>
      <c r="Q33" s="1810" t="str">
        <f t="shared" si="11"/>
        <v>是否直接入户</v>
      </c>
      <c r="R33" s="774" t="s">
        <v>17</v>
      </c>
      <c r="S33" s="775">
        <f t="shared" si="12"/>
        <v>100</v>
      </c>
      <c r="T33" s="774" t="s">
        <v>17</v>
      </c>
      <c r="U33" s="775">
        <f t="shared" si="13"/>
        <v>100</v>
      </c>
      <c r="V33" s="774" t="s">
        <v>17</v>
      </c>
      <c r="W33" s="775">
        <f t="shared" si="14"/>
        <v>100</v>
      </c>
      <c r="X33" s="1813"/>
      <c r="Y33" s="319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6"/>
      <c r="Q34" s="1810">
        <f t="shared" si="11"/>
        <v>111</v>
      </c>
      <c r="R34" s="774" t="s">
        <v>17</v>
      </c>
      <c r="S34" s="775">
        <f t="shared" si="12"/>
        <v>100</v>
      </c>
      <c r="T34" s="774" t="s">
        <v>17</v>
      </c>
      <c r="U34" s="775">
        <f t="shared" si="13"/>
        <v>100</v>
      </c>
      <c r="V34" s="774" t="s">
        <v>17</v>
      </c>
      <c r="W34" s="775">
        <f t="shared" si="14"/>
        <v>100</v>
      </c>
      <c r="X34" s="1813"/>
      <c r="Y34" s="319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6"/>
      <c r="Q36" s="1810">
        <f t="shared" si="11"/>
        <v>111</v>
      </c>
      <c r="R36" s="774" t="s">
        <v>17</v>
      </c>
      <c r="S36" s="775">
        <f t="shared" si="12"/>
        <v>100</v>
      </c>
      <c r="T36" s="774" t="s">
        <v>17</v>
      </c>
      <c r="U36" s="775">
        <f t="shared" si="13"/>
        <v>100</v>
      </c>
      <c r="V36" s="774" t="s">
        <v>17</v>
      </c>
      <c r="W36" s="775">
        <f t="shared" si="14"/>
        <v>100</v>
      </c>
      <c r="X36" s="1813"/>
      <c r="Y36" s="3196"/>
      <c r="Z36" s="1814">
        <f t="shared" si="15"/>
        <v>111</v>
      </c>
      <c r="AA36" s="1811">
        <f t="shared" si="3"/>
        <v>1</v>
      </c>
      <c r="AB36" s="1811">
        <f t="shared" si="4"/>
        <v>1</v>
      </c>
      <c r="AC36" s="1811">
        <f t="shared" si="5"/>
        <v>1</v>
      </c>
    </row>
    <row r="37" spans="1:29" ht="14.4">
      <c r="A37" s="479" t="s">
        <v>2718</v>
      </c>
      <c r="B37" s="2696" t="s">
        <v>2719</v>
      </c>
      <c r="C37" s="1407" t="s">
        <v>1</v>
      </c>
      <c r="D37" s="1408"/>
      <c r="E37" s="1409"/>
      <c r="F37" s="1410"/>
      <c r="G37" s="1411"/>
      <c r="H37" s="1412"/>
      <c r="I37" s="1409"/>
      <c r="J37" s="1412"/>
      <c r="K37" s="619"/>
      <c r="L37" s="1143"/>
      <c r="M37" s="1144"/>
      <c r="N37" s="1131"/>
      <c r="O37" s="1144"/>
      <c r="P37" s="3191" t="str">
        <f>A37</f>
        <v>成交单价</v>
      </c>
      <c r="Q37" s="3191"/>
      <c r="R37" s="3255">
        <f>E37</f>
        <v>0</v>
      </c>
      <c r="S37" s="3255"/>
      <c r="T37" s="3255">
        <f>G37</f>
        <v>0</v>
      </c>
      <c r="U37" s="3255"/>
      <c r="V37" s="3255">
        <f>I37</f>
        <v>0</v>
      </c>
      <c r="W37" s="3255"/>
      <c r="X37" s="759"/>
      <c r="Y37" s="781"/>
      <c r="Z37" s="759"/>
      <c r="AA37" s="759"/>
      <c r="AB37" s="759"/>
      <c r="AC37" s="759"/>
    </row>
    <row r="38" spans="1:29" ht="1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1" t="str">
        <f>A38</f>
        <v>比较价值（元/平方米）</v>
      </c>
      <c r="Q38" s="3191"/>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9"/>
      <c r="Y38" s="759"/>
      <c r="Z38" s="759"/>
      <c r="AA38" s="759"/>
      <c r="AB38" s="759"/>
      <c r="AC38" s="759"/>
    </row>
    <row r="39" spans="1:29" ht="15" thickBot="1">
      <c r="A39" s="492" t="s">
        <v>2721</v>
      </c>
      <c r="B39" s="493"/>
      <c r="C39" s="1417" t="e">
        <f>R39</f>
        <v>#DIV/0!</v>
      </c>
      <c r="D39" s="1417"/>
      <c r="E39" s="1417"/>
      <c r="F39" s="1417"/>
      <c r="G39" s="1417"/>
      <c r="H39" s="1417"/>
      <c r="I39" s="1417"/>
      <c r="J39" s="1417"/>
      <c r="K39" s="621"/>
      <c r="L39" s="1143"/>
      <c r="M39" s="1144"/>
      <c r="N39" s="1144"/>
      <c r="O39" s="1144"/>
      <c r="P39" s="3185" t="str">
        <f>A39</f>
        <v>估价对象XX用房的比较价值（楼面单价，元/平方米）</v>
      </c>
      <c r="Q39" s="3186"/>
      <c r="R39" s="3254" t="e">
        <f>IF(F1="售价",ROUND(AVERAGE(R38:V38),0),ROUND(AVERAGE(R38:V38),1))</f>
        <v>#DIV/0!</v>
      </c>
      <c r="S39" s="3254"/>
      <c r="T39" s="3254"/>
      <c r="U39" s="3254"/>
      <c r="V39" s="3254"/>
      <c r="W39" s="325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2726</v>
      </c>
      <c r="B48" s="506"/>
      <c r="C48" s="1574" t="str">
        <f>YEAR(C7)&amp;"-"&amp;MONTH(C7)</f>
        <v>2020-4</v>
      </c>
      <c r="D48" s="1575">
        <f>EDATE(C48,-1)</f>
        <v>43891</v>
      </c>
      <c r="E48" s="1575">
        <f t="shared" ref="E48:O48" si="16">EDATE(D48,-1)</f>
        <v>43862</v>
      </c>
      <c r="F48" s="1575">
        <f t="shared" si="16"/>
        <v>43831</v>
      </c>
      <c r="G48" s="1575">
        <f t="shared" si="16"/>
        <v>43800</v>
      </c>
      <c r="H48" s="1575">
        <f t="shared" si="16"/>
        <v>43770</v>
      </c>
      <c r="I48" s="1575">
        <f t="shared" si="16"/>
        <v>43739</v>
      </c>
      <c r="J48" s="1575">
        <f t="shared" si="16"/>
        <v>43709</v>
      </c>
      <c r="K48" s="1575">
        <f t="shared" si="16"/>
        <v>43678</v>
      </c>
      <c r="L48" s="1575">
        <f t="shared" si="16"/>
        <v>43647</v>
      </c>
      <c r="M48" s="1575">
        <f t="shared" si="16"/>
        <v>43617</v>
      </c>
      <c r="N48" s="1575">
        <f t="shared" si="16"/>
        <v>43586</v>
      </c>
      <c r="O48" s="1575">
        <f t="shared" si="16"/>
        <v>43556</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2705</v>
      </c>
      <c r="B1" s="1619"/>
      <c r="C1" s="1620" t="s">
        <v>2528</v>
      </c>
      <c r="D1" s="1621"/>
      <c r="E1" s="1630"/>
      <c r="F1" s="2585"/>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88" t="s">
        <v>2644</v>
      </c>
      <c r="D4" s="3201"/>
      <c r="E4" s="3202" t="s">
        <v>2645</v>
      </c>
      <c r="F4" s="3203"/>
      <c r="G4" s="3188" t="s">
        <v>2646</v>
      </c>
      <c r="H4" s="3201"/>
      <c r="I4" s="3188" t="s">
        <v>2647</v>
      </c>
      <c r="J4" s="3201"/>
      <c r="K4" s="610" t="s">
        <v>2648</v>
      </c>
      <c r="L4" s="1130"/>
      <c r="M4" s="1131"/>
      <c r="N4" s="1131"/>
      <c r="O4" s="1131"/>
      <c r="P4" s="3204" t="s">
        <v>2649</v>
      </c>
      <c r="Q4" s="3205"/>
      <c r="R4" s="3210" t="s">
        <v>2645</v>
      </c>
      <c r="S4" s="3211"/>
      <c r="T4" s="3210" t="s">
        <v>2646</v>
      </c>
      <c r="U4" s="3211"/>
      <c r="V4" s="3197" t="s">
        <v>2647</v>
      </c>
      <c r="W4" s="3197"/>
      <c r="X4" s="1813"/>
      <c r="Y4" s="3210" t="s">
        <v>2649</v>
      </c>
      <c r="Z4" s="3211"/>
      <c r="AA4" s="3198" t="s">
        <v>2645</v>
      </c>
      <c r="AB4" s="3199" t="s">
        <v>2646</v>
      </c>
      <c r="AC4" s="3198" t="s">
        <v>2647</v>
      </c>
    </row>
    <row r="5" spans="1:29">
      <c r="A5" s="404"/>
      <c r="B5" s="405"/>
      <c r="C5" s="3218" t="s">
        <v>2540</v>
      </c>
      <c r="D5" s="3219"/>
      <c r="E5" s="3225" t="s">
        <v>2541</v>
      </c>
      <c r="F5" s="3226"/>
      <c r="G5" s="3218" t="s">
        <v>2542</v>
      </c>
      <c r="H5" s="3219"/>
      <c r="I5" s="3218" t="s">
        <v>2543</v>
      </c>
      <c r="J5" s="3219"/>
      <c r="K5" s="610"/>
      <c r="L5" s="1130"/>
      <c r="M5" s="1131"/>
      <c r="N5" s="1131"/>
      <c r="O5" s="1131"/>
      <c r="P5" s="3206"/>
      <c r="Q5" s="3207"/>
      <c r="R5" s="3212"/>
      <c r="S5" s="3213"/>
      <c r="T5" s="3212"/>
      <c r="U5" s="3213"/>
      <c r="V5" s="3197"/>
      <c r="W5" s="3197"/>
      <c r="X5" s="1813"/>
      <c r="Y5" s="3212"/>
      <c r="Z5" s="3213"/>
      <c r="AA5" s="3199"/>
      <c r="AB5" s="3199"/>
      <c r="AC5" s="3199"/>
    </row>
    <row r="6" spans="1:29" ht="15" thickBot="1">
      <c r="A6" s="406"/>
      <c r="B6" s="407"/>
      <c r="C6" s="3216" t="s">
        <v>2544</v>
      </c>
      <c r="D6" s="3217"/>
      <c r="E6" s="3223" t="s">
        <v>2544</v>
      </c>
      <c r="F6" s="3224"/>
      <c r="G6" s="3216" t="s">
        <v>2544</v>
      </c>
      <c r="H6" s="3217"/>
      <c r="I6" s="3216" t="s">
        <v>2544</v>
      </c>
      <c r="J6" s="3217"/>
      <c r="K6" s="610" t="s">
        <v>2545</v>
      </c>
      <c r="L6" s="1130"/>
      <c r="M6" s="1131"/>
      <c r="N6" s="1131"/>
      <c r="O6" s="1131"/>
      <c r="P6" s="3208"/>
      <c r="Q6" s="3209"/>
      <c r="R6" s="3212"/>
      <c r="S6" s="3213"/>
      <c r="T6" s="3214"/>
      <c r="U6" s="3215"/>
      <c r="V6" s="3197"/>
      <c r="W6" s="3197"/>
      <c r="X6" s="1813"/>
      <c r="Y6" s="3214"/>
      <c r="Z6" s="3215"/>
      <c r="AA6" s="3200"/>
      <c r="AB6" s="3200"/>
      <c r="AC6" s="3200"/>
    </row>
    <row r="7" spans="1:29" s="117" customFormat="1" ht="15" thickBot="1">
      <c r="A7" s="408" t="s">
        <v>2546</v>
      </c>
      <c r="B7" s="409"/>
      <c r="C7" s="410">
        <f>'数据-取费表'!B2</f>
        <v>43923</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20" t="s">
        <v>2547</v>
      </c>
      <c r="Q7" s="3222"/>
      <c r="R7" s="770" t="s">
        <v>17</v>
      </c>
      <c r="S7" s="771">
        <f t="shared" ref="S7:S14" si="0">F7</f>
        <v>0</v>
      </c>
      <c r="T7" s="770" t="s">
        <v>17</v>
      </c>
      <c r="U7" s="771">
        <f t="shared" ref="U7:U14" si="1">H7</f>
        <v>0</v>
      </c>
      <c r="V7" s="770" t="s">
        <v>17</v>
      </c>
      <c r="W7" s="771">
        <f t="shared" ref="W7:W14" si="2">J7</f>
        <v>0</v>
      </c>
      <c r="X7" s="772"/>
      <c r="Y7" s="3220" t="s">
        <v>2547</v>
      </c>
      <c r="Z7" s="3221"/>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0" t="s">
        <v>2550</v>
      </c>
      <c r="Q8" s="3221"/>
      <c r="R8" s="770" t="s">
        <v>17</v>
      </c>
      <c r="S8" s="771">
        <f t="shared" si="0"/>
        <v>0</v>
      </c>
      <c r="T8" s="770" t="s">
        <v>17</v>
      </c>
      <c r="U8" s="771">
        <f t="shared" si="1"/>
        <v>0</v>
      </c>
      <c r="V8" s="770" t="s">
        <v>17</v>
      </c>
      <c r="W8" s="771">
        <f t="shared" si="2"/>
        <v>0</v>
      </c>
      <c r="X8" s="772"/>
      <c r="Y8" s="3220" t="s">
        <v>2550</v>
      </c>
      <c r="Z8" s="3221"/>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1" t="s">
        <v>2553</v>
      </c>
      <c r="Q9" s="1795" t="str">
        <f t="shared" ref="Q9:Q14" si="6">B9</f>
        <v>用途</v>
      </c>
      <c r="R9" s="770" t="s">
        <v>17</v>
      </c>
      <c r="S9" s="771">
        <f t="shared" si="0"/>
        <v>100</v>
      </c>
      <c r="T9" s="770" t="s">
        <v>17</v>
      </c>
      <c r="U9" s="771">
        <f t="shared" si="1"/>
        <v>100</v>
      </c>
      <c r="V9" s="770" t="s">
        <v>17</v>
      </c>
      <c r="W9" s="771">
        <f t="shared" si="2"/>
        <v>100</v>
      </c>
      <c r="X9" s="772"/>
      <c r="Y9" s="3033"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1"/>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1"/>
      <c r="Q11" s="1795">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96.6">
      <c r="A14" s="440" t="s">
        <v>2557</v>
      </c>
      <c r="B14" s="69" t="s">
        <v>2707</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3" t="s">
        <v>2558</v>
      </c>
      <c r="Q14" s="1810" t="str">
        <f t="shared" si="6"/>
        <v>交通便捷度</v>
      </c>
      <c r="R14" s="774" t="s">
        <v>17</v>
      </c>
      <c r="S14" s="775">
        <f t="shared" si="0"/>
        <v>100</v>
      </c>
      <c r="T14" s="774" t="s">
        <v>17</v>
      </c>
      <c r="U14" s="775">
        <f t="shared" si="1"/>
        <v>100</v>
      </c>
      <c r="V14" s="774" t="s">
        <v>17</v>
      </c>
      <c r="W14" s="775">
        <f t="shared" si="2"/>
        <v>100</v>
      </c>
      <c r="X14" s="1813"/>
      <c r="Y14" s="3193"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4"/>
      <c r="Q15" s="1810"/>
      <c r="R15" s="774"/>
      <c r="S15" s="775"/>
      <c r="T15" s="774"/>
      <c r="U15" s="775"/>
      <c r="V15" s="774"/>
      <c r="W15" s="775"/>
      <c r="X15" s="1813"/>
      <c r="Y15" s="3194"/>
      <c r="Z15" s="1814"/>
      <c r="AA15" s="1811">
        <v>1</v>
      </c>
      <c r="AB15" s="1811">
        <v>1</v>
      </c>
      <c r="AC15" s="1811">
        <v>1</v>
      </c>
    </row>
    <row r="16" spans="1:29" ht="41.4">
      <c r="A16" s="428"/>
      <c r="B16" s="451" t="s">
        <v>2686</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4"/>
      <c r="Q16" s="1810" t="str">
        <f>B16</f>
        <v>公共配套设施</v>
      </c>
      <c r="R16" s="774" t="s">
        <v>17</v>
      </c>
      <c r="S16" s="775">
        <f>F16</f>
        <v>100</v>
      </c>
      <c r="T16" s="774" t="s">
        <v>17</v>
      </c>
      <c r="U16" s="775">
        <f>H16</f>
        <v>100</v>
      </c>
      <c r="V16" s="774" t="s">
        <v>17</v>
      </c>
      <c r="W16" s="775">
        <f>J16</f>
        <v>100</v>
      </c>
      <c r="X16" s="1813"/>
      <c r="Y16" s="3194"/>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194"/>
      <c r="Q17" s="1810"/>
      <c r="R17" s="774"/>
      <c r="S17" s="775"/>
      <c r="T17" s="774"/>
      <c r="U17" s="775"/>
      <c r="V17" s="774"/>
      <c r="W17" s="775"/>
      <c r="X17" s="1813"/>
      <c r="Y17" s="3194"/>
      <c r="Z17" s="1814"/>
      <c r="AA17" s="1811">
        <v>1</v>
      </c>
      <c r="AB17" s="1811">
        <v>1</v>
      </c>
      <c r="AC17" s="1811">
        <v>1</v>
      </c>
    </row>
    <row r="18" spans="1:29" ht="41.4">
      <c r="A18" s="428"/>
      <c r="B18" s="1384" t="s">
        <v>2687</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4"/>
      <c r="Q18" s="1810" t="str">
        <f>B18</f>
        <v>基础设施水平</v>
      </c>
      <c r="R18" s="774" t="s">
        <v>17</v>
      </c>
      <c r="S18" s="775">
        <f>F18</f>
        <v>100</v>
      </c>
      <c r="T18" s="774" t="s">
        <v>17</v>
      </c>
      <c r="U18" s="775">
        <f>H18</f>
        <v>100</v>
      </c>
      <c r="V18" s="774" t="s">
        <v>17</v>
      </c>
      <c r="W18" s="775">
        <f>J18</f>
        <v>100</v>
      </c>
      <c r="X18" s="1813"/>
      <c r="Y18" s="3194"/>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194"/>
      <c r="Q19" s="1810"/>
      <c r="R19" s="774"/>
      <c r="S19" s="775"/>
      <c r="T19" s="774"/>
      <c r="U19" s="775"/>
      <c r="V19" s="774"/>
      <c r="W19" s="775"/>
      <c r="X19" s="1813"/>
      <c r="Y19" s="3194"/>
      <c r="Z19" s="1814"/>
      <c r="AA19" s="1811">
        <v>1</v>
      </c>
      <c r="AB19" s="1811">
        <v>1</v>
      </c>
      <c r="AC19" s="1811">
        <v>1</v>
      </c>
    </row>
    <row r="20" spans="1:29" ht="55.2">
      <c r="A20" s="428"/>
      <c r="B20" s="451" t="s">
        <v>2708</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4"/>
      <c r="Q20" s="1810" t="str">
        <f>B20</f>
        <v>自然及人文环境</v>
      </c>
      <c r="R20" s="774" t="s">
        <v>17</v>
      </c>
      <c r="S20" s="775">
        <f>F20</f>
        <v>100</v>
      </c>
      <c r="T20" s="774" t="s">
        <v>17</v>
      </c>
      <c r="U20" s="775">
        <f>H20</f>
        <v>100</v>
      </c>
      <c r="V20" s="774" t="s">
        <v>17</v>
      </c>
      <c r="W20" s="775">
        <f>J20</f>
        <v>100</v>
      </c>
      <c r="X20" s="1813"/>
      <c r="Y20" s="319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4"/>
      <c r="Q21" s="1810"/>
      <c r="R21" s="774"/>
      <c r="S21" s="775"/>
      <c r="T21" s="774"/>
      <c r="U21" s="775"/>
      <c r="V21" s="774"/>
      <c r="W21" s="775"/>
      <c r="X21" s="1813"/>
      <c r="Y21" s="3194"/>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4"/>
      <c r="Q22" s="1810" t="str">
        <f>B22</f>
        <v>楼层</v>
      </c>
      <c r="R22" s="774" t="s">
        <v>17</v>
      </c>
      <c r="S22" s="775">
        <f>F22</f>
        <v>100</v>
      </c>
      <c r="T22" s="774" t="s">
        <v>17</v>
      </c>
      <c r="U22" s="775">
        <f>H22</f>
        <v>100</v>
      </c>
      <c r="V22" s="774" t="s">
        <v>17</v>
      </c>
      <c r="W22" s="775">
        <f>J22</f>
        <v>100</v>
      </c>
      <c r="X22" s="1813"/>
      <c r="Y22" s="3194"/>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4"/>
      <c r="Q23" s="1810">
        <f>B23</f>
        <v>111</v>
      </c>
      <c r="R23" s="774" t="s">
        <v>17</v>
      </c>
      <c r="S23" s="775">
        <f>F23</f>
        <v>100</v>
      </c>
      <c r="T23" s="774" t="s">
        <v>17</v>
      </c>
      <c r="U23" s="775">
        <f>H23</f>
        <v>100</v>
      </c>
      <c r="V23" s="774" t="s">
        <v>17</v>
      </c>
      <c r="W23" s="775">
        <f>J23</f>
        <v>100</v>
      </c>
      <c r="X23" s="1813"/>
      <c r="Y23" s="3194"/>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4"/>
      <c r="Q24" s="1810">
        <f t="shared" ref="Q24:Q34" si="11">B24</f>
        <v>111</v>
      </c>
      <c r="R24" s="774" t="s">
        <v>17</v>
      </c>
      <c r="S24" s="775">
        <f>F24</f>
        <v>100</v>
      </c>
      <c r="T24" s="774" t="s">
        <v>17</v>
      </c>
      <c r="U24" s="775">
        <f>H24</f>
        <v>100</v>
      </c>
      <c r="V24" s="774" t="s">
        <v>17</v>
      </c>
      <c r="W24" s="775">
        <f>J24</f>
        <v>100</v>
      </c>
      <c r="X24" s="1813"/>
      <c r="Y24" s="3194"/>
      <c r="Z24" s="1814">
        <f>Q24</f>
        <v>111</v>
      </c>
      <c r="AA24" s="1811">
        <f t="shared" si="3"/>
        <v>1</v>
      </c>
      <c r="AB24" s="1811">
        <f t="shared" si="4"/>
        <v>1</v>
      </c>
      <c r="AC24" s="1811">
        <f t="shared" si="5"/>
        <v>1</v>
      </c>
    </row>
    <row r="25" spans="1:29" s="117" customFormat="1" ht="15.6"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194"/>
      <c r="Q25" s="1795">
        <f t="shared" si="11"/>
        <v>111</v>
      </c>
      <c r="R25" s="770" t="s">
        <v>17</v>
      </c>
      <c r="S25" s="771">
        <f>F25</f>
        <v>100</v>
      </c>
      <c r="T25" s="770" t="s">
        <v>17</v>
      </c>
      <c r="U25" s="771">
        <f>H25</f>
        <v>100</v>
      </c>
      <c r="V25" s="770" t="s">
        <v>17</v>
      </c>
      <c r="W25" s="771">
        <f>J25</f>
        <v>100</v>
      </c>
      <c r="X25" s="772"/>
      <c r="Y25" s="3194"/>
      <c r="Z25" s="55">
        <f>Q25</f>
        <v>111</v>
      </c>
      <c r="AA25" s="1811">
        <f>D25/F25</f>
        <v>1</v>
      </c>
      <c r="AB25" s="1811">
        <f>D25/H25</f>
        <v>1</v>
      </c>
      <c r="AC25" s="1811">
        <f>D25/J25</f>
        <v>1</v>
      </c>
    </row>
    <row r="26" spans="1:29" ht="30">
      <c r="A26" s="466" t="s">
        <v>2561</v>
      </c>
      <c r="B26" s="71" t="s">
        <v>2712</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195"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6"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6"/>
      <c r="Q28" s="1810" t="str">
        <f t="shared" si="11"/>
        <v>物业等级</v>
      </c>
      <c r="R28" s="774" t="s">
        <v>17</v>
      </c>
      <c r="S28" s="775">
        <f t="shared" si="12"/>
        <v>100</v>
      </c>
      <c r="T28" s="774" t="s">
        <v>17</v>
      </c>
      <c r="U28" s="775">
        <f t="shared" si="13"/>
        <v>100</v>
      </c>
      <c r="V28" s="774" t="s">
        <v>17</v>
      </c>
      <c r="W28" s="775">
        <f t="shared" si="14"/>
        <v>100</v>
      </c>
      <c r="X28" s="1813"/>
      <c r="Y28" s="3196"/>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6"/>
      <c r="Q29" s="1810" t="str">
        <f t="shared" si="11"/>
        <v>有无电梯</v>
      </c>
      <c r="R29" s="774" t="s">
        <v>17</v>
      </c>
      <c r="S29" s="775">
        <f t="shared" si="12"/>
        <v>100</v>
      </c>
      <c r="T29" s="774" t="s">
        <v>17</v>
      </c>
      <c r="U29" s="775">
        <f t="shared" si="13"/>
        <v>100</v>
      </c>
      <c r="V29" s="774" t="s">
        <v>17</v>
      </c>
      <c r="W29" s="775">
        <f t="shared" si="14"/>
        <v>100</v>
      </c>
      <c r="X29" s="1813"/>
      <c r="Y29" s="3196"/>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6"/>
      <c r="Q30" s="1810" t="str">
        <f t="shared" si="11"/>
        <v>建筑面积</v>
      </c>
      <c r="R30" s="774" t="s">
        <v>17</v>
      </c>
      <c r="S30" s="775" t="e">
        <f t="shared" si="12"/>
        <v>#N/A</v>
      </c>
      <c r="T30" s="774" t="s">
        <v>17</v>
      </c>
      <c r="U30" s="775" t="e">
        <f t="shared" si="13"/>
        <v>#N/A</v>
      </c>
      <c r="V30" s="774" t="s">
        <v>17</v>
      </c>
      <c r="W30" s="775" t="e">
        <f t="shared" si="14"/>
        <v>#N/A</v>
      </c>
      <c r="X30" s="1813"/>
      <c r="Y30" s="3196"/>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6"/>
      <c r="Q31" s="1795"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6" t="s">
        <v>2563</v>
      </c>
      <c r="Q32" s="1810">
        <f t="shared" si="11"/>
        <v>111</v>
      </c>
      <c r="R32" s="774" t="s">
        <v>17</v>
      </c>
      <c r="S32" s="775">
        <f t="shared" si="12"/>
        <v>100</v>
      </c>
      <c r="T32" s="774" t="s">
        <v>17</v>
      </c>
      <c r="U32" s="775">
        <f t="shared" si="13"/>
        <v>100</v>
      </c>
      <c r="V32" s="774" t="s">
        <v>17</v>
      </c>
      <c r="W32" s="775">
        <f t="shared" si="14"/>
        <v>100</v>
      </c>
      <c r="X32" s="1813"/>
      <c r="Y32" s="3196" t="s">
        <v>2563</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6"/>
      <c r="Q33" s="1810">
        <f t="shared" si="11"/>
        <v>111</v>
      </c>
      <c r="R33" s="774" t="s">
        <v>17</v>
      </c>
      <c r="S33" s="775">
        <f t="shared" si="12"/>
        <v>100</v>
      </c>
      <c r="T33" s="774" t="s">
        <v>17</v>
      </c>
      <c r="U33" s="775">
        <f t="shared" si="13"/>
        <v>100</v>
      </c>
      <c r="V33" s="774" t="s">
        <v>17</v>
      </c>
      <c r="W33" s="775">
        <f t="shared" si="14"/>
        <v>100</v>
      </c>
      <c r="X33" s="1813"/>
      <c r="Y33" s="3196"/>
      <c r="Z33" s="1814">
        <f t="shared" si="15"/>
        <v>111</v>
      </c>
      <c r="AA33" s="1811">
        <f t="shared" si="3"/>
        <v>1</v>
      </c>
      <c r="AB33" s="1811">
        <f t="shared" si="4"/>
        <v>1</v>
      </c>
      <c r="AC33" s="1811">
        <f t="shared" si="5"/>
        <v>1</v>
      </c>
    </row>
    <row r="34" spans="1:29" ht="15.6"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196"/>
      <c r="Q34" s="1810">
        <f t="shared" si="11"/>
        <v>111</v>
      </c>
      <c r="R34" s="774" t="s">
        <v>17</v>
      </c>
      <c r="S34" s="775">
        <f t="shared" si="12"/>
        <v>100</v>
      </c>
      <c r="T34" s="774" t="s">
        <v>17</v>
      </c>
      <c r="U34" s="775">
        <f t="shared" si="13"/>
        <v>100</v>
      </c>
      <c r="V34" s="774" t="s">
        <v>17</v>
      </c>
      <c r="W34" s="775">
        <f t="shared" si="14"/>
        <v>100</v>
      </c>
      <c r="X34" s="1813"/>
      <c r="Y34" s="3196"/>
      <c r="Z34" s="1814">
        <f t="shared" si="15"/>
        <v>111</v>
      </c>
      <c r="AA34" s="1811">
        <f t="shared" si="3"/>
        <v>1</v>
      </c>
      <c r="AB34" s="1811">
        <f t="shared" si="4"/>
        <v>1</v>
      </c>
      <c r="AC34" s="1811">
        <f t="shared" si="5"/>
        <v>1</v>
      </c>
    </row>
    <row r="35" spans="1:29" ht="14.4">
      <c r="A35" s="479" t="s">
        <v>2575</v>
      </c>
      <c r="B35" s="480"/>
      <c r="C35" s="1407" t="s">
        <v>1</v>
      </c>
      <c r="D35" s="1408"/>
      <c r="E35" s="1409"/>
      <c r="F35" s="1410"/>
      <c r="G35" s="1411"/>
      <c r="H35" s="1412"/>
      <c r="I35" s="1409"/>
      <c r="J35" s="1412"/>
      <c r="K35" s="783"/>
      <c r="L35" s="1143"/>
      <c r="M35" s="1144"/>
      <c r="N35" s="1131"/>
      <c r="O35" s="1144"/>
      <c r="P35" s="3191" t="str">
        <f>A35</f>
        <v>成交单价（元/平方米）</v>
      </c>
      <c r="Q35" s="3191"/>
      <c r="R35" s="3255">
        <f>E35</f>
        <v>0</v>
      </c>
      <c r="S35" s="3255"/>
      <c r="T35" s="3255">
        <f>G35</f>
        <v>0</v>
      </c>
      <c r="U35" s="3255"/>
      <c r="V35" s="3255">
        <f>I35</f>
        <v>0</v>
      </c>
      <c r="W35" s="3255"/>
      <c r="X35" s="759"/>
      <c r="Y35" s="781"/>
      <c r="Z35" s="759"/>
      <c r="AA35" s="759"/>
      <c r="AB35" s="759"/>
      <c r="AC35" s="759"/>
    </row>
    <row r="36" spans="1:29" ht="1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91" t="str">
        <f>A36</f>
        <v>比较价值（元/平方米）</v>
      </c>
      <c r="Q36" s="3191"/>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9"/>
      <c r="Y36" s="759"/>
      <c r="Z36" s="759"/>
      <c r="AA36" s="759"/>
      <c r="AB36" s="759"/>
      <c r="AC36" s="759"/>
    </row>
    <row r="37" spans="1:29" ht="15" thickBot="1">
      <c r="A37" s="492" t="s">
        <v>2668</v>
      </c>
      <c r="B37" s="493"/>
      <c r="C37" s="1417" t="e">
        <f>R37</f>
        <v>#DIV/0!</v>
      </c>
      <c r="D37" s="1417"/>
      <c r="E37" s="1417"/>
      <c r="F37" s="1417"/>
      <c r="G37" s="1417"/>
      <c r="H37" s="1417"/>
      <c r="I37" s="1417"/>
      <c r="J37" s="1417"/>
      <c r="K37" s="785"/>
      <c r="L37" s="1143"/>
      <c r="M37" s="1144"/>
      <c r="N37" s="1144"/>
      <c r="O37" s="1144"/>
      <c r="P37" s="3185" t="str">
        <f>A37</f>
        <v>估价对象XX用房的比较价值（楼面单价，元/平方米）</v>
      </c>
      <c r="Q37" s="3186"/>
      <c r="R37" s="3254" t="e">
        <f>IF(F1="售价",ROUND(AVERAGE(R36:V36),0),ROUND(AVERAGE(R36:V36),1))</f>
        <v>#DIV/0!</v>
      </c>
      <c r="S37" s="3254"/>
      <c r="T37" s="3254"/>
      <c r="U37" s="3254"/>
      <c r="V37" s="3254"/>
      <c r="W37" s="325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4" t="str">
        <f>YEAR(C7)&amp;"-"&amp;MONTH(C7)</f>
        <v>2020-4</v>
      </c>
      <c r="D46" s="1575">
        <f>EDATE(C46,-1)</f>
        <v>43891</v>
      </c>
      <c r="E46" s="1575">
        <f t="shared" ref="E46:O46" si="16">EDATE(D46,-1)</f>
        <v>43862</v>
      </c>
      <c r="F46" s="1575">
        <f t="shared" si="16"/>
        <v>43831</v>
      </c>
      <c r="G46" s="1575">
        <f t="shared" si="16"/>
        <v>43800</v>
      </c>
      <c r="H46" s="1575">
        <f t="shared" si="16"/>
        <v>43770</v>
      </c>
      <c r="I46" s="1575">
        <f t="shared" si="16"/>
        <v>43739</v>
      </c>
      <c r="J46" s="1575">
        <f t="shared" si="16"/>
        <v>43709</v>
      </c>
      <c r="K46" s="1575">
        <f t="shared" si="16"/>
        <v>43678</v>
      </c>
      <c r="L46" s="1575">
        <f t="shared" si="16"/>
        <v>43647</v>
      </c>
      <c r="M46" s="1575">
        <f t="shared" si="16"/>
        <v>43617</v>
      </c>
      <c r="N46" s="1575">
        <f t="shared" si="16"/>
        <v>43586</v>
      </c>
      <c r="O46" s="1575">
        <f t="shared" si="16"/>
        <v>43556</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2586</v>
      </c>
      <c r="B51" s="528" t="s">
        <v>2552</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2727</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88" t="s">
        <v>2644</v>
      </c>
      <c r="D4" s="3201"/>
      <c r="E4" s="3202" t="s">
        <v>2645</v>
      </c>
      <c r="F4" s="3203"/>
      <c r="G4" s="3188" t="s">
        <v>2646</v>
      </c>
      <c r="H4" s="3201"/>
      <c r="I4" s="3188" t="s">
        <v>2647</v>
      </c>
      <c r="J4" s="3201"/>
      <c r="K4" s="610" t="s">
        <v>2648</v>
      </c>
      <c r="L4" s="1130"/>
      <c r="M4" s="1131"/>
      <c r="N4" s="1131"/>
      <c r="O4" s="1131"/>
      <c r="P4" s="3204" t="s">
        <v>2649</v>
      </c>
      <c r="Q4" s="3205"/>
      <c r="R4" s="3210" t="s">
        <v>2645</v>
      </c>
      <c r="S4" s="3211"/>
      <c r="T4" s="3210" t="s">
        <v>2646</v>
      </c>
      <c r="U4" s="3211"/>
      <c r="V4" s="3197" t="s">
        <v>2647</v>
      </c>
      <c r="W4" s="3197"/>
      <c r="X4" s="1813"/>
      <c r="Y4" s="3210" t="s">
        <v>2649</v>
      </c>
      <c r="Z4" s="3211"/>
      <c r="AA4" s="3198" t="s">
        <v>2645</v>
      </c>
      <c r="AB4" s="3199" t="s">
        <v>2646</v>
      </c>
      <c r="AC4" s="3198" t="s">
        <v>2647</v>
      </c>
    </row>
    <row r="5" spans="1:29">
      <c r="A5" s="404"/>
      <c r="B5" s="405"/>
      <c r="C5" s="3218" t="s">
        <v>2540</v>
      </c>
      <c r="D5" s="3219"/>
      <c r="E5" s="3225" t="s">
        <v>2541</v>
      </c>
      <c r="F5" s="3226"/>
      <c r="G5" s="3218" t="s">
        <v>2542</v>
      </c>
      <c r="H5" s="3219"/>
      <c r="I5" s="3218" t="s">
        <v>2543</v>
      </c>
      <c r="J5" s="3219"/>
      <c r="K5" s="610"/>
      <c r="L5" s="1130"/>
      <c r="M5" s="1131"/>
      <c r="N5" s="1131"/>
      <c r="O5" s="1131"/>
      <c r="P5" s="3206"/>
      <c r="Q5" s="3207"/>
      <c r="R5" s="3212"/>
      <c r="S5" s="3213"/>
      <c r="T5" s="3212"/>
      <c r="U5" s="3213"/>
      <c r="V5" s="3197"/>
      <c r="W5" s="3197"/>
      <c r="X5" s="1813"/>
      <c r="Y5" s="3212"/>
      <c r="Z5" s="3213"/>
      <c r="AA5" s="3199"/>
      <c r="AB5" s="3199"/>
      <c r="AC5" s="3199"/>
    </row>
    <row r="6" spans="1:29" ht="15" thickBot="1">
      <c r="A6" s="406"/>
      <c r="B6" s="407"/>
      <c r="C6" s="3277" t="s">
        <v>2794</v>
      </c>
      <c r="D6" s="3278"/>
      <c r="E6" s="3279" t="s">
        <v>2794</v>
      </c>
      <c r="F6" s="3280"/>
      <c r="G6" s="3277" t="s">
        <v>2794</v>
      </c>
      <c r="H6" s="3278"/>
      <c r="I6" s="3277" t="s">
        <v>2794</v>
      </c>
      <c r="J6" s="3278"/>
      <c r="K6" s="610" t="s">
        <v>2545</v>
      </c>
      <c r="L6" s="1130"/>
      <c r="M6" s="1131"/>
      <c r="N6" s="1131"/>
      <c r="O6" s="1131"/>
      <c r="P6" s="3208"/>
      <c r="Q6" s="3209"/>
      <c r="R6" s="3212"/>
      <c r="S6" s="3213"/>
      <c r="T6" s="3214"/>
      <c r="U6" s="3215"/>
      <c r="V6" s="3197"/>
      <c r="W6" s="3197"/>
      <c r="X6" s="1813"/>
      <c r="Y6" s="3214"/>
      <c r="Z6" s="3215"/>
      <c r="AA6" s="3200"/>
      <c r="AB6" s="3200"/>
      <c r="AC6" s="3200"/>
    </row>
    <row r="7" spans="1:29" s="117" customFormat="1" ht="15" thickBot="1">
      <c r="A7" s="408" t="s">
        <v>2546</v>
      </c>
      <c r="B7" s="409"/>
      <c r="C7" s="410">
        <f>'数据-取费表'!B2</f>
        <v>43923</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20" t="s">
        <v>2547</v>
      </c>
      <c r="Q7" s="3222"/>
      <c r="R7" s="770" t="s">
        <v>17</v>
      </c>
      <c r="S7" s="771">
        <f t="shared" ref="S7:S15" si="0">F7</f>
        <v>0</v>
      </c>
      <c r="T7" s="770" t="s">
        <v>17</v>
      </c>
      <c r="U7" s="771">
        <f t="shared" ref="U7:U15" si="1">H7</f>
        <v>0</v>
      </c>
      <c r="V7" s="770" t="s">
        <v>17</v>
      </c>
      <c r="W7" s="771">
        <f t="shared" ref="W7:W15" si="2">J7</f>
        <v>0</v>
      </c>
      <c r="X7" s="772"/>
      <c r="Y7" s="3220" t="s">
        <v>2547</v>
      </c>
      <c r="Z7" s="3221"/>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0" t="s">
        <v>2550</v>
      </c>
      <c r="Q8" s="3221"/>
      <c r="R8" s="770" t="s">
        <v>17</v>
      </c>
      <c r="S8" s="771">
        <f t="shared" si="0"/>
        <v>0</v>
      </c>
      <c r="T8" s="770" t="s">
        <v>17</v>
      </c>
      <c r="U8" s="771">
        <f t="shared" si="1"/>
        <v>0</v>
      </c>
      <c r="V8" s="770" t="s">
        <v>17</v>
      </c>
      <c r="W8" s="771">
        <f t="shared" si="2"/>
        <v>0</v>
      </c>
      <c r="X8" s="772"/>
      <c r="Y8" s="3220" t="s">
        <v>2550</v>
      </c>
      <c r="Z8" s="3221"/>
      <c r="AA8" s="773" t="e">
        <f t="shared" ref="AA8:AA40" si="3">D8/F8</f>
        <v>#DIV/0!</v>
      </c>
      <c r="AB8" s="773" t="e">
        <f t="shared" ref="AB8:AB40" si="4">D8/H8</f>
        <v>#DIV/0!</v>
      </c>
      <c r="AC8" s="773" t="e">
        <f t="shared" ref="AC8:AC40" si="5">D8/J8</f>
        <v>#DIV/0!</v>
      </c>
    </row>
    <row r="9" spans="1:29" s="117" customFormat="1" ht="14.4">
      <c r="A9" s="415" t="s">
        <v>2551</v>
      </c>
      <c r="B9" s="71" t="s">
        <v>2552</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191" t="s">
        <v>2553</v>
      </c>
      <c r="Q9" s="1795"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191"/>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1"/>
      <c r="Q11" s="1795"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1"/>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1"/>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1"/>
      <c r="Q14" s="1795">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69">
      <c r="A15" s="440" t="s">
        <v>2557</v>
      </c>
      <c r="B15" s="629" t="s">
        <v>2795</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3" t="s">
        <v>2558</v>
      </c>
      <c r="Q15" s="1810" t="str">
        <f t="shared" si="6"/>
        <v>产业集聚程度</v>
      </c>
      <c r="R15" s="774" t="s">
        <v>17</v>
      </c>
      <c r="S15" s="775">
        <f t="shared" si="0"/>
        <v>100</v>
      </c>
      <c r="T15" s="774" t="s">
        <v>17</v>
      </c>
      <c r="U15" s="775">
        <f t="shared" si="1"/>
        <v>100</v>
      </c>
      <c r="V15" s="774" t="s">
        <v>17</v>
      </c>
      <c r="W15" s="775">
        <f t="shared" si="2"/>
        <v>100</v>
      </c>
      <c r="X15" s="1813"/>
      <c r="Y15" s="3193" t="s">
        <v>2558</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194"/>
      <c r="Q16" s="1810"/>
      <c r="R16" s="774"/>
      <c r="S16" s="775"/>
      <c r="T16" s="774"/>
      <c r="U16" s="775"/>
      <c r="V16" s="774"/>
      <c r="W16" s="775"/>
      <c r="X16" s="1813"/>
      <c r="Y16" s="3194"/>
      <c r="Z16" s="1814"/>
      <c r="AA16" s="1811">
        <v>1</v>
      </c>
      <c r="AB16" s="1811">
        <v>1</v>
      </c>
      <c r="AC16" s="1811">
        <v>1</v>
      </c>
    </row>
    <row r="17" spans="1:29" ht="96.6">
      <c r="A17" s="428"/>
      <c r="B17" s="631" t="s">
        <v>2707</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4"/>
      <c r="Q17" s="1810" t="str">
        <f>B17</f>
        <v>交通便捷度</v>
      </c>
      <c r="R17" s="774" t="s">
        <v>17</v>
      </c>
      <c r="S17" s="775">
        <f>F17</f>
        <v>100</v>
      </c>
      <c r="T17" s="774" t="s">
        <v>17</v>
      </c>
      <c r="U17" s="775">
        <f>H17</f>
        <v>100</v>
      </c>
      <c r="V17" s="774" t="s">
        <v>17</v>
      </c>
      <c r="W17" s="775">
        <f>J17</f>
        <v>100</v>
      </c>
      <c r="X17" s="1813"/>
      <c r="Y17" s="3194"/>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194"/>
      <c r="Q18" s="1810"/>
      <c r="R18" s="774"/>
      <c r="S18" s="775"/>
      <c r="T18" s="774"/>
      <c r="U18" s="775"/>
      <c r="V18" s="774"/>
      <c r="W18" s="775"/>
      <c r="X18" s="1813"/>
      <c r="Y18" s="3194"/>
      <c r="Z18" s="1814"/>
      <c r="AA18" s="1811">
        <v>1</v>
      </c>
      <c r="AB18" s="1811">
        <v>1</v>
      </c>
      <c r="AC18" s="1811">
        <v>1</v>
      </c>
    </row>
    <row r="19" spans="1:29" ht="28.8">
      <c r="A19" s="428"/>
      <c r="B19" s="631" t="s">
        <v>2746</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4"/>
      <c r="Q19" s="1810" t="str">
        <f t="shared" ref="Q19:Q33" si="8">B19</f>
        <v>区域土地利用方向</v>
      </c>
      <c r="R19" s="774" t="s">
        <v>17</v>
      </c>
      <c r="S19" s="775">
        <f>F19</f>
        <v>100</v>
      </c>
      <c r="T19" s="774" t="s">
        <v>17</v>
      </c>
      <c r="U19" s="775">
        <f>H19</f>
        <v>100</v>
      </c>
      <c r="V19" s="774" t="s">
        <v>17</v>
      </c>
      <c r="W19" s="775">
        <f>J19</f>
        <v>100</v>
      </c>
      <c r="X19" s="1813"/>
      <c r="Y19" s="3194"/>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194"/>
      <c r="Q20" s="1810"/>
      <c r="R20" s="774"/>
      <c r="S20" s="775"/>
      <c r="T20" s="774"/>
      <c r="U20" s="775"/>
      <c r="V20" s="774"/>
      <c r="W20" s="775"/>
      <c r="X20" s="1813"/>
      <c r="Y20" s="3194"/>
      <c r="Z20" s="1814"/>
      <c r="AA20" s="1811"/>
      <c r="AB20" s="1811"/>
      <c r="AC20" s="1811"/>
    </row>
    <row r="21" spans="1:29" ht="82.8">
      <c r="A21" s="404"/>
      <c r="B21" s="631" t="s">
        <v>2796</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4"/>
      <c r="Q21" s="1810" t="str">
        <f t="shared" si="8"/>
        <v>环境状况</v>
      </c>
      <c r="R21" s="774" t="s">
        <v>17</v>
      </c>
      <c r="S21" s="775">
        <f>F21</f>
        <v>100</v>
      </c>
      <c r="T21" s="774" t="s">
        <v>17</v>
      </c>
      <c r="U21" s="775">
        <f>H21</f>
        <v>100</v>
      </c>
      <c r="V21" s="774" t="s">
        <v>17</v>
      </c>
      <c r="W21" s="775">
        <f>J21</f>
        <v>100</v>
      </c>
      <c r="X21" s="1813"/>
      <c r="Y21" s="3194"/>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194"/>
      <c r="Q22" s="1810"/>
      <c r="R22" s="774"/>
      <c r="S22" s="775"/>
      <c r="T22" s="774"/>
      <c r="U22" s="775"/>
      <c r="V22" s="774"/>
      <c r="W22" s="775"/>
      <c r="X22" s="1813"/>
      <c r="Y22" s="3194"/>
      <c r="Z22" s="1814"/>
      <c r="AA22" s="1811">
        <v>1</v>
      </c>
      <c r="AB22" s="1811">
        <v>1</v>
      </c>
      <c r="AC22" s="1811">
        <v>1</v>
      </c>
    </row>
    <row r="23" spans="1:29" s="117" customFormat="1" ht="41.4">
      <c r="A23" s="649"/>
      <c r="B23" s="633" t="s">
        <v>2652</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4"/>
      <c r="Q23" s="1795" t="str">
        <f t="shared" si="8"/>
        <v>公共配套设施</v>
      </c>
      <c r="R23" s="770" t="s">
        <v>17</v>
      </c>
      <c r="S23" s="771">
        <f>F23</f>
        <v>100</v>
      </c>
      <c r="T23" s="770" t="s">
        <v>17</v>
      </c>
      <c r="U23" s="771">
        <f>H23</f>
        <v>100</v>
      </c>
      <c r="V23" s="770" t="s">
        <v>17</v>
      </c>
      <c r="W23" s="771">
        <f>J23</f>
        <v>100</v>
      </c>
      <c r="X23" s="772"/>
      <c r="Y23" s="3194"/>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194"/>
      <c r="Q24" s="1795"/>
      <c r="R24" s="770"/>
      <c r="S24" s="771"/>
      <c r="T24" s="770"/>
      <c r="U24" s="771"/>
      <c r="V24" s="770"/>
      <c r="W24" s="771"/>
      <c r="X24" s="772"/>
      <c r="Y24" s="3194"/>
      <c r="Z24" s="55"/>
      <c r="AA24" s="773">
        <v>1</v>
      </c>
      <c r="AB24" s="773">
        <v>1</v>
      </c>
      <c r="AC24" s="773">
        <v>1</v>
      </c>
    </row>
    <row r="25" spans="1:29" s="117" customFormat="1" ht="41.4">
      <c r="A25" s="649"/>
      <c r="B25" s="633" t="s">
        <v>2653</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4"/>
      <c r="Q25" s="1795"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194"/>
      <c r="Q26" s="1795"/>
      <c r="R26" s="770"/>
      <c r="S26" s="771"/>
      <c r="T26" s="770"/>
      <c r="U26" s="771"/>
      <c r="V26" s="770"/>
      <c r="W26" s="771"/>
      <c r="X26" s="772"/>
      <c r="Y26" s="319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4"/>
      <c r="Z27" s="1814" t="str">
        <f t="shared" ref="Z27:Z40" si="13">Q27</f>
        <v>临街状况</v>
      </c>
      <c r="AA27" s="1811">
        <f t="shared" si="3"/>
        <v>1</v>
      </c>
      <c r="AB27" s="1811">
        <f t="shared" si="4"/>
        <v>1</v>
      </c>
      <c r="AC27" s="1811">
        <f t="shared" si="5"/>
        <v>1</v>
      </c>
    </row>
    <row r="28" spans="1:29" ht="28.8">
      <c r="A28" s="428"/>
      <c r="B28" s="633" t="s">
        <v>2689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4"/>
      <c r="Q28" s="1810" t="str">
        <f t="shared" si="8"/>
        <v>毗邻道路的类型与等级</v>
      </c>
      <c r="R28" s="774" t="s">
        <v>17</v>
      </c>
      <c r="S28" s="775">
        <f t="shared" si="10"/>
        <v>100</v>
      </c>
      <c r="T28" s="774" t="s">
        <v>17</v>
      </c>
      <c r="U28" s="775">
        <f t="shared" si="11"/>
        <v>100</v>
      </c>
      <c r="V28" s="774" t="s">
        <v>17</v>
      </c>
      <c r="W28" s="775">
        <f t="shared" si="12"/>
        <v>100</v>
      </c>
      <c r="X28" s="1813"/>
      <c r="Y28" s="3194"/>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194"/>
      <c r="Q29" s="1810"/>
      <c r="R29" s="774"/>
      <c r="S29" s="775"/>
      <c r="T29" s="774"/>
      <c r="U29" s="775"/>
      <c r="V29" s="774"/>
      <c r="W29" s="775"/>
      <c r="X29" s="1813"/>
      <c r="Y29" s="3194"/>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4"/>
      <c r="Q30" s="1810" t="str">
        <f t="shared" si="8"/>
        <v>土地级别</v>
      </c>
      <c r="R30" s="774" t="s">
        <v>17</v>
      </c>
      <c r="S30" s="775">
        <f t="shared" si="10"/>
        <v>100</v>
      </c>
      <c r="T30" s="774" t="s">
        <v>17</v>
      </c>
      <c r="U30" s="775">
        <f t="shared" si="11"/>
        <v>100</v>
      </c>
      <c r="V30" s="774" t="s">
        <v>17</v>
      </c>
      <c r="W30" s="775">
        <f t="shared" si="12"/>
        <v>100</v>
      </c>
      <c r="X30" s="1813"/>
      <c r="Y30" s="3194"/>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4"/>
      <c r="Q31" s="1810">
        <f t="shared" si="8"/>
        <v>111</v>
      </c>
      <c r="R31" s="774" t="s">
        <v>17</v>
      </c>
      <c r="S31" s="775">
        <f t="shared" si="10"/>
        <v>100</v>
      </c>
      <c r="T31" s="774" t="s">
        <v>17</v>
      </c>
      <c r="U31" s="775">
        <f t="shared" si="11"/>
        <v>100</v>
      </c>
      <c r="V31" s="774" t="s">
        <v>17</v>
      </c>
      <c r="W31" s="775">
        <f t="shared" si="12"/>
        <v>100</v>
      </c>
      <c r="X31" s="1813"/>
      <c r="Y31" s="3194"/>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5" t="s">
        <v>2563</v>
      </c>
      <c r="Q32" s="1810">
        <f t="shared" si="8"/>
        <v>111</v>
      </c>
      <c r="R32" s="774" t="s">
        <v>17</v>
      </c>
      <c r="S32" s="775">
        <f t="shared" si="10"/>
        <v>100</v>
      </c>
      <c r="T32" s="774" t="s">
        <v>17</v>
      </c>
      <c r="U32" s="775">
        <f t="shared" si="11"/>
        <v>100</v>
      </c>
      <c r="V32" s="774" t="s">
        <v>17</v>
      </c>
      <c r="W32" s="775">
        <f t="shared" si="12"/>
        <v>100</v>
      </c>
      <c r="X32" s="1813"/>
      <c r="Y32" s="3196" t="s">
        <v>2563</v>
      </c>
      <c r="Z32" s="1814">
        <f t="shared" si="13"/>
        <v>111</v>
      </c>
      <c r="AA32" s="1811">
        <f t="shared" si="3"/>
        <v>1</v>
      </c>
      <c r="AB32" s="1811">
        <f t="shared" si="4"/>
        <v>1</v>
      </c>
      <c r="AC32" s="1811">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6"/>
      <c r="Q33" s="1810">
        <f t="shared" si="8"/>
        <v>111</v>
      </c>
      <c r="R33" s="777" t="s">
        <v>17</v>
      </c>
      <c r="S33" s="778">
        <f t="shared" si="10"/>
        <v>100</v>
      </c>
      <c r="T33" s="777" t="s">
        <v>17</v>
      </c>
      <c r="U33" s="778">
        <f t="shared" si="11"/>
        <v>100</v>
      </c>
      <c r="V33" s="777" t="s">
        <v>17</v>
      </c>
      <c r="W33" s="778">
        <f t="shared" si="12"/>
        <v>100</v>
      </c>
      <c r="X33" s="779"/>
      <c r="Y33" s="3196"/>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6"/>
      <c r="Q34" s="1810" t="str">
        <f>B34</f>
        <v>宗地面积</v>
      </c>
      <c r="R34" s="774" t="s">
        <v>17</v>
      </c>
      <c r="S34" s="775" t="e">
        <f t="shared" si="10"/>
        <v>#N/A</v>
      </c>
      <c r="T34" s="774" t="s">
        <v>17</v>
      </c>
      <c r="U34" s="775" t="e">
        <f t="shared" si="11"/>
        <v>#N/A</v>
      </c>
      <c r="V34" s="774" t="s">
        <v>17</v>
      </c>
      <c r="W34" s="775" t="e">
        <f t="shared" si="12"/>
        <v>#N/A</v>
      </c>
      <c r="X34" s="1813"/>
      <c r="Y34" s="3196"/>
      <c r="Z34" s="1814" t="str">
        <f t="shared" si="13"/>
        <v>宗地面积</v>
      </c>
      <c r="AA34" s="1811" t="e">
        <f t="shared" si="3"/>
        <v>#N/A</v>
      </c>
      <c r="AB34" s="1811" t="e">
        <f t="shared" si="4"/>
        <v>#N/A</v>
      </c>
      <c r="AC34" s="1811" t="e">
        <f t="shared" si="5"/>
        <v>#N/A</v>
      </c>
    </row>
    <row r="35" spans="1:29" ht="15">
      <c r="A35" s="472"/>
      <c r="B35" s="422" t="s">
        <v>2750</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196"/>
      <c r="Q35" s="1810" t="str">
        <f t="shared" ref="Q35:Q40" si="14">B35</f>
        <v>宗地形状</v>
      </c>
      <c r="R35" s="774" t="s">
        <v>17</v>
      </c>
      <c r="S35" s="775">
        <f t="shared" si="10"/>
        <v>100</v>
      </c>
      <c r="T35" s="774" t="s">
        <v>17</v>
      </c>
      <c r="U35" s="775">
        <f t="shared" si="11"/>
        <v>100</v>
      </c>
      <c r="V35" s="774" t="s">
        <v>17</v>
      </c>
      <c r="W35" s="775">
        <f t="shared" si="12"/>
        <v>100</v>
      </c>
      <c r="X35" s="1813"/>
      <c r="Y35" s="3196"/>
      <c r="Z35" s="1814" t="str">
        <f t="shared" si="13"/>
        <v>宗地形状</v>
      </c>
      <c r="AA35" s="1811">
        <f t="shared" si="3"/>
        <v>1</v>
      </c>
      <c r="AB35" s="1811">
        <f t="shared" si="4"/>
        <v>1</v>
      </c>
      <c r="AC35" s="1811">
        <f t="shared" si="5"/>
        <v>1</v>
      </c>
    </row>
    <row r="36" spans="1:29" s="117" customFormat="1" ht="15">
      <c r="A36" s="473"/>
      <c r="B36" s="422" t="s">
        <v>2752</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196"/>
      <c r="Q36" s="1810"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2753</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196" t="s">
        <v>2563</v>
      </c>
      <c r="Q37" s="1810" t="str">
        <f t="shared" si="14"/>
        <v>工程地质条件</v>
      </c>
      <c r="R37" s="774" t="s">
        <v>17</v>
      </c>
      <c r="S37" s="775">
        <f t="shared" si="10"/>
        <v>100</v>
      </c>
      <c r="T37" s="774" t="s">
        <v>17</v>
      </c>
      <c r="U37" s="775">
        <f t="shared" si="11"/>
        <v>100</v>
      </c>
      <c r="V37" s="774" t="s">
        <v>17</v>
      </c>
      <c r="W37" s="775">
        <f t="shared" si="12"/>
        <v>100</v>
      </c>
      <c r="X37" s="1813"/>
      <c r="Y37" s="3196"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6"/>
      <c r="Q38" s="1810">
        <f t="shared" si="14"/>
        <v>111</v>
      </c>
      <c r="R38" s="774" t="s">
        <v>17</v>
      </c>
      <c r="S38" s="775">
        <f t="shared" si="10"/>
        <v>100</v>
      </c>
      <c r="T38" s="774" t="s">
        <v>17</v>
      </c>
      <c r="U38" s="775">
        <f t="shared" si="11"/>
        <v>100</v>
      </c>
      <c r="V38" s="774" t="s">
        <v>17</v>
      </c>
      <c r="W38" s="775">
        <f t="shared" si="12"/>
        <v>100</v>
      </c>
      <c r="X38" s="1813"/>
      <c r="Y38" s="319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6"/>
      <c r="Q39" s="1810">
        <f t="shared" si="14"/>
        <v>111</v>
      </c>
      <c r="R39" s="774" t="s">
        <v>17</v>
      </c>
      <c r="S39" s="775">
        <f t="shared" si="10"/>
        <v>100</v>
      </c>
      <c r="T39" s="774" t="s">
        <v>17</v>
      </c>
      <c r="U39" s="775">
        <f t="shared" si="11"/>
        <v>100</v>
      </c>
      <c r="V39" s="774" t="s">
        <v>17</v>
      </c>
      <c r="W39" s="775">
        <f t="shared" si="12"/>
        <v>100</v>
      </c>
      <c r="X39" s="1813"/>
      <c r="Y39" s="3196"/>
      <c r="Z39" s="1814">
        <f t="shared" si="13"/>
        <v>111</v>
      </c>
      <c r="AA39" s="1811">
        <f t="shared" si="3"/>
        <v>1</v>
      </c>
      <c r="AB39" s="1811">
        <f t="shared" si="4"/>
        <v>1</v>
      </c>
      <c r="AC39" s="1811">
        <f t="shared" si="5"/>
        <v>1</v>
      </c>
    </row>
    <row r="40" spans="1:29" s="471" customFormat="1" ht="15.6"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6"/>
      <c r="Q40" s="1810">
        <f t="shared" si="14"/>
        <v>111</v>
      </c>
      <c r="R40" s="777" t="s">
        <v>17</v>
      </c>
      <c r="S40" s="778">
        <f t="shared" si="10"/>
        <v>100</v>
      </c>
      <c r="T40" s="777" t="s">
        <v>17</v>
      </c>
      <c r="U40" s="778">
        <f t="shared" si="11"/>
        <v>100</v>
      </c>
      <c r="V40" s="777" t="s">
        <v>17</v>
      </c>
      <c r="W40" s="778">
        <f t="shared" si="12"/>
        <v>100</v>
      </c>
      <c r="X40" s="779"/>
      <c r="Y40" s="3196"/>
      <c r="Z40" s="780">
        <f t="shared" si="13"/>
        <v>111</v>
      </c>
      <c r="AA40" s="1811">
        <f t="shared" si="3"/>
        <v>1</v>
      </c>
      <c r="AB40" s="1811">
        <f t="shared" si="4"/>
        <v>1</v>
      </c>
      <c r="AC40" s="1811">
        <f t="shared" si="5"/>
        <v>1</v>
      </c>
    </row>
    <row r="41" spans="1:29" ht="14.4">
      <c r="A41" s="479" t="s">
        <v>2718</v>
      </c>
      <c r="B41" s="2705" t="s">
        <v>2797</v>
      </c>
      <c r="C41" s="682" t="s">
        <v>1</v>
      </c>
      <c r="D41" s="481"/>
      <c r="E41" s="482"/>
      <c r="F41" s="483"/>
      <c r="G41" s="484"/>
      <c r="H41" s="485"/>
      <c r="I41" s="482"/>
      <c r="J41" s="485"/>
      <c r="K41" s="783"/>
      <c r="L41" s="1143"/>
      <c r="M41" s="1131"/>
      <c r="N41" s="1131"/>
      <c r="O41" s="1144"/>
      <c r="P41" s="3191" t="str">
        <f>A41</f>
        <v>成交单价</v>
      </c>
      <c r="Q41" s="3191"/>
      <c r="R41" s="3197">
        <f>E41</f>
        <v>0</v>
      </c>
      <c r="S41" s="3197"/>
      <c r="T41" s="3197">
        <f>G41</f>
        <v>0</v>
      </c>
      <c r="U41" s="3197"/>
      <c r="V41" s="3197">
        <f>I41</f>
        <v>0</v>
      </c>
      <c r="W41" s="3197"/>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91" t="str">
        <f>A42</f>
        <v>比较价值（元/平方米）</v>
      </c>
      <c r="Q42" s="3191"/>
      <c r="R42" s="3184" t="e">
        <f>ROUND(PRODUCT(R41,AA7:AA40),0)</f>
        <v>#DIV/0!</v>
      </c>
      <c r="S42" s="3184"/>
      <c r="T42" s="3184" t="e">
        <f>ROUND(PRODUCT(T41,AB7:AB40),0)</f>
        <v>#DIV/0!</v>
      </c>
      <c r="U42" s="3184"/>
      <c r="V42" s="3184" t="e">
        <f>ROUND(PRODUCT(V41,AC7:AC40),0)</f>
        <v>#DIV/0!</v>
      </c>
      <c r="W42" s="3184"/>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3"/>
      <c r="M43" s="1131"/>
      <c r="N43" s="1131"/>
      <c r="O43" s="1144"/>
      <c r="P43" s="3185" t="str">
        <f>A43</f>
        <v>估价对象XX用房的比较价值（楼面单价，元/平方米）</v>
      </c>
      <c r="Q43" s="3186"/>
      <c r="R43" s="3187" t="e">
        <f>ROUND(AVERAGE(R42:V42),0)</f>
        <v>#DIV/0!</v>
      </c>
      <c r="S43" s="3187"/>
      <c r="T43" s="3187"/>
      <c r="U43" s="3187"/>
      <c r="V43" s="3187"/>
      <c r="W43" s="318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2755</v>
      </c>
      <c r="B50" s="685" t="s">
        <v>2756</v>
      </c>
      <c r="C50" s="2706" t="s">
        <v>2757</v>
      </c>
      <c r="D50" s="2707" t="s">
        <v>2758</v>
      </c>
      <c r="E50" s="686" t="s">
        <v>2759</v>
      </c>
      <c r="F50" s="687" t="s">
        <v>2760</v>
      </c>
      <c r="G50" s="3188" t="s">
        <v>2761</v>
      </c>
      <c r="H50" s="3189"/>
      <c r="I50" s="1814" t="s">
        <v>2798</v>
      </c>
      <c r="J50" s="1814">
        <f>项目基本情况!F35</f>
        <v>0</v>
      </c>
      <c r="K50" s="2709" t="s">
        <v>2763</v>
      </c>
      <c r="L50" s="1106"/>
      <c r="M50" s="1144"/>
      <c r="N50" s="1144"/>
      <c r="O50" s="1144"/>
    </row>
    <row r="51" spans="1:17" s="692" customFormat="1">
      <c r="A51" s="688" t="s">
        <v>2764</v>
      </c>
      <c r="B51" s="689" t="e">
        <f>C43</f>
        <v>#DIV/0!</v>
      </c>
      <c r="C51" s="690">
        <v>1</v>
      </c>
      <c r="D51" s="1163">
        <v>1</v>
      </c>
      <c r="E51" s="690">
        <f>'数据-汇总表'!E8+'数据-汇总表'!E9</f>
        <v>132590.15999999997</v>
      </c>
      <c r="F51" s="691" t="e">
        <f t="shared" ref="F51:F60" si="15">ROUND(B51*E51/10000,0)</f>
        <v>#DIV/0!</v>
      </c>
      <c r="G51" s="3190"/>
      <c r="H51" s="3191"/>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192"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192"/>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192"/>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192"/>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10"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6592.079999999999</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31413.989999999998</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10" t="s">
        <v>2766</v>
      </c>
      <c r="H59" s="1104">
        <f>项目基本情况!B37</f>
        <v>0</v>
      </c>
      <c r="I59" s="942">
        <f>SUMIF(修正!A45:A56,H59,修正!H45:H56)</f>
        <v>0</v>
      </c>
      <c r="J59" s="943"/>
      <c r="K59" s="1145"/>
      <c r="L59" s="941"/>
      <c r="M59" s="941"/>
      <c r="N59" s="941"/>
      <c r="O59" s="941"/>
    </row>
    <row r="60" spans="1:17" s="692" customFormat="1" ht="14.4" thickBot="1">
      <c r="A60" s="693" t="s">
        <v>2777</v>
      </c>
      <c r="B60" s="262" t="e">
        <f t="shared" si="17"/>
        <v>#DIV/0!</v>
      </c>
      <c r="C60" s="200">
        <f t="shared" si="16"/>
        <v>0</v>
      </c>
      <c r="D60" s="1164">
        <v>0.25</v>
      </c>
      <c r="E60" s="261">
        <f>'数据-汇总表'!E15</f>
        <v>0</v>
      </c>
      <c r="F60" s="691" t="e">
        <f t="shared" si="15"/>
        <v>#DIV/0!</v>
      </c>
      <c r="G60" s="2711" t="s">
        <v>2771</v>
      </c>
      <c r="H60" s="1114">
        <f>项目基本情况!C37</f>
        <v>0</v>
      </c>
      <c r="I60" s="942">
        <f>SUMIF(修正!A45:A56,H60,修正!H45:H56)</f>
        <v>0</v>
      </c>
      <c r="J60" s="943"/>
      <c r="K60" s="1144"/>
      <c r="L60" s="941"/>
      <c r="M60" s="941"/>
      <c r="N60" s="941"/>
      <c r="O60" s="941"/>
    </row>
    <row r="61" spans="1:17" s="692" customFormat="1" ht="14.4" thickBot="1">
      <c r="A61" s="695" t="s">
        <v>2778</v>
      </c>
      <c r="B61" s="696" t="s">
        <v>28</v>
      </c>
      <c r="C61" s="696" t="s">
        <v>29</v>
      </c>
      <c r="D61" s="696" t="s">
        <v>1025</v>
      </c>
      <c r="E61" s="696">
        <f>IF(B41="楼面地价",SUM(E51:E60),'数据-汇总表'!D3)</f>
        <v>72927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2.2" thickBot="1">
      <c r="A64" s="763" t="s">
        <v>2672</v>
      </c>
      <c r="B64" s="759"/>
      <c r="C64" s="764"/>
      <c r="D64" s="764"/>
      <c r="E64" s="764"/>
      <c r="F64" s="765"/>
      <c r="G64" s="765"/>
      <c r="H64" s="764"/>
      <c r="I64" s="764"/>
      <c r="J64" s="764"/>
      <c r="K64" s="766"/>
      <c r="L64" s="767"/>
      <c r="M64" s="764"/>
      <c r="N64" s="764"/>
      <c r="O64" s="1159"/>
      <c r="P64" s="503"/>
      <c r="Q64" s="504"/>
    </row>
    <row r="65" spans="1:17" s="508" customFormat="1" ht="14.4">
      <c r="A65" s="2712" t="s">
        <v>2779</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7" t="s">
        <v>2799</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2586</v>
      </c>
      <c r="B70" s="528" t="s">
        <v>2552</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2555</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2782</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2783</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2800</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2689</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18"/>
  <sheetViews>
    <sheetView zoomScale="80" zoomScaleNormal="80" zoomScaleSheetLayoutView="96" workbookViewId="0">
      <selection activeCell="J53" sqref="J53"/>
    </sheetView>
  </sheetViews>
  <sheetFormatPr defaultColWidth="12" defaultRowHeight="13.2"/>
  <cols>
    <col min="1" max="1" width="9.77734375" style="2789" customWidth="1"/>
    <col min="2" max="2" width="19.21875" style="2895" customWidth="1"/>
    <col min="3" max="4" width="12" style="2721"/>
    <col min="5" max="5" width="14.6640625" style="2721" customWidth="1"/>
    <col min="6" max="8" width="12" style="2721"/>
    <col min="9" max="9" width="12.21875" style="2721" bestFit="1" customWidth="1"/>
    <col min="10" max="10" width="12" style="2721"/>
    <col min="11" max="11" width="8.109375" style="2784" customWidth="1"/>
    <col min="12" max="12" width="12" style="2721"/>
    <col min="13" max="13" width="8.44140625" style="2721" customWidth="1"/>
    <col min="14" max="14" width="9.77734375" style="2721" customWidth="1"/>
    <col min="15" max="25" width="12" style="2721"/>
    <col min="26" max="26" width="9.33203125" style="2789" customWidth="1"/>
    <col min="27" max="32" width="9.33203125" style="1372" customWidth="1"/>
    <col min="33" max="36" width="9.33203125" style="2789" customWidth="1"/>
    <col min="37" max="38" width="9.33203125" style="2721" customWidth="1"/>
    <col min="39" max="16384" width="12" style="2721"/>
  </cols>
  <sheetData>
    <row r="1" spans="1:36" ht="31.2">
      <c r="A1" s="240" t="s">
        <v>2801</v>
      </c>
      <c r="B1" s="241"/>
      <c r="C1" s="245" t="s">
        <v>2802</v>
      </c>
      <c r="D1" s="388">
        <f>SUM(D29:D30,D33:D39)</f>
        <v>0</v>
      </c>
      <c r="E1" s="2718"/>
      <c r="F1" s="2718"/>
      <c r="G1" s="2718"/>
      <c r="H1" s="2718"/>
      <c r="I1" s="2718"/>
      <c r="J1" s="2718"/>
      <c r="K1" s="1370"/>
      <c r="L1" s="2719" t="s">
        <v>2803</v>
      </c>
      <c r="M1" s="1080">
        <f>SUMPRODUCT((区片价!B5:B9=I2)*(区片价!C3:F3=E2)*(区片价!C5:F9))</f>
        <v>0</v>
      </c>
      <c r="N1" s="1083">
        <f>SUMPRODUCT((因素修正幅度!B5:B9=I2)*(因素修正幅度!C3:F3=E2)*(因素修正幅度!C5:F9))</f>
        <v>0</v>
      </c>
      <c r="O1" s="2720"/>
      <c r="P1" s="2720"/>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6">
      <c r="A2" s="245" t="s">
        <v>2809</v>
      </c>
      <c r="B2" s="248" t="e">
        <f>C26</f>
        <v>#DIV/0!</v>
      </c>
      <c r="C2" s="2722" t="s">
        <v>2810</v>
      </c>
      <c r="D2" s="2723" t="s">
        <v>2811</v>
      </c>
      <c r="E2" s="2724"/>
      <c r="F2" s="2723" t="s">
        <v>2812</v>
      </c>
      <c r="G2" s="2725">
        <f>IF(E2="商业",项目基本情况!B37,IF(E2="办公",项目基本情况!C37,IF(E2="住宅",项目基本情况!D37,项目基本情况!E37)))</f>
        <v>0</v>
      </c>
      <c r="H2" s="2723" t="s">
        <v>2813</v>
      </c>
      <c r="I2" s="2725">
        <f>IF(E2="商业",项目基本情况!B38,IF(E2="办公",项目基本情况!C38,IF(E2="住宅",项目基本情况!D38,项目基本情况!E38)))</f>
        <v>0</v>
      </c>
      <c r="J2" s="2726"/>
      <c r="K2" s="1370"/>
      <c r="L2" s="2727"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6">
      <c r="A3" s="247" t="s">
        <v>2815</v>
      </c>
      <c r="B3" s="248" t="e">
        <f>ROUND(B2*10000/D1,0)</f>
        <v>#DIV/0!</v>
      </c>
      <c r="C3" s="2722" t="s">
        <v>2816</v>
      </c>
      <c r="D3" s="2723" t="s">
        <v>2817</v>
      </c>
      <c r="E3" s="2728"/>
      <c r="F3" s="2729" t="s">
        <v>2818</v>
      </c>
      <c r="G3" s="916">
        <f>IF(F3="宗地容积率",'数据-汇总表'!I4,IF(F3="估价对象容积率",'数据-汇总表'!I6,'数据-汇总表'!I7))</f>
        <v>1.9</v>
      </c>
      <c r="H3" s="198" t="s">
        <v>2819</v>
      </c>
      <c r="I3" s="944"/>
      <c r="J3" s="2726" t="s">
        <v>2820</v>
      </c>
      <c r="K3" s="1370"/>
      <c r="L3" s="2727"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6">
      <c r="A4" s="3284"/>
      <c r="B4" s="3285"/>
      <c r="C4" s="3285"/>
      <c r="D4" s="3286"/>
      <c r="E4" s="3286"/>
      <c r="F4" s="3286"/>
      <c r="G4" s="3286"/>
      <c r="H4" s="3286"/>
      <c r="I4" s="3286"/>
      <c r="J4" s="3287"/>
      <c r="K4" s="1370"/>
      <c r="L4" s="2727"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9" customFormat="1" ht="15.6" thickBot="1">
      <c r="A5" s="2730" t="s">
        <v>807</v>
      </c>
      <c r="B5" s="2731" t="s">
        <v>2823</v>
      </c>
      <c r="C5" s="917" t="e">
        <f>ROUND(IF(E2="商业",C6*C7+C16,(IF(E2="住宅",C6*C12+C16,C6+C16))),0)</f>
        <v>#DIV/0!</v>
      </c>
      <c r="D5" s="1787" t="e">
        <f>ROUND(C6+C16,0)</f>
        <v>#DIV/0!</v>
      </c>
      <c r="E5" s="1787"/>
      <c r="F5" s="2732"/>
      <c r="G5" s="2733"/>
      <c r="H5" s="2733"/>
      <c r="I5" s="2733"/>
      <c r="J5" s="2734"/>
      <c r="K5" s="2735"/>
      <c r="L5" s="2727"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6"/>
      <c r="AD5" s="2737"/>
      <c r="AE5" s="2737"/>
      <c r="AF5" s="2737"/>
      <c r="AG5" s="2737"/>
      <c r="AH5" s="2737"/>
      <c r="AI5" s="2737"/>
      <c r="AJ5" s="2738"/>
    </row>
    <row r="6" spans="1:36" ht="15.6" thickBot="1">
      <c r="A6" s="2740" t="s">
        <v>2825</v>
      </c>
      <c r="B6" s="2741" t="s">
        <v>2826</v>
      </c>
      <c r="C6" s="918">
        <f>SUMIF(L1:L12,G2,M1:M12)</f>
        <v>0</v>
      </c>
      <c r="D6" s="2742" t="s">
        <v>2827</v>
      </c>
      <c r="E6" s="2743"/>
      <c r="F6" s="2743"/>
      <c r="G6" s="2744"/>
      <c r="H6" s="2744"/>
      <c r="I6" s="2744"/>
      <c r="J6" s="2745"/>
      <c r="K6" s="1842"/>
      <c r="L6" s="2727"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6"/>
      <c r="AD6" s="2737"/>
      <c r="AE6" s="2737"/>
      <c r="AF6" s="2737"/>
      <c r="AG6" s="2737"/>
      <c r="AH6" s="2737"/>
      <c r="AI6" s="2737"/>
      <c r="AJ6" s="2738"/>
    </row>
    <row r="7" spans="1:36" ht="24">
      <c r="A7" s="3288" t="str">
        <f>IF(E2="商业",IF(C8="不临58条商业街","",2),"")</f>
        <v/>
      </c>
      <c r="B7" s="2746" t="s">
        <v>2829</v>
      </c>
      <c r="C7" s="919" t="e">
        <f>IF(C8="不临58条商业街",1,ROUND(1+(1.6*E8+1.2*E9+0.8*E10+0.4*E11)*C9,4))</f>
        <v>#DIV/0!</v>
      </c>
      <c r="D7" s="2747" t="s">
        <v>2830</v>
      </c>
      <c r="E7" s="945"/>
      <c r="F7" s="2748"/>
      <c r="G7" s="2749"/>
      <c r="H7" s="2749"/>
      <c r="I7" s="2749"/>
      <c r="J7" s="2750"/>
      <c r="K7" s="1842"/>
      <c r="L7" s="2727"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2832</v>
      </c>
      <c r="X7" s="1604">
        <f>G2</f>
        <v>0</v>
      </c>
      <c r="Y7" s="1604" t="s">
        <v>2833</v>
      </c>
      <c r="Z7" s="1605">
        <f>G3</f>
        <v>1.9</v>
      </c>
      <c r="AA7" s="1606"/>
      <c r="AB7" s="1606"/>
      <c r="AC7" s="1607"/>
      <c r="AD7" s="1608"/>
      <c r="AE7" s="1608"/>
      <c r="AF7" s="1608"/>
      <c r="AG7" s="1608"/>
      <c r="AH7" s="1608"/>
      <c r="AI7" s="1608"/>
      <c r="AJ7" s="1609"/>
    </row>
    <row r="8" spans="1:36" ht="15">
      <c r="A8" s="3289"/>
      <c r="B8" s="198" t="s">
        <v>2834</v>
      </c>
      <c r="C8" s="2751"/>
      <c r="D8" s="920" t="s">
        <v>139</v>
      </c>
      <c r="E8" s="921" t="e">
        <f>ROUND(C11/E7,4)</f>
        <v>#DIV/0!</v>
      </c>
      <c r="F8" s="2752" t="s">
        <v>2835</v>
      </c>
      <c r="G8" s="2753"/>
      <c r="H8" s="2753"/>
      <c r="I8" s="2753"/>
      <c r="J8" s="2754"/>
      <c r="K8" s="1370"/>
      <c r="L8" s="2727"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81" t="s">
        <v>2837</v>
      </c>
      <c r="X8" s="3282"/>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89"/>
      <c r="B9" s="198" t="s">
        <v>2850</v>
      </c>
      <c r="C9" s="922">
        <f>SUMIF(修正!C59:C119,C8,修正!E59:E119)</f>
        <v>0</v>
      </c>
      <c r="D9" s="200" t="s">
        <v>140</v>
      </c>
      <c r="E9" s="200" t="e">
        <f>ROUND(C11/E7,4)</f>
        <v>#DIV/0!</v>
      </c>
      <c r="F9" s="2752" t="s">
        <v>2851</v>
      </c>
      <c r="G9" s="2753"/>
      <c r="H9" s="2753"/>
      <c r="I9" s="2753"/>
      <c r="J9" s="2754"/>
      <c r="K9" s="1370"/>
      <c r="L9" s="2727"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83"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9"/>
      <c r="B10" s="198" t="s">
        <v>2855</v>
      </c>
      <c r="C10" s="200">
        <f>SUMIF(修正!C59:C119,C8,修正!F59:F119)</f>
        <v>0</v>
      </c>
      <c r="D10" s="200" t="s">
        <v>141</v>
      </c>
      <c r="E10" s="200" t="e">
        <f>ROUND(C11/E7,4)</f>
        <v>#DIV/0!</v>
      </c>
      <c r="F10" s="2752" t="s">
        <v>2856</v>
      </c>
      <c r="G10" s="2753"/>
      <c r="H10" s="2753"/>
      <c r="I10" s="2753"/>
      <c r="J10" s="2754"/>
      <c r="K10" s="1370"/>
      <c r="L10" s="2727"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8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89"/>
      <c r="B11" s="2755" t="s">
        <v>2858</v>
      </c>
      <c r="C11" s="923">
        <f>C10/4</f>
        <v>0</v>
      </c>
      <c r="D11" s="923" t="s">
        <v>142</v>
      </c>
      <c r="E11" s="923" t="e">
        <f>ROUND(C11/E7,4)</f>
        <v>#DIV/0!</v>
      </c>
      <c r="F11" s="2756" t="s">
        <v>2859</v>
      </c>
      <c r="G11" s="2757"/>
      <c r="H11" s="2757"/>
      <c r="I11" s="2757"/>
      <c r="J11" s="2758"/>
      <c r="K11" s="1370"/>
      <c r="L11" s="2727"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83" t="s">
        <v>2861</v>
      </c>
      <c r="X11" s="1614" t="s">
        <v>2862</v>
      </c>
      <c r="Y11" s="1615">
        <f>$G$3</f>
        <v>1.9</v>
      </c>
      <c r="Z11" s="1615">
        <f t="shared" ref="Z11:AJ11" si="3">$G$3</f>
        <v>1.9</v>
      </c>
      <c r="AA11" s="1615">
        <f t="shared" si="3"/>
        <v>1.9</v>
      </c>
      <c r="AB11" s="1615">
        <f t="shared" si="3"/>
        <v>1.9</v>
      </c>
      <c r="AC11" s="1615">
        <f t="shared" si="3"/>
        <v>1.9</v>
      </c>
      <c r="AD11" s="1615">
        <f t="shared" si="3"/>
        <v>1.9</v>
      </c>
      <c r="AE11" s="1615">
        <f t="shared" si="3"/>
        <v>1.9</v>
      </c>
      <c r="AF11" s="1615">
        <f t="shared" si="3"/>
        <v>1.9</v>
      </c>
      <c r="AG11" s="1615">
        <f t="shared" si="3"/>
        <v>1.9</v>
      </c>
      <c r="AH11" s="1615">
        <f t="shared" si="3"/>
        <v>1.9</v>
      </c>
      <c r="AI11" s="1615">
        <f t="shared" si="3"/>
        <v>1.9</v>
      </c>
      <c r="AJ11" s="1615">
        <f t="shared" si="3"/>
        <v>1.9</v>
      </c>
    </row>
    <row r="12" spans="1:36" ht="25.8" thickBot="1">
      <c r="A12" s="3288" t="s">
        <v>2863</v>
      </c>
      <c r="B12" s="2759" t="s">
        <v>2864</v>
      </c>
      <c r="C12" s="919">
        <f>ROUND(C15*D15*E15*F15*G15*H15*I15*J15,4)</f>
        <v>1</v>
      </c>
      <c r="D12" s="2760" t="s">
        <v>2865</v>
      </c>
      <c r="E12" s="2761"/>
      <c r="F12" s="2761"/>
      <c r="G12" s="2762"/>
      <c r="H12" s="2762"/>
      <c r="I12" s="2762"/>
      <c r="J12" s="2763"/>
      <c r="K12" s="1370"/>
      <c r="L12" s="2764"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83"/>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0"/>
      <c r="B13" s="2765" t="s">
        <v>2868</v>
      </c>
      <c r="C13" s="2766" t="s">
        <v>2869</v>
      </c>
      <c r="D13" s="1808" t="s">
        <v>2870</v>
      </c>
      <c r="E13" s="1808" t="s">
        <v>2871</v>
      </c>
      <c r="F13" s="30" t="s">
        <v>2872</v>
      </c>
      <c r="G13" s="2767" t="s">
        <v>2873</v>
      </c>
      <c r="H13" s="2767" t="s">
        <v>2873</v>
      </c>
      <c r="I13" s="2767" t="s">
        <v>2873</v>
      </c>
      <c r="J13" s="2768" t="s">
        <v>2873</v>
      </c>
      <c r="K13" s="1370"/>
      <c r="L13" s="1370"/>
      <c r="M13" s="1370"/>
      <c r="N13" s="1370"/>
      <c r="O13" s="1370"/>
      <c r="P13" s="1370"/>
      <c r="Q13" s="1370"/>
      <c r="R13" s="1602">
        <v>12</v>
      </c>
      <c r="S13" s="1603"/>
      <c r="T13" s="1602" t="e">
        <f t="shared" si="0"/>
        <v>#DIV/0!</v>
      </c>
      <c r="U13" s="1603"/>
      <c r="V13" s="1602" t="e">
        <f t="shared" si="1"/>
        <v>#DIV/0!</v>
      </c>
      <c r="W13" s="3283"/>
      <c r="X13" s="1616"/>
      <c r="Y13" s="1613">
        <f>(-0.163*(Y12^2)-0.59*Y12+7617)*(10^(-4))/Y11</f>
        <v>0.4008947368421053</v>
      </c>
      <c r="Z13" s="1613">
        <f t="shared" ref="Z13:AJ13" si="5">(-0.163*(Z12^2)-0.59*Z12+7617)*(10^(-4))/Z11</f>
        <v>0.4008947368421053</v>
      </c>
      <c r="AA13" s="1613">
        <f t="shared" si="5"/>
        <v>0.4008947368421053</v>
      </c>
      <c r="AB13" s="1613">
        <f t="shared" si="5"/>
        <v>0.4008947368421053</v>
      </c>
      <c r="AC13" s="1613">
        <f t="shared" si="5"/>
        <v>0.4008947368421053</v>
      </c>
      <c r="AD13" s="1613">
        <f t="shared" si="5"/>
        <v>0.4008947368421053</v>
      </c>
      <c r="AE13" s="1613">
        <f t="shared" si="5"/>
        <v>0.4008947368421053</v>
      </c>
      <c r="AF13" s="1613">
        <f t="shared" si="5"/>
        <v>0.4008947368421053</v>
      </c>
      <c r="AG13" s="1613">
        <f t="shared" si="5"/>
        <v>0.4008947368421053</v>
      </c>
      <c r="AH13" s="1613">
        <f t="shared" si="5"/>
        <v>0.4008947368421053</v>
      </c>
      <c r="AI13" s="1613">
        <f t="shared" si="5"/>
        <v>0.4008947368421053</v>
      </c>
      <c r="AJ13" s="1613">
        <f t="shared" si="5"/>
        <v>0.4008947368421053</v>
      </c>
    </row>
    <row r="14" spans="1:36" ht="15">
      <c r="A14" s="3290"/>
      <c r="B14" s="2769"/>
      <c r="C14" s="2770"/>
      <c r="D14" s="2771"/>
      <c r="E14" s="2771"/>
      <c r="F14" s="2772"/>
      <c r="G14" s="2773" t="s">
        <v>2874</v>
      </c>
      <c r="H14" s="2774"/>
      <c r="I14" s="2775"/>
      <c r="J14" s="2776"/>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6" thickBot="1">
      <c r="A15" s="3291"/>
      <c r="B15" s="2777"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88" t="s">
        <v>2880</v>
      </c>
      <c r="B16" s="2746" t="s">
        <v>2881</v>
      </c>
      <c r="C16" s="2933" t="e">
        <f>ROUND(IF(F17="与级别开发程度一致",0,(G17-E17)/C17),0)</f>
        <v>#DIV/0!</v>
      </c>
      <c r="D16" s="3302" t="s">
        <v>2885</v>
      </c>
      <c r="E16" s="3303"/>
      <c r="F16" s="3302" t="s">
        <v>2882</v>
      </c>
      <c r="G16" s="3303"/>
      <c r="H16" s="2780"/>
      <c r="I16" s="2780"/>
      <c r="J16" s="2937"/>
      <c r="K16" s="2780"/>
      <c r="L16" s="2780"/>
      <c r="M16" s="2780"/>
      <c r="N16" s="2780"/>
      <c r="O16" s="2781"/>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8" thickBot="1">
      <c r="A17" s="3292"/>
      <c r="B17" s="2944" t="s">
        <v>2884</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 thickBot="1">
      <c r="A18" s="2938" t="s">
        <v>808</v>
      </c>
      <c r="B18" s="2939" t="s">
        <v>2887</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4" thickBot="1">
      <c r="A19" s="2785" t="s">
        <v>809</v>
      </c>
      <c r="B19" s="2786" t="s">
        <v>2888</v>
      </c>
      <c r="C19" s="924" t="e">
        <f>ROUND(IF(H19="按公示增长率计算",SUMPRODUCT((地价!A3:A29=YEAR(G19)&amp;"-"&amp;ROUNDUP(MONTH(G19)/3,0))*(地价!X2:AB2=E2)*(地价!X3:AB29)),IF(H19="地价指数",M20/M19,(1+I19)^O19)),4)</f>
        <v>#VALUE!</v>
      </c>
      <c r="D19" s="2790" t="s">
        <v>2889</v>
      </c>
      <c r="E19" s="925">
        <v>41640</v>
      </c>
      <c r="F19" s="2790" t="s">
        <v>2890</v>
      </c>
      <c r="G19" s="926">
        <f>'数据-取费表'!B2</f>
        <v>43923</v>
      </c>
      <c r="H19" s="2791"/>
      <c r="I19" s="927" t="str">
        <f>IF(H19="季度增幅（自定义）",SUMIF(N21:N24,E2,O21:O24),"")</f>
        <v/>
      </c>
      <c r="J19" s="2788"/>
      <c r="K19" s="1377"/>
      <c r="L19" s="2792" t="s">
        <v>2891</v>
      </c>
      <c r="M19" s="1734">
        <f>ROUND(SUMIF(地价!B2:F2,E2,地价!B29:F29),0)</f>
        <v>0</v>
      </c>
      <c r="N19" s="2793" t="s">
        <v>2892</v>
      </c>
      <c r="O19" s="928">
        <f>ROUNDDOWN(DATEDIF(E19,G19,"M")/3,0)</f>
        <v>25</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9.4" thickBot="1">
      <c r="A20" s="2797" t="s">
        <v>810</v>
      </c>
      <c r="B20" s="2798" t="s">
        <v>2893</v>
      </c>
      <c r="C20" s="929" t="e">
        <f>ROUND(POWER(1+G20,J20-I20)*(POWER(1+G20,I20)-1)/(POWER(1+G20,J20)-1),4)</f>
        <v>#DIV/0!</v>
      </c>
      <c r="D20" s="2799" t="s">
        <v>2894</v>
      </c>
      <c r="E20" s="1768">
        <f ca="1">存贷款利率!D4/100</f>
        <v>4.3499999999999997E-2</v>
      </c>
      <c r="F20" s="2799" t="s">
        <v>2886</v>
      </c>
      <c r="G20" s="934">
        <f>SUMIF(M26:P26,E2,M28:P28)</f>
        <v>0</v>
      </c>
      <c r="H20" s="2799" t="s">
        <v>2895</v>
      </c>
      <c r="I20" s="935" t="e">
        <f>SUMIF('数据-取费表'!C6:C15,E2,'数据-取费表'!F6:F15)/COUNTIF('数据-取费表'!C6:C15,E2)</f>
        <v>#DIV/0!</v>
      </c>
      <c r="J20" s="936">
        <f>IF(E2="住宅",70,IF(E2="商业",40,50))</f>
        <v>50</v>
      </c>
      <c r="K20" s="1377"/>
      <c r="L20" s="2800" t="s">
        <v>2896</v>
      </c>
      <c r="M20" s="1735">
        <f>ROUND(SUMPRODUCT((地价!A4:A29=YEAR(G19)&amp;"-"&amp;ROUNDUP(MONTH(G19)/3,0))*(地价!B2:F2=E2)*(地价!B4:F29)),0)</f>
        <v>0</v>
      </c>
      <c r="N20" s="2801" t="s">
        <v>2897</v>
      </c>
      <c r="O20" s="2802" t="s">
        <v>2898</v>
      </c>
      <c r="P20" s="2803" t="s">
        <v>2899</v>
      </c>
      <c r="R20" s="1376"/>
      <c r="S20" s="1376"/>
      <c r="T20" s="1371"/>
      <c r="U20" s="1371"/>
      <c r="V20" s="1371"/>
      <c r="W20" s="1370"/>
      <c r="X20" s="1370"/>
      <c r="Y20" s="1370"/>
      <c r="Z20" s="1377"/>
      <c r="AA20" s="1378"/>
      <c r="AB20" s="1378"/>
      <c r="AC20" s="1378"/>
      <c r="AD20" s="1378"/>
      <c r="AE20" s="1378"/>
      <c r="AF20" s="1378"/>
    </row>
    <row r="21" spans="1:37" s="2739" customFormat="1" ht="14.4">
      <c r="A21" s="2804" t="s">
        <v>811</v>
      </c>
      <c r="B21" s="2805" t="s">
        <v>2900</v>
      </c>
      <c r="C21" s="937">
        <f>IF(B21="容积率修正",IF(G3&lt;=10,D22,J22),C23)</f>
        <v>0</v>
      </c>
      <c r="D21" s="2806"/>
      <c r="E21" s="2806"/>
      <c r="F21" s="2806"/>
      <c r="G21" s="2806"/>
      <c r="H21" s="2806"/>
      <c r="I21" s="2806"/>
      <c r="J21" s="2807"/>
      <c r="K21" s="1377"/>
      <c r="N21" s="2808" t="s">
        <v>2901</v>
      </c>
      <c r="O21" s="1561"/>
      <c r="P21" s="1562">
        <f>SUMPRODUCT((地价!A3:A29=YEAR(G19)&amp;"-"&amp;ROUNDUP(MONTH(G19)/3,0))*(地价!AD2:AH2=N21)*(地价!AD3:AH29))</f>
        <v>0</v>
      </c>
      <c r="R21" s="1376"/>
      <c r="S21" s="1376"/>
      <c r="T21" s="1371"/>
      <c r="U21" s="1371"/>
      <c r="V21" s="1371"/>
      <c r="W21" s="1370"/>
      <c r="X21" s="1370"/>
      <c r="Y21" s="1370"/>
      <c r="Z21" s="1377"/>
      <c r="AA21" s="1378"/>
      <c r="AB21" s="1378"/>
      <c r="AC21" s="1378"/>
      <c r="AD21" s="1378"/>
      <c r="AE21" s="1378"/>
      <c r="AF21" s="1378"/>
    </row>
    <row r="22" spans="1:37" s="2739" customFormat="1" ht="14.4">
      <c r="A22" s="2665" t="s">
        <v>2902</v>
      </c>
      <c r="B22" s="2809" t="s">
        <v>2903</v>
      </c>
      <c r="C22" s="1810" t="s">
        <v>2904</v>
      </c>
      <c r="D22" s="1810" t="b">
        <f>IF(E22=G22,F22,IF(G3&lt;=10,ROUND(F22+(H22-F22)*(G3-E22)/(G22-E22),4),"——"))</f>
        <v>0</v>
      </c>
      <c r="E22" s="916">
        <f>ROUNDDOWN(G3,1)</f>
        <v>1.9</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1.9</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8" t="s">
        <v>2905</v>
      </c>
      <c r="O22" s="1561"/>
      <c r="P22" s="1562">
        <f>SUMPRODUCT((地价!A3:A29=YEAR(G19)&amp;"-"&amp;ROUNDUP(MONTH(G19)/3,0))*(地价!AD2:AH2=N22)*(地价!AD3:AH29))</f>
        <v>0</v>
      </c>
      <c r="R22" s="1376"/>
      <c r="S22" s="1376"/>
      <c r="T22" s="1371"/>
      <c r="U22" s="1371"/>
      <c r="V22" s="1371"/>
      <c r="W22" s="1370"/>
      <c r="X22" s="1370"/>
      <c r="Y22" s="1370"/>
      <c r="Z22" s="1377"/>
      <c r="AA22" s="1378"/>
      <c r="AB22" s="1378"/>
      <c r="AC22" s="1378"/>
      <c r="AD22" s="1378"/>
      <c r="AE22" s="1378"/>
      <c r="AF22" s="1378"/>
    </row>
    <row r="23" spans="1:37" ht="29.4" thickBot="1">
      <c r="A23" s="2665" t="s">
        <v>2906</v>
      </c>
      <c r="B23" s="2810" t="s">
        <v>2907</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2908</v>
      </c>
      <c r="O23" s="1561"/>
      <c r="P23" s="1562">
        <f>SUMPRODUCT((地价!A3:A29=YEAR(G19)&amp;"-"&amp;ROUNDUP(MONTH(G19)/3,0))*(地价!AD2:AH2=N23)*(地价!AD3:AH29))</f>
        <v>0</v>
      </c>
      <c r="R23" s="1376"/>
      <c r="S23" s="1376"/>
      <c r="T23" s="1371"/>
      <c r="U23" s="1371"/>
      <c r="V23" s="1371"/>
      <c r="W23" s="1370"/>
      <c r="X23" s="1370"/>
      <c r="Y23" s="1370"/>
      <c r="Z23" s="1377"/>
      <c r="AA23" s="1378"/>
      <c r="AB23" s="1378"/>
      <c r="AC23" s="1378"/>
      <c r="AD23" s="1378"/>
      <c r="AK23" s="2789"/>
    </row>
    <row r="24" spans="1:37" s="2739" customFormat="1" ht="15" thickBot="1">
      <c r="A24" s="2797" t="s">
        <v>812</v>
      </c>
      <c r="B24" s="2786" t="s">
        <v>2909</v>
      </c>
      <c r="C24" s="924">
        <f>SUMIF(A45:A88,E2,B45:B88)</f>
        <v>0</v>
      </c>
      <c r="D24" s="2787"/>
      <c r="E24" s="2816"/>
      <c r="F24" s="2816"/>
      <c r="G24" s="2816"/>
      <c r="H24" s="2816"/>
      <c r="I24" s="2816"/>
      <c r="J24" s="2817"/>
      <c r="K24" s="1377"/>
      <c r="N24" s="2818" t="s">
        <v>2910</v>
      </c>
      <c r="O24" s="1563"/>
      <c r="P24" s="1564">
        <f>SUMPRODUCT((地价!A3:A29=YEAR(G19)&amp;"-"&amp;ROUNDUP(MONTH(G19)/3,0))*(地价!AD2:AH2=N24)*(地价!AD3:AH29))</f>
        <v>0</v>
      </c>
      <c r="R24" s="1376"/>
      <c r="S24" s="1376"/>
      <c r="T24" s="1371"/>
      <c r="U24" s="1371"/>
      <c r="V24" s="1371"/>
      <c r="W24" s="1370"/>
      <c r="X24" s="1370"/>
      <c r="Y24" s="1370"/>
      <c r="Z24" s="1377"/>
      <c r="AA24" s="1378"/>
      <c r="AB24" s="1378"/>
      <c r="AC24" s="1378"/>
      <c r="AD24" s="1378"/>
      <c r="AE24" s="1378"/>
      <c r="AF24" s="1378"/>
    </row>
    <row r="25" spans="1:37" ht="15" thickBot="1">
      <c r="A25" s="2797" t="s">
        <v>813</v>
      </c>
      <c r="B25" s="2819" t="s">
        <v>2911</v>
      </c>
      <c r="C25" s="930"/>
      <c r="D25" s="2749"/>
      <c r="E25" s="2749"/>
      <c r="F25" s="2820"/>
      <c r="G25" s="2749"/>
      <c r="H25" s="2749"/>
      <c r="I25" s="2749"/>
      <c r="J25" s="2750"/>
      <c r="K25" s="1370"/>
      <c r="N25" s="2821" t="s">
        <v>2912</v>
      </c>
      <c r="O25" s="1565"/>
      <c r="P25" s="1564">
        <f>SUMPRODUCT((地价!A3:A29=YEAR(G19)&amp;"-"&amp;ROUNDUP(MONTH(G19)/3,0))*(地价!AD2:AH2=N25)*(地价!AD3:AH29))</f>
        <v>0</v>
      </c>
      <c r="R25" s="1376"/>
      <c r="S25" s="1376"/>
      <c r="T25" s="1371"/>
      <c r="U25" s="1371"/>
      <c r="V25" s="1371"/>
      <c r="W25" s="1370"/>
      <c r="X25" s="1370"/>
      <c r="Y25" s="1370"/>
      <c r="Z25" s="1377"/>
      <c r="AA25" s="1378"/>
      <c r="AB25" s="1378"/>
      <c r="AC25" s="1378"/>
      <c r="AD25" s="1378"/>
    </row>
    <row r="26" spans="1:37" ht="14.4">
      <c r="A26" s="2822"/>
      <c r="B26" s="2809" t="s">
        <v>2913</v>
      </c>
      <c r="C26" s="206" t="e">
        <f>E29+SUM(E33:E39)</f>
        <v>#DIV/0!</v>
      </c>
      <c r="D26" s="2823"/>
      <c r="E26" s="2774"/>
      <c r="F26" s="2824"/>
      <c r="G26" s="2774"/>
      <c r="H26" s="2774"/>
      <c r="I26" s="2774"/>
      <c r="J26" s="2825"/>
      <c r="K26" s="1370"/>
      <c r="L26" s="2778" t="s">
        <v>2811</v>
      </c>
      <c r="M26" s="920" t="s">
        <v>2876</v>
      </c>
      <c r="N26" s="920" t="s">
        <v>2877</v>
      </c>
      <c r="O26" s="920" t="s">
        <v>2878</v>
      </c>
      <c r="P26" s="2779" t="s">
        <v>2879</v>
      </c>
      <c r="R26" s="1376"/>
      <c r="S26" s="1376"/>
      <c r="T26" s="1371"/>
      <c r="U26" s="1371"/>
      <c r="V26" s="1371"/>
      <c r="W26" s="1370"/>
      <c r="X26" s="1370"/>
      <c r="Y26" s="1370"/>
      <c r="Z26" s="1377"/>
      <c r="AA26" s="1378"/>
      <c r="AB26" s="1378"/>
      <c r="AC26" s="1378"/>
      <c r="AD26" s="1378"/>
    </row>
    <row r="27" spans="1:37" ht="15" thickBot="1">
      <c r="A27" s="2822"/>
      <c r="B27" s="2826" t="s">
        <v>2914</v>
      </c>
      <c r="C27" s="931" t="e">
        <f>E30+SUM(I33:I39)</f>
        <v>#DIV/0!</v>
      </c>
      <c r="D27" s="2827"/>
      <c r="E27" s="2828"/>
      <c r="F27" s="2829"/>
      <c r="G27" s="2828"/>
      <c r="H27" s="2828"/>
      <c r="I27" s="2828"/>
      <c r="J27" s="2830"/>
      <c r="K27" s="1370"/>
      <c r="L27" s="2782"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31"/>
      <c r="B28" s="2832" t="s">
        <v>2915</v>
      </c>
      <c r="C28" s="2833" t="s">
        <v>2916</v>
      </c>
      <c r="D28" s="2833" t="s">
        <v>2917</v>
      </c>
      <c r="E28" s="2834" t="s">
        <v>2918</v>
      </c>
      <c r="F28" s="2835"/>
      <c r="G28" s="2762"/>
      <c r="H28" s="2762"/>
      <c r="I28" s="2762"/>
      <c r="J28" s="2763"/>
      <c r="K28" s="1370"/>
      <c r="L28" s="2783"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2919</v>
      </c>
      <c r="C29" s="206" t="e">
        <f>ROUND(C5*C18*C19*C20*C21*C24,0)</f>
        <v>#DIV/0!</v>
      </c>
      <c r="D29" s="2838"/>
      <c r="E29" s="942" t="e">
        <f>ROUND(C29*D29/10000,0)</f>
        <v>#DIV/0!</v>
      </c>
      <c r="F29" s="2839" t="s">
        <v>2920</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8" thickBot="1">
      <c r="A30" s="2842"/>
      <c r="B30" s="2843" t="s">
        <v>2921</v>
      </c>
      <c r="C30" s="229" t="e">
        <f>ROUND(IF(E2="工业",C29*M39,C29*M38),0)</f>
        <v>#DIV/0!</v>
      </c>
      <c r="D30" s="2844"/>
      <c r="E30" s="942" t="e">
        <f>ROUND(C30*D30/10000,0)</f>
        <v>#DIV/0!</v>
      </c>
      <c r="F30" s="2845" t="s">
        <v>2922</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3.8">
      <c r="A31" s="2848"/>
      <c r="B31" s="2849" t="s">
        <v>2923</v>
      </c>
      <c r="C31" s="2850" t="s">
        <v>2924</v>
      </c>
      <c r="D31" s="2762"/>
      <c r="E31" s="2850"/>
      <c r="F31" s="2850"/>
      <c r="G31" s="2760" t="s">
        <v>2925</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36">
      <c r="A32" s="2836"/>
      <c r="B32" s="2852"/>
      <c r="C32" s="501" t="s">
        <v>2916</v>
      </c>
      <c r="D32" s="498" t="s">
        <v>2917</v>
      </c>
      <c r="E32" s="498" t="s">
        <v>2918</v>
      </c>
      <c r="F32" s="388" t="s">
        <v>2926</v>
      </c>
      <c r="G32" s="2853" t="s">
        <v>2916</v>
      </c>
      <c r="H32" s="2853" t="s">
        <v>2917</v>
      </c>
      <c r="I32" s="2853"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99" t="s">
        <v>2927</v>
      </c>
      <c r="B33" s="2854" t="s">
        <v>2928</v>
      </c>
      <c r="C33" s="206" t="e">
        <f>ROUND(D5*C19*C20*C24*F33,0)</f>
        <v>#DIV/0!</v>
      </c>
      <c r="D33" s="2838"/>
      <c r="E33" s="200" t="e">
        <f>ROUND(C33*D33/10000,0)</f>
        <v>#DIV/0!</v>
      </c>
      <c r="F33" s="200">
        <f>SUMIF(修正!A45:A56,G2,修正!B45:B56)</f>
        <v>0</v>
      </c>
      <c r="G33" s="200" t="e">
        <f t="shared" ref="G33" si="6">ROUND(IF(E2="工业",C33*$M$39,C33*$M$38),0)</f>
        <v>#DIV/0!</v>
      </c>
      <c r="H33" s="200">
        <f>D33</f>
        <v>0</v>
      </c>
      <c r="I33" s="200" t="e">
        <f>ROUND(G33*H33/10000,0)</f>
        <v>#DIV/0!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00"/>
      <c r="B34" s="2766" t="s">
        <v>2929</v>
      </c>
      <c r="C34" s="206" t="e">
        <f>ROUND(D5*C19*C20*C24*F34,0)</f>
        <v>#DIV/0!</v>
      </c>
      <c r="D34" s="283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0"/>
      <c r="B35" s="2766" t="s">
        <v>2930</v>
      </c>
      <c r="C35" s="206" t="e">
        <f>ROUND(D5*C19*C20*C24*F35,0)</f>
        <v>#DIV/0!</v>
      </c>
      <c r="D35" s="2838"/>
      <c r="E35" s="200" t="e">
        <f t="shared" si="7"/>
        <v>#DIV/0!</v>
      </c>
      <c r="F35" s="200">
        <f>SUMIF(修正!A45:A56,G2,修正!D45:D56)</f>
        <v>0</v>
      </c>
      <c r="G35" s="200" t="e">
        <f>ROUND(IF(E2="工业",C35*$M$39,C35*$M$38),0)</f>
        <v>#DIV/0!</v>
      </c>
      <c r="H35" s="200">
        <f t="shared" si="8"/>
        <v>0</v>
      </c>
      <c r="I35" s="200" t="e">
        <f t="shared" si="9"/>
        <v>#DIV/0!</v>
      </c>
      <c r="J35" s="2855"/>
      <c r="K35" s="1370"/>
      <c r="L35" s="1370"/>
      <c r="M35" s="1370"/>
      <c r="N35" s="1370"/>
      <c r="O35" s="1370"/>
      <c r="P35" s="1370"/>
      <c r="Q35" s="1370"/>
      <c r="R35" s="1370"/>
      <c r="S35" s="1370"/>
      <c r="T35" s="1370"/>
      <c r="U35" s="1370"/>
      <c r="V35" s="1370"/>
      <c r="W35" s="1370"/>
      <c r="X35" s="1370"/>
      <c r="Y35" s="1370"/>
      <c r="Z35" s="1371"/>
    </row>
    <row r="36" spans="1:37" ht="13.8" thickBot="1">
      <c r="A36" s="3301"/>
      <c r="B36" s="2766" t="s">
        <v>2931</v>
      </c>
      <c r="C36" s="206" t="e">
        <f>ROUND(D5*C19*C20*C24*F36,0)</f>
        <v>#DIV/0!</v>
      </c>
      <c r="D36" s="2838"/>
      <c r="E36" s="200" t="e">
        <f t="shared" si="7"/>
        <v>#DIV/0!</v>
      </c>
      <c r="F36" s="200">
        <f>SUMIF(修正!A45:A56,G2,修正!E45:E56)</f>
        <v>0</v>
      </c>
      <c r="G36" s="200" t="e">
        <f>ROUND(IF(E2="工业",C36*$M$39,C36*$M$38),0)</f>
        <v>#DIV/0!</v>
      </c>
      <c r="H36" s="200">
        <f t="shared" si="8"/>
        <v>0</v>
      </c>
      <c r="I36" s="200" t="e">
        <f t="shared" si="9"/>
        <v>#DIV/0!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2932</v>
      </c>
      <c r="C37" s="200" t="e">
        <f>ROUND(D5*C19*C20*C24*F37,0)</f>
        <v>#DIV/0!</v>
      </c>
      <c r="D37" s="2838"/>
      <c r="E37" s="200" t="e">
        <f t="shared" si="7"/>
        <v>#DIV/0!</v>
      </c>
      <c r="F37" s="206">
        <f>SUMIF(修正!A45:A56,G2,修正!F45:F56)</f>
        <v>0</v>
      </c>
      <c r="G37" s="200" t="e">
        <f>ROUND(IF(E2="工业",C37*$M$39,C37*$M$38),0)</f>
        <v>#DIV/0!</v>
      </c>
      <c r="H37" s="200">
        <f t="shared" si="8"/>
        <v>0</v>
      </c>
      <c r="I37" s="200" t="e">
        <f t="shared" si="9"/>
        <v>#DIV/0!</v>
      </c>
      <c r="J37" s="2855"/>
      <c r="K37" s="1370"/>
      <c r="L37" s="2857" t="s">
        <v>2933</v>
      </c>
      <c r="M37" s="2858"/>
      <c r="N37" s="1370"/>
      <c r="O37" s="1370"/>
      <c r="P37" s="1370"/>
      <c r="Q37" s="1370"/>
      <c r="R37" s="1370"/>
      <c r="S37" s="1370"/>
      <c r="T37" s="1370"/>
      <c r="U37" s="1370"/>
      <c r="V37" s="1370"/>
      <c r="W37" s="1370"/>
      <c r="X37" s="1370"/>
      <c r="Y37" s="1370"/>
      <c r="Z37" s="1371"/>
    </row>
    <row r="38" spans="1:37">
      <c r="A38" s="2856"/>
      <c r="B38" s="2766" t="s">
        <v>2934</v>
      </c>
      <c r="C38" s="200" t="e">
        <f>ROUND(D5*C19*C41*C24*F38,0)</f>
        <v>#DIV/0!</v>
      </c>
      <c r="D38" s="2838"/>
      <c r="E38" s="200" t="e">
        <f t="shared" si="7"/>
        <v>#DIV/0!</v>
      </c>
      <c r="F38" s="206">
        <f>SUMIF(修正!A45:A56,G2,修正!G45:G56)</f>
        <v>0</v>
      </c>
      <c r="G38" s="200" t="e">
        <f>ROUND(IF(E2="工业",C38*$M$39,C38*$M$38),0)</f>
        <v>#DIV/0!</v>
      </c>
      <c r="H38" s="200">
        <f t="shared" si="8"/>
        <v>0</v>
      </c>
      <c r="I38" s="200" t="e">
        <f t="shared" si="9"/>
        <v>#DIV/0!</v>
      </c>
      <c r="J38" s="2855"/>
      <c r="K38" s="1370"/>
      <c r="L38" s="1887" t="s">
        <v>2935</v>
      </c>
      <c r="M38" s="2859">
        <v>0.25</v>
      </c>
      <c r="N38" s="1370"/>
      <c r="O38" s="1370"/>
      <c r="P38" s="1370"/>
      <c r="Q38" s="1370"/>
      <c r="R38" s="1370"/>
      <c r="S38" s="1370"/>
      <c r="T38" s="1370"/>
      <c r="U38" s="1370"/>
      <c r="V38" s="1370"/>
      <c r="W38" s="1370"/>
      <c r="X38" s="1370"/>
      <c r="Y38" s="1370"/>
      <c r="Z38" s="1371"/>
    </row>
    <row r="39" spans="1:37" ht="13.8" thickBot="1">
      <c r="A39" s="2842"/>
      <c r="B39" s="2860" t="s">
        <v>2936</v>
      </c>
      <c r="C39" s="229" t="e">
        <f>ROUND(D5*C19*C41*C24*F39,0)</f>
        <v>#DIV/0!</v>
      </c>
      <c r="D39" s="2844"/>
      <c r="E39" s="229" t="e">
        <f t="shared" si="7"/>
        <v>#DIV/0!</v>
      </c>
      <c r="F39" s="932">
        <f>SUMIF(修正!A45:A56,G2,修正!H45:H56)</f>
        <v>0</v>
      </c>
      <c r="G39" s="229" t="e">
        <f>ROUND(IF(E2="工业",C39*$M$39,C39*$M$38),0)</f>
        <v>#DIV/0!</v>
      </c>
      <c r="H39" s="229">
        <f t="shared" si="8"/>
        <v>0</v>
      </c>
      <c r="I39" s="229" t="e">
        <f t="shared" si="9"/>
        <v>#DIV/0!</v>
      </c>
      <c r="J39" s="2861"/>
      <c r="K39" s="1370"/>
      <c r="L39" s="2862" t="s">
        <v>2879</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1" t="s">
        <v>3044</v>
      </c>
      <c r="C41" s="388" t="e">
        <f>ROUND(POWER(1+E41,H41-G41)*(POWER(1+E41,G41)-1)/(POWER(1+E41,H41)-1),4)</f>
        <v>#DIV/0!</v>
      </c>
      <c r="D41" s="200" t="s">
        <v>2886</v>
      </c>
      <c r="E41" s="2930">
        <f>G20</f>
        <v>0</v>
      </c>
      <c r="F41" s="200" t="s">
        <v>2895</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 thickBot="1">
      <c r="A45" s="2865" t="s">
        <v>2937</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4.4">
      <c r="A46" s="2867" t="s">
        <v>2938</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5.2">
      <c r="A47" s="2871" t="s">
        <v>2939</v>
      </c>
      <c r="B47" s="1809" t="s">
        <v>2940</v>
      </c>
      <c r="C47" s="1809" t="s">
        <v>2941</v>
      </c>
      <c r="D47" s="1809" t="s">
        <v>2942</v>
      </c>
      <c r="E47" s="819" t="s">
        <v>2943</v>
      </c>
      <c r="F47" s="2872" t="s">
        <v>2944</v>
      </c>
      <c r="G47" s="1809" t="s">
        <v>754</v>
      </c>
      <c r="H47" s="2873" t="s">
        <v>2945</v>
      </c>
      <c r="I47" s="1809" t="s">
        <v>2946</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52.8">
      <c r="A48" s="2871" t="s">
        <v>2947</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71" t="s">
        <v>2948</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1" t="s">
        <v>2949</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1" t="s">
        <v>2950</v>
      </c>
      <c r="B51" s="2876" t="s">
        <v>2951</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1" t="s">
        <v>2952</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1" t="s">
        <v>2953</v>
      </c>
      <c r="B53" s="2877" t="s">
        <v>2954</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8" t="s">
        <v>2955</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8" t="s">
        <v>2956</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9" t="s">
        <v>2957</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7" t="s">
        <v>2958</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1" t="s">
        <v>2939</v>
      </c>
      <c r="B58" s="1809"/>
      <c r="C58" s="1809" t="s">
        <v>2941</v>
      </c>
      <c r="D58" s="1809" t="s">
        <v>2942</v>
      </c>
      <c r="E58" s="819" t="s">
        <v>2943</v>
      </c>
      <c r="F58" s="2872" t="s">
        <v>2959</v>
      </c>
      <c r="G58" s="1809" t="s">
        <v>754</v>
      </c>
      <c r="H58" s="2873" t="s">
        <v>2945</v>
      </c>
      <c r="I58" s="1809" t="s">
        <v>2946</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2.8">
      <c r="A59" s="2871" t="s">
        <v>2960</v>
      </c>
      <c r="B59" s="2874" t="str">
        <f>估价对象房地状况!C17</f>
        <v>估价对象位于XX商圈，周边办公楼项目较多，入驻率高，办公集聚程度较好</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71" t="s">
        <v>2948</v>
      </c>
      <c r="B60" s="2875" t="str">
        <f>估价对象房地状况!C18</f>
        <v>估价对象周边道路状况、公共交通通达情况、停车便捷程度，综合评价交通便捷度较好</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1" t="s">
        <v>2949</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1" t="s">
        <v>2950</v>
      </c>
      <c r="B62" s="2876" t="s">
        <v>2951</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1" t="s">
        <v>2952</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1" t="s">
        <v>2953</v>
      </c>
      <c r="B64" s="2877" t="s">
        <v>2954</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71" t="s">
        <v>2955</v>
      </c>
      <c r="B65" s="1725" t="str">
        <f>估价对象房地状况!C21</f>
        <v>估价对象所在区域公共配套设施齐备情况</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71" t="s">
        <v>2956</v>
      </c>
      <c r="B66" s="1725" t="str">
        <f>估价对象房地状况!C22</f>
        <v>估价对象所在区域基础设施水平</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9" t="s">
        <v>2957</v>
      </c>
      <c r="B67" s="2881" t="str">
        <f>估价对象房地状况!C20</f>
        <v>区域自然环境：；人文环境；综合评价环境状况一般</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7" t="s">
        <v>2961</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1" t="s">
        <v>2939</v>
      </c>
      <c r="B69" s="1809"/>
      <c r="C69" s="1809" t="s">
        <v>2941</v>
      </c>
      <c r="D69" s="1809" t="s">
        <v>2942</v>
      </c>
      <c r="E69" s="819" t="s">
        <v>2943</v>
      </c>
      <c r="F69" s="2872" t="s">
        <v>2959</v>
      </c>
      <c r="G69" s="1809" t="s">
        <v>754</v>
      </c>
      <c r="H69" s="2873" t="s">
        <v>2945</v>
      </c>
      <c r="I69" s="1809" t="s">
        <v>2946</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66">
      <c r="A70" s="2871" t="s">
        <v>2962</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71" t="s">
        <v>2948</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2949</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1" t="s">
        <v>2963</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71" t="s">
        <v>2955</v>
      </c>
      <c r="B74" s="1725"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71" t="s">
        <v>2956</v>
      </c>
      <c r="B75" s="1725"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36">
      <c r="A76" s="2871" t="s">
        <v>2953</v>
      </c>
      <c r="B76" s="2877" t="s">
        <v>2954</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9.6">
      <c r="A77" s="2871" t="s">
        <v>2957</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36.6" thickBot="1">
      <c r="A78" s="2879" t="s">
        <v>2964</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4.4">
      <c r="A79" s="2867" t="s">
        <v>2965</v>
      </c>
      <c r="B79" s="2868">
        <f>1+E81</f>
        <v>1</v>
      </c>
      <c r="C79" s="814"/>
      <c r="D79" s="814"/>
      <c r="E79" s="815"/>
      <c r="F79" s="2870"/>
      <c r="G79" s="6"/>
      <c r="H79" s="6"/>
      <c r="I79" s="6"/>
      <c r="J79" s="7"/>
      <c r="K79" s="7"/>
      <c r="L79" s="7"/>
      <c r="M79" s="7"/>
      <c r="N79" s="7"/>
      <c r="Z79" s="2721"/>
      <c r="AA79" s="2789"/>
      <c r="AG79" s="1372"/>
      <c r="AK79" s="2789"/>
    </row>
    <row r="80" spans="1:37" ht="25.2">
      <c r="A80" s="2871" t="s">
        <v>2939</v>
      </c>
      <c r="B80" s="1809"/>
      <c r="C80" s="1809" t="s">
        <v>2941</v>
      </c>
      <c r="D80" s="1809" t="s">
        <v>2942</v>
      </c>
      <c r="E80" s="819" t="s">
        <v>2943</v>
      </c>
      <c r="F80" s="2872" t="s">
        <v>2959</v>
      </c>
      <c r="G80" s="1809" t="s">
        <v>754</v>
      </c>
      <c r="H80" s="2873" t="s">
        <v>2945</v>
      </c>
      <c r="I80" s="1809" t="s">
        <v>2946</v>
      </c>
      <c r="J80" s="603" t="s">
        <v>2595</v>
      </c>
      <c r="K80" s="603" t="s">
        <v>2596</v>
      </c>
      <c r="L80" s="603" t="s">
        <v>2597</v>
      </c>
      <c r="M80" s="603" t="s">
        <v>2598</v>
      </c>
      <c r="N80" s="603" t="s">
        <v>2599</v>
      </c>
      <c r="Z80" s="2721"/>
      <c r="AA80" s="2789"/>
      <c r="AG80" s="1372"/>
      <c r="AK80" s="2789"/>
    </row>
    <row r="81" spans="1:37" ht="39.6">
      <c r="A81" s="2871" t="s">
        <v>2966</v>
      </c>
      <c r="B81" s="2875" t="str">
        <f>估价对象房地状况!G15</f>
        <v>估价对象位于XX开发区，园区建设成熟度XX，产业集聚程度XX</v>
      </c>
      <c r="C81" s="2771"/>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1"/>
      <c r="AA81" s="2789"/>
      <c r="AG81" s="1372"/>
      <c r="AK81" s="2789"/>
    </row>
    <row r="82" spans="1:37" ht="66">
      <c r="A82" s="2871" t="s">
        <v>2948</v>
      </c>
      <c r="B82" s="2875" t="str">
        <f>估价对象房地状况!G16</f>
        <v>估价对象周边道路状况、公共交通通达情况、停车便捷程度，综合评价交通便捷度较好</v>
      </c>
      <c r="C82" s="2771"/>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21"/>
      <c r="AA82" s="2789"/>
      <c r="AG82" s="1372"/>
      <c r="AK82" s="2789"/>
    </row>
    <row r="83" spans="1:37" ht="24">
      <c r="A83" s="2871" t="s">
        <v>2949</v>
      </c>
      <c r="B83" s="2875">
        <f>估价对象房地状况!G17</f>
        <v>0</v>
      </c>
      <c r="C83" s="2771"/>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21"/>
      <c r="AA83" s="2789"/>
      <c r="AG83" s="1372"/>
      <c r="AK83" s="2789"/>
    </row>
    <row r="84" spans="1:37" ht="13.8">
      <c r="A84" s="2871" t="s">
        <v>2963</v>
      </c>
      <c r="B84" s="2875">
        <f>估价对象房地状况!G22</f>
        <v>0</v>
      </c>
      <c r="C84" s="2771"/>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21"/>
      <c r="AA84" s="2789"/>
      <c r="AG84" s="1372"/>
      <c r="AK84" s="2789"/>
    </row>
    <row r="85" spans="1:37" ht="26.4">
      <c r="A85" s="2871" t="s">
        <v>2955</v>
      </c>
      <c r="B85" s="1725" t="str">
        <f>估价对象房地状况!G19</f>
        <v>估价对象所在区域公共配套设施齐备情况</v>
      </c>
      <c r="C85" s="2771"/>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21"/>
      <c r="AA85" s="2789"/>
      <c r="AG85" s="1372"/>
      <c r="AK85" s="2789"/>
    </row>
    <row r="86" spans="1:37" ht="26.4">
      <c r="A86" s="2871" t="s">
        <v>2956</v>
      </c>
      <c r="B86" s="1725" t="str">
        <f>估价对象房地状况!G20</f>
        <v>估价对象所在区域基础设施水平</v>
      </c>
      <c r="C86" s="2771"/>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21"/>
      <c r="AA86" s="2789"/>
      <c r="AG86" s="1372"/>
      <c r="AK86" s="2789"/>
    </row>
    <row r="87" spans="1:37" ht="36">
      <c r="A87" s="2871" t="s">
        <v>2953</v>
      </c>
      <c r="B87" s="2877" t="s">
        <v>2967</v>
      </c>
      <c r="C87" s="2771"/>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21"/>
      <c r="AA87" s="2789"/>
      <c r="AG87" s="1372"/>
      <c r="AK87" s="2789"/>
    </row>
    <row r="88" spans="1:37" ht="53.4" thickBot="1">
      <c r="A88" s="2879" t="s">
        <v>2968</v>
      </c>
      <c r="B88" s="2884" t="str">
        <f>估价对象房地状况!G18</f>
        <v>该园区内是否有污染型企业，绿化情况，卫生条件，整体环境状况判断</v>
      </c>
      <c r="C88" s="2771"/>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21"/>
      <c r="AA88" s="2789"/>
      <c r="AG88" s="1372"/>
      <c r="AK88" s="2789"/>
    </row>
    <row r="90" spans="1:37">
      <c r="A90" s="3293" t="s">
        <v>2969</v>
      </c>
      <c r="B90" s="3293"/>
      <c r="C90" s="3293"/>
      <c r="D90" s="3293"/>
      <c r="E90" s="3293"/>
      <c r="F90" s="3293"/>
      <c r="G90" s="3293"/>
      <c r="H90" s="3293"/>
      <c r="I90" s="3293"/>
      <c r="J90" s="3293"/>
      <c r="K90" s="2885"/>
      <c r="L90" s="2885"/>
      <c r="M90" s="2885"/>
      <c r="N90" s="2885"/>
    </row>
    <row r="91" spans="1:37">
      <c r="A91" s="3295" t="s">
        <v>2970</v>
      </c>
      <c r="B91" s="3295" t="s">
        <v>2971</v>
      </c>
      <c r="C91" s="2839" t="s">
        <v>2972</v>
      </c>
      <c r="D91" s="2840"/>
      <c r="E91" s="2840"/>
      <c r="F91" s="2840"/>
      <c r="G91" s="2840"/>
      <c r="H91" s="2840"/>
      <c r="I91" s="2840"/>
      <c r="J91" s="2886"/>
      <c r="K91" s="2887"/>
      <c r="L91" s="2887"/>
      <c r="M91" s="2887"/>
      <c r="N91" s="2887"/>
    </row>
    <row r="92" spans="1:37">
      <c r="A92" s="3295"/>
      <c r="B92" s="3295"/>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96" t="s">
        <v>2973</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97"/>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97"/>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97"/>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97"/>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97"/>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97"/>
      <c r="B99" s="2888" t="s">
        <v>2854</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98"/>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96" t="s">
        <v>2974</v>
      </c>
      <c r="B101" s="2892" t="s">
        <v>2975</v>
      </c>
      <c r="C101" s="2893">
        <f>$G$3</f>
        <v>1.9</v>
      </c>
      <c r="D101" s="2893">
        <f t="shared" ref="D101:N101" si="31">$G$3</f>
        <v>1.9</v>
      </c>
      <c r="E101" s="2893">
        <f t="shared" si="31"/>
        <v>1.9</v>
      </c>
      <c r="F101" s="2893">
        <f t="shared" si="31"/>
        <v>1.9</v>
      </c>
      <c r="G101" s="2893">
        <f t="shared" si="31"/>
        <v>1.9</v>
      </c>
      <c r="H101" s="2893">
        <f t="shared" si="31"/>
        <v>1.9</v>
      </c>
      <c r="I101" s="2893">
        <f t="shared" si="31"/>
        <v>1.9</v>
      </c>
      <c r="J101" s="2893">
        <f t="shared" si="31"/>
        <v>1.9</v>
      </c>
      <c r="K101" s="2893">
        <f t="shared" si="31"/>
        <v>1.9</v>
      </c>
      <c r="L101" s="2893">
        <f t="shared" si="31"/>
        <v>1.9</v>
      </c>
      <c r="M101" s="2893">
        <f t="shared" si="31"/>
        <v>1.9</v>
      </c>
      <c r="N101" s="2893">
        <f t="shared" si="31"/>
        <v>1.9</v>
      </c>
    </row>
    <row r="102" spans="1:14">
      <c r="A102" s="3297"/>
      <c r="B102" s="2888">
        <v>1</v>
      </c>
      <c r="C102" s="2889">
        <f>1.9362/C101</f>
        <v>1.0190526315789474</v>
      </c>
      <c r="D102" s="2889">
        <f>1.9362/D101</f>
        <v>1.0190526315789474</v>
      </c>
      <c r="E102" s="2889">
        <f>1.8629/E101</f>
        <v>0.98047368421052639</v>
      </c>
      <c r="F102" s="2889">
        <f>1.8629/F101</f>
        <v>0.98047368421052639</v>
      </c>
      <c r="G102" s="2889">
        <f>1.8629/G101</f>
        <v>0.98047368421052639</v>
      </c>
      <c r="H102" s="2889">
        <f>1.8629/H101</f>
        <v>0.98047368421052639</v>
      </c>
      <c r="I102" s="2889">
        <f>1.8629/I101</f>
        <v>0.98047368421052639</v>
      </c>
      <c r="J102" s="2889">
        <f>1.942/J101</f>
        <v>1.0221052631578948</v>
      </c>
      <c r="K102" s="2889">
        <f>1.942/K101</f>
        <v>1.0221052631578948</v>
      </c>
      <c r="L102" s="2889">
        <f>1.942/L101</f>
        <v>1.0221052631578948</v>
      </c>
      <c r="M102" s="2889">
        <f>1.942/M101</f>
        <v>1.0221052631578948</v>
      </c>
      <c r="N102" s="2889">
        <f>1.942/N101</f>
        <v>1.0221052631578948</v>
      </c>
    </row>
    <row r="103" spans="1:14">
      <c r="A103" s="3297"/>
      <c r="B103" s="2888">
        <v>2</v>
      </c>
      <c r="C103" s="2889">
        <f>1.4198/C101</f>
        <v>0.74726315789473685</v>
      </c>
      <c r="D103" s="2889">
        <f>1.4198/D101</f>
        <v>0.74726315789473685</v>
      </c>
      <c r="E103" s="2889">
        <f>1.3372/E101</f>
        <v>0.70378947368421052</v>
      </c>
      <c r="F103" s="2889">
        <f>1.3372/F101</f>
        <v>0.70378947368421052</v>
      </c>
      <c r="G103" s="2889">
        <f>1.3372/G101</f>
        <v>0.70378947368421052</v>
      </c>
      <c r="H103" s="2889">
        <f>1.3372/H101</f>
        <v>0.70378947368421052</v>
      </c>
      <c r="I103" s="2889">
        <f>1.3372/I101</f>
        <v>0.70378947368421052</v>
      </c>
      <c r="J103" s="2889">
        <f>1.2799/J101</f>
        <v>0.67363157894736847</v>
      </c>
      <c r="K103" s="2889">
        <f>1.2799/K101</f>
        <v>0.67363157894736847</v>
      </c>
      <c r="L103" s="2889">
        <f>1.2799/L101</f>
        <v>0.67363157894736847</v>
      </c>
      <c r="M103" s="2889">
        <f>1.2799/M101</f>
        <v>0.67363157894736847</v>
      </c>
      <c r="N103" s="2889">
        <f>1.2799/N101</f>
        <v>0.67363157894736847</v>
      </c>
    </row>
    <row r="104" spans="1:14">
      <c r="A104" s="3297"/>
      <c r="B104" s="2888">
        <v>3</v>
      </c>
      <c r="C104" s="2889">
        <f>1.1594/C101</f>
        <v>0.61021052631578954</v>
      </c>
      <c r="D104" s="2889">
        <f>1.1594/D101</f>
        <v>0.61021052631578954</v>
      </c>
      <c r="E104" s="2889">
        <f>1.0788/E101</f>
        <v>0.56778947368421051</v>
      </c>
      <c r="F104" s="2889">
        <f>1.0788/F101</f>
        <v>0.56778947368421051</v>
      </c>
      <c r="G104" s="2889">
        <f>1.0788/G101</f>
        <v>0.56778947368421051</v>
      </c>
      <c r="H104" s="2889">
        <f>1.0788/H101</f>
        <v>0.56778947368421051</v>
      </c>
      <c r="I104" s="2889">
        <f>1.0788/I101</f>
        <v>0.56778947368421051</v>
      </c>
      <c r="J104" s="2889">
        <f>1.0072/J101</f>
        <v>0.53010526315789486</v>
      </c>
      <c r="K104" s="2889">
        <f>1.0072/K101</f>
        <v>0.53010526315789486</v>
      </c>
      <c r="L104" s="2889">
        <f>1.0072/L101</f>
        <v>0.53010526315789486</v>
      </c>
      <c r="M104" s="2889">
        <f>1.0072/M101</f>
        <v>0.53010526315789486</v>
      </c>
      <c r="N104" s="2889">
        <f>1.0072/N101</f>
        <v>0.53010526315789486</v>
      </c>
    </row>
    <row r="105" spans="1:14">
      <c r="A105" s="3297"/>
      <c r="B105" s="2888">
        <v>4</v>
      </c>
      <c r="C105" s="2889">
        <f>0.9622/C101</f>
        <v>0.50642105263157899</v>
      </c>
      <c r="D105" s="2889">
        <f>0.9622/D101</f>
        <v>0.50642105263157899</v>
      </c>
      <c r="E105" s="2889">
        <f>0.8656/E101</f>
        <v>0.45557894736842108</v>
      </c>
      <c r="F105" s="2889">
        <f>0.8656/F101</f>
        <v>0.45557894736842108</v>
      </c>
      <c r="G105" s="2889">
        <f>0.8656/G101</f>
        <v>0.45557894736842108</v>
      </c>
      <c r="H105" s="2889">
        <f>0.8656/H101</f>
        <v>0.45557894736842108</v>
      </c>
      <c r="I105" s="2889">
        <f>0.8656/I101</f>
        <v>0.45557894736842108</v>
      </c>
      <c r="J105" s="2889">
        <f>0.7525/J101</f>
        <v>0.39605263157894738</v>
      </c>
      <c r="K105" s="2889">
        <f>0.7525/K101</f>
        <v>0.39605263157894738</v>
      </c>
      <c r="L105" s="2889">
        <f>0.7525/L101</f>
        <v>0.39605263157894738</v>
      </c>
      <c r="M105" s="2889">
        <f>0.7525/M101</f>
        <v>0.39605263157894738</v>
      </c>
      <c r="N105" s="2889">
        <f>0.7525/N101</f>
        <v>0.39605263157894738</v>
      </c>
    </row>
    <row r="106" spans="1:14">
      <c r="A106" s="3297"/>
      <c r="B106" s="2888">
        <v>5</v>
      </c>
      <c r="C106" s="2889">
        <f>0.8417/C101</f>
        <v>0.443</v>
      </c>
      <c r="D106" s="2889">
        <f>0.8417/D101</f>
        <v>0.443</v>
      </c>
      <c r="E106" s="2889">
        <f>0.7371/E101</f>
        <v>0.38794736842105265</v>
      </c>
      <c r="F106" s="2889">
        <f>0.7371/F101</f>
        <v>0.38794736842105265</v>
      </c>
      <c r="G106" s="2889">
        <f>0.7371/G101</f>
        <v>0.38794736842105265</v>
      </c>
      <c r="H106" s="2889">
        <f>0.7371/H101</f>
        <v>0.38794736842105265</v>
      </c>
      <c r="I106" s="2889">
        <f>0.7371/I101</f>
        <v>0.38794736842105265</v>
      </c>
      <c r="J106" s="2889">
        <f>0.5659/J101</f>
        <v>0.29784210526315791</v>
      </c>
      <c r="K106" s="2889">
        <f>0.5659/K101</f>
        <v>0.29784210526315791</v>
      </c>
      <c r="L106" s="2889">
        <f>0.5659/L101</f>
        <v>0.29784210526315791</v>
      </c>
      <c r="M106" s="2889">
        <f>0.5659/M101</f>
        <v>0.29784210526315791</v>
      </c>
      <c r="N106" s="2889">
        <f>0.5659/N101</f>
        <v>0.29784210526315791</v>
      </c>
    </row>
    <row r="107" spans="1:14">
      <c r="A107" s="3297"/>
      <c r="B107" s="2888">
        <v>6</v>
      </c>
      <c r="C107" s="2889">
        <f>0.7608/C101</f>
        <v>0.40042105263157896</v>
      </c>
      <c r="D107" s="2889">
        <f>0.7608/D101</f>
        <v>0.40042105263157896</v>
      </c>
      <c r="E107" s="2889">
        <f>0.6482/E101</f>
        <v>0.3411578947368421</v>
      </c>
      <c r="F107" s="2889">
        <f>0.6482/F101</f>
        <v>0.3411578947368421</v>
      </c>
      <c r="G107" s="2889">
        <f>0.6482/G101</f>
        <v>0.3411578947368421</v>
      </c>
      <c r="H107" s="2889">
        <f>0.6482/H101</f>
        <v>0.3411578947368421</v>
      </c>
      <c r="I107" s="2889">
        <f>0.6482/I101</f>
        <v>0.3411578947368421</v>
      </c>
      <c r="J107" s="2889">
        <f>0.4525/J101</f>
        <v>0.23815789473684212</v>
      </c>
      <c r="K107" s="2889">
        <f>0.4525/K101</f>
        <v>0.23815789473684212</v>
      </c>
      <c r="L107" s="2889">
        <f>0.4525/L101</f>
        <v>0.23815789473684212</v>
      </c>
      <c r="M107" s="2889">
        <f>0.4525/M101</f>
        <v>0.23815789473684212</v>
      </c>
      <c r="N107" s="2889">
        <f>0.4525/N101</f>
        <v>0.23815789473684212</v>
      </c>
    </row>
    <row r="108" spans="1:14">
      <c r="A108" s="3297"/>
      <c r="B108" s="3154" t="s">
        <v>2976</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98"/>
      <c r="B109" s="3155"/>
      <c r="C109" s="2891">
        <f>(-0.163*(C108^2)-0.59*C108+7617)*(10^(-4))/C101</f>
        <v>0.4008947368421053</v>
      </c>
      <c r="D109" s="2891">
        <f>(-0.163*(D108^2)-0.59*D108+7617)*(10^(-4))/D101</f>
        <v>0.4008947368421053</v>
      </c>
      <c r="E109" s="2891">
        <f>(-0.161*(E108^2)-7.509*E108+6533)*(10^(-4))/E101</f>
        <v>0.34384210526315789</v>
      </c>
      <c r="F109" s="2891">
        <f>(-0.161*(F108^2)-7.509*F108+6533)*(10^(-4))/F101</f>
        <v>0.34384210526315789</v>
      </c>
      <c r="G109" s="2891">
        <f>(-0.161*(G108^2)-7.509*G108+6533)*(10^(-4))/G101</f>
        <v>0.34384210526315789</v>
      </c>
      <c r="H109" s="2891">
        <f>(-0.161*(H108^2)-7.509*H108+6533)*(10^(-4))/H101</f>
        <v>0.34384210526315789</v>
      </c>
      <c r="I109" s="2891">
        <f>(-0.161*(I108^2)-7.509*I108+6533)*(10^(-4))/I101</f>
        <v>0.34384210526315789</v>
      </c>
      <c r="J109" s="2891">
        <f>(-0.214*(J108^2)-21.991*J108+4665)*(10^(-4))/J101</f>
        <v>0.2455263157894737</v>
      </c>
      <c r="K109" s="2891">
        <f>(-0.214*(K108^2)-21.991*K108+4665)*(10^(-4))/K101</f>
        <v>0.2455263157894737</v>
      </c>
      <c r="L109" s="2891">
        <f>(-0.214*(L108^2)-21.991*L108+4665)*(10^(-4))/L101</f>
        <v>0.2455263157894737</v>
      </c>
      <c r="M109" s="2891">
        <f>(-0.214*(M108^2)-21.991*M108+4665)*(10^(-4))/M101</f>
        <v>0.2455263157894737</v>
      </c>
      <c r="N109" s="2891">
        <f>(-0.214*(N108^2)-21.991*N108+4665)*(10^(-4))/N101</f>
        <v>0.2455263157894737</v>
      </c>
    </row>
    <row r="110" spans="1:14">
      <c r="A110" s="3294" t="s">
        <v>2977</v>
      </c>
      <c r="B110" s="3294"/>
      <c r="C110" s="3294"/>
      <c r="D110" s="3294"/>
      <c r="E110" s="3294"/>
      <c r="F110" s="3294"/>
      <c r="G110" s="3294"/>
      <c r="H110" s="3294"/>
      <c r="I110" s="3294"/>
      <c r="J110" s="3294"/>
      <c r="K110" s="2894"/>
      <c r="L110" s="2894"/>
      <c r="M110" s="2894"/>
      <c r="N110" s="2894"/>
    </row>
    <row r="112" spans="1:14" ht="13.8" thickBot="1"/>
    <row r="113" spans="1:13" ht="25.8" thickBot="1">
      <c r="A113" s="903" t="s">
        <v>2978</v>
      </c>
      <c r="B113" s="1287">
        <f>G3</f>
        <v>1.9</v>
      </c>
      <c r="C113" s="904" t="s">
        <v>2979</v>
      </c>
      <c r="D113" s="905">
        <f>SUMPRODUCT((A115:A118=F113)*(B114:M114=H113)*B115:M118)</f>
        <v>0</v>
      </c>
      <c r="E113" s="2725" t="s">
        <v>2811</v>
      </c>
      <c r="F113" s="2896">
        <f>E2</f>
        <v>0</v>
      </c>
      <c r="G113" s="2725" t="s">
        <v>2812</v>
      </c>
      <c r="H113" s="2896">
        <f>G2</f>
        <v>0</v>
      </c>
      <c r="I113" s="2725"/>
      <c r="J113" s="2897"/>
      <c r="K113" s="2897"/>
      <c r="L113" s="2897"/>
      <c r="M113" s="2897"/>
    </row>
    <row r="114" spans="1:13">
      <c r="A114" s="908"/>
      <c r="B114" s="2898" t="s">
        <v>2980</v>
      </c>
      <c r="C114" s="2898" t="s">
        <v>2981</v>
      </c>
      <c r="D114" s="2898" t="s">
        <v>2982</v>
      </c>
      <c r="E114" s="2899" t="s">
        <v>2983</v>
      </c>
      <c r="F114" s="2899" t="s">
        <v>2984</v>
      </c>
      <c r="G114" s="2899" t="s">
        <v>2985</v>
      </c>
      <c r="H114" s="2900" t="s">
        <v>2986</v>
      </c>
      <c r="I114" s="2900" t="s">
        <v>2987</v>
      </c>
      <c r="J114" s="2901" t="s">
        <v>2988</v>
      </c>
      <c r="K114" s="2901" t="s">
        <v>2989</v>
      </c>
      <c r="L114" s="2901" t="s">
        <v>2990</v>
      </c>
      <c r="M114" s="2902" t="s">
        <v>2991</v>
      </c>
    </row>
    <row r="115" spans="1:13">
      <c r="A115" s="909" t="s">
        <v>2876</v>
      </c>
      <c r="B115" s="910">
        <f>ROUND(0.9335-0.0094*B113,4)</f>
        <v>0.91559999999999997</v>
      </c>
      <c r="C115" s="910">
        <f>B115</f>
        <v>0.91559999999999997</v>
      </c>
      <c r="D115" s="910">
        <f>ROUND(0.8331-0.0109*B113,4)</f>
        <v>0.81240000000000001</v>
      </c>
      <c r="E115" s="910">
        <f>D115</f>
        <v>0.81240000000000001</v>
      </c>
      <c r="F115" s="910">
        <f>E115</f>
        <v>0.81240000000000001</v>
      </c>
      <c r="G115" s="910">
        <f>F115</f>
        <v>0.81240000000000001</v>
      </c>
      <c r="H115" s="910">
        <f>G115</f>
        <v>0.81240000000000001</v>
      </c>
      <c r="I115" s="910">
        <f>ROUND(0.689-0.0155*B113,4)</f>
        <v>0.65959999999999996</v>
      </c>
      <c r="J115" s="910">
        <f t="shared" ref="J115:M118" si="33">I115</f>
        <v>0.65959999999999996</v>
      </c>
      <c r="K115" s="910">
        <f t="shared" si="33"/>
        <v>0.65959999999999996</v>
      </c>
      <c r="L115" s="910">
        <f t="shared" si="33"/>
        <v>0.65959999999999996</v>
      </c>
      <c r="M115" s="911">
        <f t="shared" si="33"/>
        <v>0.65959999999999996</v>
      </c>
    </row>
    <row r="116" spans="1:13">
      <c r="A116" s="909" t="s">
        <v>2877</v>
      </c>
      <c r="B116" s="910">
        <f>ROUND(0.949-0.012*B113,4)</f>
        <v>0.92620000000000002</v>
      </c>
      <c r="C116" s="910">
        <f>B116</f>
        <v>0.92620000000000002</v>
      </c>
      <c r="D116" s="910">
        <f>ROUND(0.8567-0.013*B113,4)</f>
        <v>0.83199999999999996</v>
      </c>
      <c r="E116" s="910">
        <f t="shared" ref="E116:H117" si="34">D116</f>
        <v>0.83199999999999996</v>
      </c>
      <c r="F116" s="910">
        <f t="shared" si="34"/>
        <v>0.83199999999999996</v>
      </c>
      <c r="G116" s="910">
        <f t="shared" si="34"/>
        <v>0.83199999999999996</v>
      </c>
      <c r="H116" s="910">
        <f t="shared" si="34"/>
        <v>0.83199999999999996</v>
      </c>
      <c r="I116" s="910">
        <f>ROUND(0.7694-0.014*B113,4)</f>
        <v>0.74280000000000002</v>
      </c>
      <c r="J116" s="910">
        <f t="shared" si="33"/>
        <v>0.74280000000000002</v>
      </c>
      <c r="K116" s="910">
        <f t="shared" si="33"/>
        <v>0.74280000000000002</v>
      </c>
      <c r="L116" s="910">
        <f t="shared" si="33"/>
        <v>0.74280000000000002</v>
      </c>
      <c r="M116" s="911">
        <f t="shared" si="33"/>
        <v>0.74280000000000002</v>
      </c>
    </row>
    <row r="117" spans="1:13">
      <c r="A117" s="909" t="s">
        <v>2878</v>
      </c>
      <c r="B117" s="910">
        <f>ROUND(0.8808-0.006*B113,4)</f>
        <v>0.86939999999999995</v>
      </c>
      <c r="C117" s="910">
        <f>B117</f>
        <v>0.86939999999999995</v>
      </c>
      <c r="D117" s="910">
        <f>ROUND(0.8748-0.008*B113,4)</f>
        <v>0.85960000000000003</v>
      </c>
      <c r="E117" s="910">
        <f t="shared" si="34"/>
        <v>0.85960000000000003</v>
      </c>
      <c r="F117" s="910">
        <f t="shared" si="34"/>
        <v>0.85960000000000003</v>
      </c>
      <c r="G117" s="910">
        <f t="shared" si="34"/>
        <v>0.85960000000000003</v>
      </c>
      <c r="H117" s="910">
        <f t="shared" si="34"/>
        <v>0.85960000000000003</v>
      </c>
      <c r="I117" s="910">
        <f>ROUND(0.7412-0.0095*B113,4)</f>
        <v>0.72319999999999995</v>
      </c>
      <c r="J117" s="910">
        <f t="shared" si="33"/>
        <v>0.72319999999999995</v>
      </c>
      <c r="K117" s="910">
        <f t="shared" si="33"/>
        <v>0.72319999999999995</v>
      </c>
      <c r="L117" s="910">
        <f t="shared" si="33"/>
        <v>0.72319999999999995</v>
      </c>
      <c r="M117" s="911">
        <f t="shared" si="33"/>
        <v>0.72319999999999995</v>
      </c>
    </row>
    <row r="118" spans="1:13" ht="13.8" thickBot="1">
      <c r="A118" s="714" t="s">
        <v>2879</v>
      </c>
      <c r="B118" s="912">
        <f>ROUND(0.7275-0.01*B113,4)</f>
        <v>0.70850000000000002</v>
      </c>
      <c r="C118" s="912">
        <f>B118</f>
        <v>0.70850000000000002</v>
      </c>
      <c r="D118" s="912">
        <f>ROUND(0.7043-0.012*B113,4)</f>
        <v>0.68149999999999999</v>
      </c>
      <c r="E118" s="912">
        <f>D118</f>
        <v>0.68149999999999999</v>
      </c>
      <c r="F118" s="912">
        <f>E118</f>
        <v>0.68149999999999999</v>
      </c>
      <c r="G118" s="912">
        <f>ROUND(0.6299-0.0122*B113,4)</f>
        <v>0.60670000000000002</v>
      </c>
      <c r="H118" s="912">
        <f>G118</f>
        <v>0.60670000000000002</v>
      </c>
      <c r="I118" s="912">
        <f>ROUND(0.5667-0.0136*B113,4)</f>
        <v>0.54090000000000005</v>
      </c>
      <c r="J118" s="912">
        <f t="shared" si="33"/>
        <v>0.54090000000000005</v>
      </c>
      <c r="K118" s="912">
        <f t="shared" si="33"/>
        <v>0.54090000000000005</v>
      </c>
      <c r="L118" s="912">
        <f t="shared" si="33"/>
        <v>0.54090000000000005</v>
      </c>
      <c r="M118" s="913">
        <f t="shared" si="33"/>
        <v>0.54090000000000005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4" t="s">
        <v>183</v>
      </c>
      <c r="B18" s="882" t="s">
        <v>560</v>
      </c>
      <c r="C18" s="883" t="s">
        <v>561</v>
      </c>
      <c r="D18" s="884"/>
      <c r="E18" s="882">
        <v>1</v>
      </c>
      <c r="F18" s="885" t="s">
        <v>562</v>
      </c>
      <c r="G18" s="886"/>
      <c r="H18" s="878"/>
      <c r="I18" s="878"/>
    </row>
    <row r="19" spans="1:9" s="887" customFormat="1" ht="19.5" customHeight="1">
      <c r="A19" s="3304"/>
      <c r="B19" s="3304" t="s">
        <v>563</v>
      </c>
      <c r="C19" s="883" t="s">
        <v>564</v>
      </c>
      <c r="D19" s="884"/>
      <c r="E19" s="882">
        <v>0.9</v>
      </c>
      <c r="F19" s="885" t="s">
        <v>565</v>
      </c>
      <c r="G19" s="886"/>
      <c r="H19" s="878"/>
      <c r="I19" s="878"/>
    </row>
    <row r="20" spans="1:9" s="887" customFormat="1" ht="19.5" customHeight="1">
      <c r="A20" s="3304"/>
      <c r="B20" s="3304"/>
      <c r="C20" s="883" t="s">
        <v>566</v>
      </c>
      <c r="D20" s="884"/>
      <c r="E20" s="882">
        <v>1.1000000000000001</v>
      </c>
      <c r="F20" s="885" t="s">
        <v>567</v>
      </c>
      <c r="G20" s="886"/>
      <c r="H20" s="878"/>
      <c r="I20" s="878"/>
    </row>
    <row r="21" spans="1:9" s="887" customFormat="1" ht="19.5" customHeight="1">
      <c r="A21" s="3304"/>
      <c r="B21" s="3304"/>
      <c r="C21" s="883" t="s">
        <v>568</v>
      </c>
      <c r="D21" s="884"/>
      <c r="E21" s="882">
        <v>0.8</v>
      </c>
      <c r="F21" s="885" t="s">
        <v>569</v>
      </c>
      <c r="G21" s="886"/>
      <c r="H21" s="878"/>
      <c r="I21" s="878"/>
    </row>
    <row r="22" spans="1:9" s="887" customFormat="1" ht="19.5" customHeight="1">
      <c r="A22" s="3304"/>
      <c r="B22" s="3304"/>
      <c r="C22" s="883" t="s">
        <v>570</v>
      </c>
      <c r="D22" s="884"/>
      <c r="E22" s="882">
        <v>0.5</v>
      </c>
      <c r="F22" s="885"/>
      <c r="G22" s="886"/>
      <c r="H22" s="878"/>
      <c r="I22" s="878"/>
    </row>
    <row r="23" spans="1:9" s="887" customFormat="1" ht="19.5" customHeight="1">
      <c r="A23" s="3304" t="s">
        <v>184</v>
      </c>
      <c r="B23" s="882" t="s">
        <v>560</v>
      </c>
      <c r="C23" s="883" t="s">
        <v>571</v>
      </c>
      <c r="D23" s="884"/>
      <c r="E23" s="882">
        <v>1</v>
      </c>
      <c r="F23" s="885" t="s">
        <v>572</v>
      </c>
      <c r="G23" s="886"/>
      <c r="H23" s="878"/>
      <c r="I23" s="878"/>
    </row>
    <row r="24" spans="1:9" s="887" customFormat="1" ht="19.5" customHeight="1">
      <c r="A24" s="3304"/>
      <c r="B24" s="3304" t="s">
        <v>563</v>
      </c>
      <c r="C24" s="883" t="s">
        <v>573</v>
      </c>
      <c r="D24" s="884"/>
      <c r="E24" s="882">
        <v>0.5</v>
      </c>
      <c r="F24" s="885"/>
      <c r="G24" s="886"/>
      <c r="H24" s="878"/>
      <c r="I24" s="878"/>
    </row>
    <row r="25" spans="1:9" s="887" customFormat="1" ht="19.5" customHeight="1">
      <c r="A25" s="3304"/>
      <c r="B25" s="3304"/>
      <c r="C25" s="883" t="s">
        <v>574</v>
      </c>
      <c r="D25" s="884"/>
      <c r="E25" s="882">
        <v>1.1000000000000001</v>
      </c>
      <c r="F25" s="885"/>
      <c r="G25" s="886"/>
      <c r="H25" s="878"/>
      <c r="I25" s="878"/>
    </row>
    <row r="26" spans="1:9" s="887" customFormat="1" ht="19.5" customHeight="1">
      <c r="A26" s="3304"/>
      <c r="B26" s="3304"/>
      <c r="C26" s="883" t="s">
        <v>575</v>
      </c>
      <c r="D26" s="884"/>
      <c r="E26" s="882">
        <v>1.1000000000000001</v>
      </c>
      <c r="F26" s="885"/>
      <c r="G26" s="886"/>
      <c r="H26" s="878"/>
      <c r="I26" s="878"/>
    </row>
    <row r="27" spans="1:9" s="887" customFormat="1" ht="19.5" customHeight="1">
      <c r="A27" s="3304"/>
      <c r="B27" s="3304"/>
      <c r="C27" s="883" t="s">
        <v>576</v>
      </c>
      <c r="D27" s="884"/>
      <c r="E27" s="882">
        <v>0.9</v>
      </c>
      <c r="F27" s="885" t="s">
        <v>577</v>
      </c>
      <c r="G27" s="886"/>
      <c r="H27" s="878"/>
      <c r="I27" s="878"/>
    </row>
    <row r="28" spans="1:9" s="887" customFormat="1" ht="19.5" customHeight="1">
      <c r="A28" s="3304"/>
      <c r="B28" s="3304"/>
      <c r="C28" s="883" t="s">
        <v>578</v>
      </c>
      <c r="D28" s="884"/>
      <c r="E28" s="882">
        <v>0.9</v>
      </c>
      <c r="F28" s="885" t="s">
        <v>579</v>
      </c>
      <c r="G28" s="886"/>
      <c r="H28" s="878"/>
      <c r="I28" s="878"/>
    </row>
    <row r="29" spans="1:9" s="887" customFormat="1" ht="19.5" customHeight="1">
      <c r="A29" s="3304"/>
      <c r="B29" s="3304"/>
      <c r="C29" s="883" t="s">
        <v>580</v>
      </c>
      <c r="D29" s="884"/>
      <c r="E29" s="882">
        <v>0.9</v>
      </c>
      <c r="F29" s="885" t="s">
        <v>581</v>
      </c>
      <c r="G29" s="886"/>
      <c r="H29" s="878"/>
      <c r="I29" s="878"/>
    </row>
    <row r="30" spans="1:9" s="887" customFormat="1" ht="19.5" customHeight="1">
      <c r="A30" s="3304"/>
      <c r="B30" s="3304"/>
      <c r="C30" s="883" t="s">
        <v>582</v>
      </c>
      <c r="D30" s="884"/>
      <c r="E30" s="882">
        <v>0.9</v>
      </c>
      <c r="F30" s="885" t="s">
        <v>583</v>
      </c>
      <c r="G30" s="886"/>
      <c r="H30" s="878"/>
      <c r="I30" s="878"/>
    </row>
    <row r="31" spans="1:9" s="887" customFormat="1" ht="19.5" customHeight="1">
      <c r="A31" s="3304"/>
      <c r="B31" s="3304"/>
      <c r="C31" s="883" t="s">
        <v>584</v>
      </c>
      <c r="D31" s="884"/>
      <c r="E31" s="882">
        <v>0.8</v>
      </c>
      <c r="F31" s="885" t="s">
        <v>585</v>
      </c>
      <c r="G31" s="886"/>
      <c r="H31" s="878"/>
      <c r="I31" s="878"/>
    </row>
    <row r="32" spans="1:9" s="887" customFormat="1" ht="19.5" customHeight="1">
      <c r="A32" s="3304"/>
      <c r="B32" s="3304"/>
      <c r="C32" s="883" t="s">
        <v>586</v>
      </c>
      <c r="D32" s="884"/>
      <c r="E32" s="882">
        <v>0.8</v>
      </c>
      <c r="F32" s="885" t="s">
        <v>587</v>
      </c>
      <c r="G32" s="886"/>
      <c r="H32" s="878"/>
      <c r="I32" s="878"/>
    </row>
    <row r="33" spans="1:9" s="887" customFormat="1" ht="19.5" customHeight="1">
      <c r="A33" s="3304" t="s">
        <v>185</v>
      </c>
      <c r="B33" s="882" t="s">
        <v>560</v>
      </c>
      <c r="C33" s="883" t="s">
        <v>588</v>
      </c>
      <c r="D33" s="884"/>
      <c r="E33" s="882">
        <v>1</v>
      </c>
      <c r="F33" s="885" t="s">
        <v>589</v>
      </c>
      <c r="G33" s="886"/>
      <c r="H33" s="878"/>
      <c r="I33" s="878"/>
    </row>
    <row r="34" spans="1:9" s="887" customFormat="1" ht="19.5" customHeight="1">
      <c r="A34" s="3304"/>
      <c r="B34" s="882" t="s">
        <v>563</v>
      </c>
      <c r="C34" s="883" t="s">
        <v>590</v>
      </c>
      <c r="D34" s="884"/>
      <c r="E34" s="882">
        <v>1.5</v>
      </c>
      <c r="F34" s="885" t="s">
        <v>591</v>
      </c>
      <c r="G34" s="886"/>
      <c r="H34" s="878"/>
      <c r="I34" s="878"/>
    </row>
    <row r="35" spans="1:9" s="887" customFormat="1" ht="19.5" customHeight="1">
      <c r="A35" s="3304" t="s">
        <v>186</v>
      </c>
      <c r="B35" s="882" t="s">
        <v>560</v>
      </c>
      <c r="C35" s="883" t="s">
        <v>592</v>
      </c>
      <c r="D35" s="884"/>
      <c r="E35" s="882">
        <v>1</v>
      </c>
      <c r="F35" s="885" t="s">
        <v>593</v>
      </c>
      <c r="G35" s="886"/>
      <c r="H35" s="878"/>
      <c r="I35" s="878"/>
    </row>
    <row r="36" spans="1:9" s="887" customFormat="1" ht="19.5" customHeight="1">
      <c r="A36" s="3304"/>
      <c r="B36" s="3304" t="s">
        <v>563</v>
      </c>
      <c r="C36" s="883" t="s">
        <v>594</v>
      </c>
      <c r="D36" s="884"/>
      <c r="E36" s="882">
        <v>1</v>
      </c>
      <c r="F36" s="885" t="s">
        <v>595</v>
      </c>
      <c r="G36" s="886"/>
      <c r="H36" s="878"/>
      <c r="I36" s="878"/>
    </row>
    <row r="37" spans="1:9" s="887" customFormat="1" ht="19.5" customHeight="1">
      <c r="A37" s="3304"/>
      <c r="B37" s="3304"/>
      <c r="C37" s="883" t="s">
        <v>596</v>
      </c>
      <c r="D37" s="884"/>
      <c r="E37" s="882">
        <v>1.5</v>
      </c>
      <c r="F37" s="885" t="s">
        <v>597</v>
      </c>
      <c r="G37" s="886"/>
      <c r="H37" s="878"/>
      <c r="I37" s="878"/>
    </row>
    <row r="38" spans="1:9" s="887" customFormat="1" ht="19.5" customHeight="1">
      <c r="A38" s="3304"/>
      <c r="B38" s="3304"/>
      <c r="C38" s="883" t="s">
        <v>598</v>
      </c>
      <c r="D38" s="884"/>
      <c r="E38" s="882">
        <v>1</v>
      </c>
      <c r="F38" s="885" t="s">
        <v>599</v>
      </c>
      <c r="G38" s="886"/>
      <c r="H38" s="878"/>
      <c r="I38" s="878"/>
    </row>
    <row r="39" spans="1:9" s="887" customFormat="1" ht="19.5" customHeight="1">
      <c r="A39" s="3304"/>
      <c r="B39" s="330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04" t="s">
        <v>614</v>
      </c>
      <c r="C61" s="818" t="s">
        <v>615</v>
      </c>
      <c r="D61" s="818" t="s">
        <v>616</v>
      </c>
      <c r="E61" s="895">
        <v>0.5</v>
      </c>
      <c r="F61" s="882">
        <v>80</v>
      </c>
    </row>
    <row r="62" spans="1:8" s="878" customFormat="1" ht="36">
      <c r="A62" s="882">
        <v>2</v>
      </c>
      <c r="B62" s="3304"/>
      <c r="C62" s="818" t="s">
        <v>617</v>
      </c>
      <c r="D62" s="818" t="s">
        <v>618</v>
      </c>
      <c r="E62" s="895">
        <v>0.5</v>
      </c>
      <c r="F62" s="882">
        <v>80</v>
      </c>
    </row>
    <row r="63" spans="1:8" s="878" customFormat="1" ht="48">
      <c r="A63" s="882">
        <v>3</v>
      </c>
      <c r="B63" s="3304"/>
      <c r="C63" s="818" t="s">
        <v>619</v>
      </c>
      <c r="D63" s="818" t="s">
        <v>620</v>
      </c>
      <c r="E63" s="895">
        <v>0.5</v>
      </c>
      <c r="F63" s="882">
        <v>80</v>
      </c>
    </row>
    <row r="64" spans="1:8" s="878" customFormat="1" ht="48">
      <c r="A64" s="882">
        <v>4</v>
      </c>
      <c r="B64" s="3304"/>
      <c r="C64" s="818" t="s">
        <v>621</v>
      </c>
      <c r="D64" s="818" t="s">
        <v>622</v>
      </c>
      <c r="E64" s="895">
        <v>0.4</v>
      </c>
      <c r="F64" s="882">
        <v>60</v>
      </c>
    </row>
    <row r="65" spans="1:6" s="878" customFormat="1" ht="48">
      <c r="A65" s="882">
        <v>5</v>
      </c>
      <c r="B65" s="3304"/>
      <c r="C65" s="818" t="s">
        <v>623</v>
      </c>
      <c r="D65" s="818" t="s">
        <v>624</v>
      </c>
      <c r="E65" s="895">
        <v>0.2</v>
      </c>
      <c r="F65" s="882">
        <v>30</v>
      </c>
    </row>
    <row r="66" spans="1:6" s="878" customFormat="1" ht="48">
      <c r="A66" s="882">
        <v>6</v>
      </c>
      <c r="B66" s="3304"/>
      <c r="C66" s="818" t="s">
        <v>625</v>
      </c>
      <c r="D66" s="818" t="s">
        <v>626</v>
      </c>
      <c r="E66" s="895">
        <v>0.3</v>
      </c>
      <c r="F66" s="882">
        <v>50</v>
      </c>
    </row>
    <row r="67" spans="1:6" s="878" customFormat="1" ht="48">
      <c r="A67" s="882">
        <v>7</v>
      </c>
      <c r="B67" s="3304"/>
      <c r="C67" s="818" t="s">
        <v>627</v>
      </c>
      <c r="D67" s="818" t="s">
        <v>628</v>
      </c>
      <c r="E67" s="895">
        <v>0.2</v>
      </c>
      <c r="F67" s="882">
        <v>30</v>
      </c>
    </row>
    <row r="68" spans="1:6" s="878" customFormat="1" ht="48">
      <c r="A68" s="882">
        <v>8</v>
      </c>
      <c r="B68" s="3304"/>
      <c r="C68" s="818" t="s">
        <v>629</v>
      </c>
      <c r="D68" s="818" t="s">
        <v>630</v>
      </c>
      <c r="E68" s="895">
        <v>0.2</v>
      </c>
      <c r="F68" s="882">
        <v>30</v>
      </c>
    </row>
    <row r="69" spans="1:6" s="878" customFormat="1" ht="48">
      <c r="A69" s="882">
        <v>9</v>
      </c>
      <c r="B69" s="3304"/>
      <c r="C69" s="818" t="s">
        <v>631</v>
      </c>
      <c r="D69" s="818" t="s">
        <v>632</v>
      </c>
      <c r="E69" s="895">
        <v>0.2</v>
      </c>
      <c r="F69" s="882">
        <v>30</v>
      </c>
    </row>
    <row r="70" spans="1:6" s="878" customFormat="1" ht="60">
      <c r="A70" s="882">
        <v>10</v>
      </c>
      <c r="B70" s="3304"/>
      <c r="C70" s="818" t="s">
        <v>633</v>
      </c>
      <c r="D70" s="818" t="s">
        <v>634</v>
      </c>
      <c r="E70" s="895">
        <v>0.2</v>
      </c>
      <c r="F70" s="882">
        <v>30</v>
      </c>
    </row>
    <row r="71" spans="1:6" s="878" customFormat="1" ht="60">
      <c r="A71" s="882">
        <v>11</v>
      </c>
      <c r="B71" s="3304"/>
      <c r="C71" s="818" t="s">
        <v>635</v>
      </c>
      <c r="D71" s="818" t="s">
        <v>636</v>
      </c>
      <c r="E71" s="895">
        <v>0.2</v>
      </c>
      <c r="F71" s="882">
        <v>30</v>
      </c>
    </row>
    <row r="72" spans="1:6" s="878" customFormat="1" ht="36">
      <c r="A72" s="882">
        <v>12</v>
      </c>
      <c r="B72" s="3304"/>
      <c r="C72" s="818" t="s">
        <v>637</v>
      </c>
      <c r="D72" s="818" t="s">
        <v>638</v>
      </c>
      <c r="E72" s="895">
        <v>0.5</v>
      </c>
      <c r="F72" s="882">
        <v>80</v>
      </c>
    </row>
    <row r="73" spans="1:6" s="878" customFormat="1" ht="36">
      <c r="A73" s="882">
        <v>13</v>
      </c>
      <c r="B73" s="3304"/>
      <c r="C73" s="818" t="s">
        <v>639</v>
      </c>
      <c r="D73" s="818" t="s">
        <v>640</v>
      </c>
      <c r="E73" s="895">
        <v>0.4</v>
      </c>
      <c r="F73" s="882">
        <v>60</v>
      </c>
    </row>
    <row r="74" spans="1:6" s="878" customFormat="1" ht="36">
      <c r="A74" s="882">
        <v>14</v>
      </c>
      <c r="B74" s="3304"/>
      <c r="C74" s="818" t="s">
        <v>641</v>
      </c>
      <c r="D74" s="818" t="s">
        <v>642</v>
      </c>
      <c r="E74" s="895">
        <v>0.2</v>
      </c>
      <c r="F74" s="882">
        <v>30</v>
      </c>
    </row>
    <row r="75" spans="1:6" s="878" customFormat="1" ht="36">
      <c r="A75" s="882">
        <v>15</v>
      </c>
      <c r="B75" s="3304"/>
      <c r="C75" s="818" t="s">
        <v>643</v>
      </c>
      <c r="D75" s="818" t="s">
        <v>644</v>
      </c>
      <c r="E75" s="895">
        <v>0.2</v>
      </c>
      <c r="F75" s="882">
        <v>30</v>
      </c>
    </row>
    <row r="76" spans="1:6" s="878" customFormat="1" ht="36">
      <c r="A76" s="882">
        <v>16</v>
      </c>
      <c r="B76" s="3304" t="s">
        <v>645</v>
      </c>
      <c r="C76" s="818" t="s">
        <v>646</v>
      </c>
      <c r="D76" s="818" t="s">
        <v>647</v>
      </c>
      <c r="E76" s="895">
        <v>0.5</v>
      </c>
      <c r="F76" s="882">
        <v>80</v>
      </c>
    </row>
    <row r="77" spans="1:6" s="878" customFormat="1" ht="36">
      <c r="A77" s="882">
        <v>17</v>
      </c>
      <c r="B77" s="3304"/>
      <c r="C77" s="818" t="s">
        <v>648</v>
      </c>
      <c r="D77" s="818" t="s">
        <v>649</v>
      </c>
      <c r="E77" s="895">
        <v>0.5</v>
      </c>
      <c r="F77" s="882">
        <v>80</v>
      </c>
    </row>
    <row r="78" spans="1:6" s="878" customFormat="1" ht="36">
      <c r="A78" s="882">
        <v>18</v>
      </c>
      <c r="B78" s="3304"/>
      <c r="C78" s="818" t="s">
        <v>650</v>
      </c>
      <c r="D78" s="818" t="s">
        <v>651</v>
      </c>
      <c r="E78" s="895">
        <v>0.2</v>
      </c>
      <c r="F78" s="882">
        <v>30</v>
      </c>
    </row>
    <row r="79" spans="1:6" s="878" customFormat="1" ht="36">
      <c r="A79" s="882">
        <v>19</v>
      </c>
      <c r="B79" s="3304"/>
      <c r="C79" s="818" t="s">
        <v>652</v>
      </c>
      <c r="D79" s="818" t="s">
        <v>653</v>
      </c>
      <c r="E79" s="895">
        <v>0.5</v>
      </c>
      <c r="F79" s="882">
        <v>80</v>
      </c>
    </row>
    <row r="80" spans="1:6" s="878" customFormat="1" ht="36">
      <c r="A80" s="882">
        <v>20</v>
      </c>
      <c r="B80" s="3304"/>
      <c r="C80" s="818" t="s">
        <v>654</v>
      </c>
      <c r="D80" s="818" t="s">
        <v>655</v>
      </c>
      <c r="E80" s="895">
        <v>0.2</v>
      </c>
      <c r="F80" s="882">
        <v>30</v>
      </c>
    </row>
    <row r="81" spans="1:6" s="878" customFormat="1" ht="36">
      <c r="A81" s="882">
        <v>21</v>
      </c>
      <c r="B81" s="3304"/>
      <c r="C81" s="818" t="s">
        <v>656</v>
      </c>
      <c r="D81" s="818" t="s">
        <v>657</v>
      </c>
      <c r="E81" s="895">
        <v>0.2</v>
      </c>
      <c r="F81" s="882">
        <v>30</v>
      </c>
    </row>
    <row r="82" spans="1:6" s="878" customFormat="1" ht="60">
      <c r="A82" s="882">
        <v>22</v>
      </c>
      <c r="B82" s="3304"/>
      <c r="C82" s="818" t="s">
        <v>658</v>
      </c>
      <c r="D82" s="818" t="s">
        <v>659</v>
      </c>
      <c r="E82" s="895">
        <v>0.2</v>
      </c>
      <c r="F82" s="882">
        <v>30</v>
      </c>
    </row>
    <row r="83" spans="1:6" s="878" customFormat="1" ht="60">
      <c r="A83" s="882">
        <v>23</v>
      </c>
      <c r="B83" s="3304"/>
      <c r="C83" s="818" t="s">
        <v>660</v>
      </c>
      <c r="D83" s="818" t="s">
        <v>661</v>
      </c>
      <c r="E83" s="895">
        <v>0.2</v>
      </c>
      <c r="F83" s="882">
        <v>30</v>
      </c>
    </row>
    <row r="84" spans="1:6" s="878" customFormat="1" ht="48">
      <c r="A84" s="882">
        <v>24</v>
      </c>
      <c r="B84" s="3304"/>
      <c r="C84" s="818" t="s">
        <v>662</v>
      </c>
      <c r="D84" s="818" t="s">
        <v>663</v>
      </c>
      <c r="E84" s="895">
        <v>0.2</v>
      </c>
      <c r="F84" s="882">
        <v>30</v>
      </c>
    </row>
    <row r="85" spans="1:6" s="878" customFormat="1" ht="36">
      <c r="A85" s="882">
        <v>25</v>
      </c>
      <c r="B85" s="3304"/>
      <c r="C85" s="818" t="s">
        <v>664</v>
      </c>
      <c r="D85" s="818" t="s">
        <v>665</v>
      </c>
      <c r="E85" s="895">
        <v>0.5</v>
      </c>
      <c r="F85" s="882">
        <v>80</v>
      </c>
    </row>
    <row r="86" spans="1:6" s="878" customFormat="1" ht="36">
      <c r="A86" s="882">
        <v>26</v>
      </c>
      <c r="B86" s="3304"/>
      <c r="C86" s="818" t="s">
        <v>666</v>
      </c>
      <c r="D86" s="818" t="s">
        <v>667</v>
      </c>
      <c r="E86" s="895">
        <v>0.2</v>
      </c>
      <c r="F86" s="882">
        <v>30</v>
      </c>
    </row>
    <row r="87" spans="1:6" s="878" customFormat="1" ht="36">
      <c r="A87" s="882">
        <v>27</v>
      </c>
      <c r="B87" s="3304"/>
      <c r="C87" s="818" t="s">
        <v>668</v>
      </c>
      <c r="D87" s="818" t="s">
        <v>669</v>
      </c>
      <c r="E87" s="895">
        <v>0.2</v>
      </c>
      <c r="F87" s="882">
        <v>30</v>
      </c>
    </row>
    <row r="88" spans="1:6" s="878" customFormat="1" ht="36">
      <c r="A88" s="882">
        <v>28</v>
      </c>
      <c r="B88" s="3304"/>
      <c r="C88" s="818" t="s">
        <v>670</v>
      </c>
      <c r="D88" s="818" t="s">
        <v>671</v>
      </c>
      <c r="E88" s="895">
        <v>0.2</v>
      </c>
      <c r="F88" s="882">
        <v>30</v>
      </c>
    </row>
    <row r="89" spans="1:6" s="878" customFormat="1" ht="36">
      <c r="A89" s="882">
        <v>29</v>
      </c>
      <c r="B89" s="3304"/>
      <c r="C89" s="818" t="s">
        <v>672</v>
      </c>
      <c r="D89" s="818" t="s">
        <v>673</v>
      </c>
      <c r="E89" s="895">
        <v>0.2</v>
      </c>
      <c r="F89" s="882">
        <v>30</v>
      </c>
    </row>
    <row r="90" spans="1:6" s="878" customFormat="1" ht="36">
      <c r="A90" s="882">
        <v>30</v>
      </c>
      <c r="B90" s="3304"/>
      <c r="C90" s="818" t="s">
        <v>674</v>
      </c>
      <c r="D90" s="818" t="s">
        <v>675</v>
      </c>
      <c r="E90" s="895">
        <v>0.2</v>
      </c>
      <c r="F90" s="882">
        <v>30</v>
      </c>
    </row>
    <row r="91" spans="1:6" s="878" customFormat="1" ht="48">
      <c r="A91" s="882">
        <v>31</v>
      </c>
      <c r="B91" s="3304"/>
      <c r="C91" s="818" t="s">
        <v>676</v>
      </c>
      <c r="D91" s="818" t="s">
        <v>677</v>
      </c>
      <c r="E91" s="895">
        <v>0.2</v>
      </c>
      <c r="F91" s="882">
        <v>30</v>
      </c>
    </row>
    <row r="92" spans="1:6" s="878" customFormat="1" ht="36">
      <c r="A92" s="882">
        <v>32</v>
      </c>
      <c r="B92" s="3304" t="s">
        <v>678</v>
      </c>
      <c r="C92" s="882" t="s">
        <v>679</v>
      </c>
      <c r="D92" s="818" t="s">
        <v>680</v>
      </c>
      <c r="E92" s="895">
        <v>0.2</v>
      </c>
      <c r="F92" s="882">
        <v>30</v>
      </c>
    </row>
    <row r="93" spans="1:6" s="878" customFormat="1" ht="36">
      <c r="A93" s="882">
        <v>33</v>
      </c>
      <c r="B93" s="3304"/>
      <c r="C93" s="882" t="s">
        <v>681</v>
      </c>
      <c r="D93" s="818" t="s">
        <v>682</v>
      </c>
      <c r="E93" s="895">
        <v>0.2</v>
      </c>
      <c r="F93" s="882">
        <v>30</v>
      </c>
    </row>
    <row r="94" spans="1:6" s="878" customFormat="1" ht="60">
      <c r="A94" s="882">
        <v>34</v>
      </c>
      <c r="B94" s="3304"/>
      <c r="C94" s="882" t="s">
        <v>683</v>
      </c>
      <c r="D94" s="818" t="s">
        <v>684</v>
      </c>
      <c r="E94" s="895">
        <v>0.2</v>
      </c>
      <c r="F94" s="882">
        <v>30</v>
      </c>
    </row>
    <row r="95" spans="1:6" s="878" customFormat="1" ht="48">
      <c r="A95" s="882">
        <v>35</v>
      </c>
      <c r="B95" s="3304"/>
      <c r="C95" s="882" t="s">
        <v>685</v>
      </c>
      <c r="D95" s="818" t="s">
        <v>686</v>
      </c>
      <c r="E95" s="895">
        <v>0.2</v>
      </c>
      <c r="F95" s="882">
        <v>30</v>
      </c>
    </row>
    <row r="96" spans="1:6" s="878" customFormat="1" ht="72">
      <c r="A96" s="882">
        <v>36</v>
      </c>
      <c r="B96" s="3304"/>
      <c r="C96" s="818" t="s">
        <v>687</v>
      </c>
      <c r="D96" s="818" t="s">
        <v>688</v>
      </c>
      <c r="E96" s="895">
        <v>0.2</v>
      </c>
      <c r="F96" s="882">
        <v>30</v>
      </c>
    </row>
    <row r="97" spans="1:6" s="878" customFormat="1" ht="36">
      <c r="A97" s="882">
        <v>37</v>
      </c>
      <c r="B97" s="3304"/>
      <c r="C97" s="882" t="s">
        <v>689</v>
      </c>
      <c r="D97" s="818" t="s">
        <v>690</v>
      </c>
      <c r="E97" s="895">
        <v>0.2</v>
      </c>
      <c r="F97" s="882">
        <v>30</v>
      </c>
    </row>
    <row r="98" spans="1:6" s="878" customFormat="1" ht="36">
      <c r="A98" s="882">
        <v>38</v>
      </c>
      <c r="B98" s="3304"/>
      <c r="C98" s="882" t="s">
        <v>691</v>
      </c>
      <c r="D98" s="818" t="s">
        <v>692</v>
      </c>
      <c r="E98" s="895">
        <v>0.2</v>
      </c>
      <c r="F98" s="882">
        <v>30</v>
      </c>
    </row>
    <row r="99" spans="1:6" s="878" customFormat="1" ht="36">
      <c r="A99" s="882">
        <v>39</v>
      </c>
      <c r="B99" s="3304" t="s">
        <v>693</v>
      </c>
      <c r="C99" s="882" t="s">
        <v>694</v>
      </c>
      <c r="D99" s="818" t="s">
        <v>695</v>
      </c>
      <c r="E99" s="895">
        <v>0.3</v>
      </c>
      <c r="F99" s="882">
        <v>50</v>
      </c>
    </row>
    <row r="100" spans="1:6" s="878" customFormat="1" ht="36">
      <c r="A100" s="882">
        <v>40</v>
      </c>
      <c r="B100" s="3304"/>
      <c r="C100" s="882" t="s">
        <v>696</v>
      </c>
      <c r="D100" s="818" t="s">
        <v>697</v>
      </c>
      <c r="E100" s="895">
        <v>0.2</v>
      </c>
      <c r="F100" s="882">
        <v>30</v>
      </c>
    </row>
    <row r="101" spans="1:6" s="878" customFormat="1" ht="36">
      <c r="A101" s="882">
        <v>41</v>
      </c>
      <c r="B101" s="3304"/>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04" t="s">
        <v>708</v>
      </c>
      <c r="C105" s="882" t="s">
        <v>709</v>
      </c>
      <c r="D105" s="818" t="s">
        <v>710</v>
      </c>
      <c r="E105" s="895">
        <v>0.2</v>
      </c>
      <c r="F105" s="882">
        <v>30</v>
      </c>
    </row>
    <row r="106" spans="1:6" s="878" customFormat="1" ht="48">
      <c r="A106" s="882">
        <v>46</v>
      </c>
      <c r="B106" s="3304"/>
      <c r="C106" s="882" t="s">
        <v>711</v>
      </c>
      <c r="D106" s="818" t="s">
        <v>712</v>
      </c>
      <c r="E106" s="895">
        <v>0.2</v>
      </c>
      <c r="F106" s="882">
        <v>30</v>
      </c>
    </row>
    <row r="107" spans="1:6" s="878" customFormat="1" ht="36">
      <c r="A107" s="882">
        <v>47</v>
      </c>
      <c r="B107" s="3304" t="s">
        <v>713</v>
      </c>
      <c r="C107" s="882" t="s">
        <v>714</v>
      </c>
      <c r="D107" s="818" t="s">
        <v>715</v>
      </c>
      <c r="E107" s="895">
        <v>0.3</v>
      </c>
      <c r="F107" s="882">
        <v>50</v>
      </c>
    </row>
    <row r="108" spans="1:6" s="878" customFormat="1" ht="48">
      <c r="A108" s="882">
        <v>48</v>
      </c>
      <c r="B108" s="330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04" t="s">
        <v>724</v>
      </c>
      <c r="C111" s="882" t="s">
        <v>725</v>
      </c>
      <c r="D111" s="818" t="s">
        <v>726</v>
      </c>
      <c r="E111" s="895">
        <v>0.2</v>
      </c>
      <c r="F111" s="882">
        <v>30</v>
      </c>
    </row>
    <row r="112" spans="1:6" s="878" customFormat="1" ht="36">
      <c r="A112" s="882">
        <v>52</v>
      </c>
      <c r="B112" s="3304"/>
      <c r="C112" s="882" t="s">
        <v>727</v>
      </c>
      <c r="D112" s="818" t="s">
        <v>728</v>
      </c>
      <c r="E112" s="895">
        <v>0.2</v>
      </c>
      <c r="F112" s="882">
        <v>30</v>
      </c>
    </row>
    <row r="113" spans="1:6" s="878" customFormat="1" ht="36">
      <c r="A113" s="882">
        <v>53</v>
      </c>
      <c r="B113" s="3304"/>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04" t="s">
        <v>737</v>
      </c>
      <c r="C116" s="882" t="s">
        <v>738</v>
      </c>
      <c r="D116" s="818" t="s">
        <v>739</v>
      </c>
      <c r="E116" s="895">
        <v>0.2</v>
      </c>
      <c r="F116" s="882">
        <v>30</v>
      </c>
    </row>
    <row r="117" spans="1:6" ht="36">
      <c r="A117" s="882">
        <v>57</v>
      </c>
      <c r="B117" s="3304"/>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E13"/>
  <sheetViews>
    <sheetView workbookViewId="0">
      <selection activeCell="J53" sqref="J5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2" t="s">
        <v>3000</v>
      </c>
    </row>
    <row r="2" spans="1:5" ht="15.6">
      <c r="A2" s="2903" t="s">
        <v>2992</v>
      </c>
      <c r="B2" s="2904" t="e">
        <f ca="1">SUMIF(B6:B13,"&lt;&gt;#ref!",B6:B13)</f>
        <v>#DIV/0!</v>
      </c>
      <c r="C2" s="2903" t="s">
        <v>2993</v>
      </c>
      <c r="D2" s="2903" t="s">
        <v>2994</v>
      </c>
      <c r="E2" s="2904">
        <f ca="1">SUMIF(E6:E13,"&lt;&gt;#ref!",E6:E13)</f>
        <v>0</v>
      </c>
    </row>
    <row r="3" spans="1:5" ht="15.6">
      <c r="A3" s="2903" t="s">
        <v>2995</v>
      </c>
      <c r="B3" s="2904" t="e">
        <f ca="1">ROUND(B2*10000/E2,0)</f>
        <v>#DIV/0!</v>
      </c>
      <c r="C3" s="2903" t="s">
        <v>3001</v>
      </c>
      <c r="D3" s="2905"/>
      <c r="E3" s="2905"/>
    </row>
    <row r="4" spans="1:5" ht="15.6">
      <c r="A4" s="2906"/>
      <c r="B4" s="2905"/>
      <c r="C4" s="2905"/>
      <c r="D4" s="2905"/>
      <c r="E4" s="2905"/>
    </row>
    <row r="5" spans="1:5" ht="31.2">
      <c r="A5" s="2907" t="s">
        <v>2996</v>
      </c>
      <c r="B5" s="2903" t="s">
        <v>2997</v>
      </c>
      <c r="C5" s="2904"/>
      <c r="D5" s="2905"/>
      <c r="E5" s="2903" t="s">
        <v>2998</v>
      </c>
    </row>
    <row r="6" spans="1:5" ht="15.6">
      <c r="A6" s="2908" t="s">
        <v>2999</v>
      </c>
      <c r="B6" s="2904" t="e">
        <f ca="1">SUMIF(INDIRECT("'"&amp;A6&amp;"'"&amp;"!A:A"),"总价",INDIRECT("'"&amp;A6&amp;"'"&amp;"!B:B"))</f>
        <v>#DIV/0!</v>
      </c>
      <c r="C6" s="2903" t="s">
        <v>2993</v>
      </c>
      <c r="D6" s="2905"/>
      <c r="E6" s="2576">
        <f ca="1">SUMIF(INDIRECT("'"&amp;A6&amp;"'"&amp;"!C:C"),"建筑面积",INDIRECT("'"&amp;A6&amp;"'"&amp;"!D:D"))</f>
        <v>0</v>
      </c>
    </row>
    <row r="7" spans="1:5" ht="15.6">
      <c r="A7" s="2908"/>
      <c r="B7" s="2904" t="e">
        <f ca="1">SUMIF(INDIRECT("'"&amp;A7&amp;"'"&amp;"!A:A"),"总价",INDIRECT("'"&amp;A7&amp;"'"&amp;"!B:B"))</f>
        <v>#REF!</v>
      </c>
      <c r="C7" s="2903" t="s">
        <v>2993</v>
      </c>
      <c r="D7" s="2905"/>
      <c r="E7" s="2576" t="e">
        <f t="shared" ref="E7:E13" ca="1" si="0">SUMIF(INDIRECT("'"&amp;A7&amp;"'"&amp;"!C:C"),"建筑面积",INDIRECT("'"&amp;A7&amp;"'"&amp;"!D:D"))</f>
        <v>#REF!</v>
      </c>
    </row>
    <row r="8" spans="1:5" ht="15.6">
      <c r="A8" s="2908"/>
      <c r="B8" s="2904" t="e">
        <f t="shared" ref="B8:B13" ca="1" si="1">SUMIF(INDIRECT("'"&amp;A8&amp;"'"&amp;"!A:A"),"总价",INDIRECT("'"&amp;A8&amp;"'"&amp;"!B:B"))</f>
        <v>#REF!</v>
      </c>
      <c r="C8" s="2903" t="s">
        <v>2993</v>
      </c>
      <c r="D8" s="2905"/>
      <c r="E8" s="2576" t="e">
        <f t="shared" ca="1" si="0"/>
        <v>#REF!</v>
      </c>
    </row>
    <row r="9" spans="1:5" ht="15.6">
      <c r="A9" s="2908"/>
      <c r="B9" s="2904" t="e">
        <f t="shared" ca="1" si="1"/>
        <v>#REF!</v>
      </c>
      <c r="C9" s="2903" t="s">
        <v>2993</v>
      </c>
      <c r="D9" s="2905"/>
      <c r="E9" s="2576" t="e">
        <f t="shared" ca="1" si="0"/>
        <v>#REF!</v>
      </c>
    </row>
    <row r="10" spans="1:5" ht="15.6">
      <c r="A10" s="2908"/>
      <c r="B10" s="2904" t="e">
        <f t="shared" ca="1" si="1"/>
        <v>#REF!</v>
      </c>
      <c r="C10" s="2903" t="s">
        <v>2993</v>
      </c>
      <c r="D10" s="2905"/>
      <c r="E10" s="2576" t="e">
        <f t="shared" ca="1" si="0"/>
        <v>#REF!</v>
      </c>
    </row>
    <row r="11" spans="1:5" ht="15.6">
      <c r="A11" s="2908"/>
      <c r="B11" s="2904" t="e">
        <f t="shared" ca="1" si="1"/>
        <v>#REF!</v>
      </c>
      <c r="C11" s="2903" t="s">
        <v>2993</v>
      </c>
      <c r="D11" s="2905"/>
      <c r="E11" s="2576" t="e">
        <f t="shared" ca="1" si="0"/>
        <v>#REF!</v>
      </c>
    </row>
    <row r="12" spans="1:5" ht="15.6">
      <c r="A12" s="2908"/>
      <c r="B12" s="2904" t="e">
        <f t="shared" ca="1" si="1"/>
        <v>#REF!</v>
      </c>
      <c r="C12" s="2903" t="s">
        <v>2993</v>
      </c>
      <c r="D12" s="2905"/>
      <c r="E12" s="2576" t="e">
        <f t="shared" ca="1" si="0"/>
        <v>#REF!</v>
      </c>
    </row>
    <row r="13" spans="1:5" ht="15.6">
      <c r="A13" s="2908"/>
      <c r="B13" s="2904" t="e">
        <f t="shared" ca="1" si="1"/>
        <v>#REF!</v>
      </c>
      <c r="C13" s="2903" t="s">
        <v>2993</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1615</v>
      </c>
      <c r="B1" s="1958"/>
      <c r="C1" s="1958"/>
      <c r="D1" s="1958"/>
      <c r="E1" s="1958"/>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7.399999999999999">
      <c r="A3" s="2995" t="str">
        <f>IF(项目基本情况!B9="房地产市场价值","估价结果一览表（市场价值不需“结果表-1”）","估价结果一览表")</f>
        <v>估价结果一览表</v>
      </c>
      <c r="B3" s="2995"/>
      <c r="C3" s="2995"/>
      <c r="D3" s="2995"/>
      <c r="E3" s="2995"/>
    </row>
    <row r="4" spans="1:5" ht="18" thickBot="1">
      <c r="A4" s="1960"/>
      <c r="B4" s="2993" t="s">
        <v>1624</v>
      </c>
      <c r="C4" s="2993"/>
      <c r="D4" s="2993"/>
      <c r="E4" s="1960"/>
    </row>
    <row r="5" spans="1:5" ht="16.2" thickTop="1">
      <c r="A5" s="1958"/>
      <c r="B5" s="2991" t="s">
        <v>1616</v>
      </c>
      <c r="C5" s="1961" t="s">
        <v>1617</v>
      </c>
      <c r="D5" s="1040">
        <f ca="1">结果表!H101</f>
        <v>170543</v>
      </c>
      <c r="E5" s="1958"/>
    </row>
    <row r="6" spans="1:5" ht="31.2">
      <c r="A6" s="1958"/>
      <c r="B6" s="2991"/>
      <c r="C6" s="1961" t="s">
        <v>1618</v>
      </c>
      <c r="D6" s="1040" t="str">
        <f ca="1">NUMBERSTRING(INT(D5*10000),2)&amp;"元整"</f>
        <v>壹拾柒亿零伍佰肆拾叁万元整</v>
      </c>
      <c r="E6" s="1958"/>
    </row>
    <row r="7" spans="1:5" ht="15.6">
      <c r="A7" s="1958"/>
      <c r="B7" s="2996"/>
      <c r="C7" s="1962" t="s">
        <v>1619</v>
      </c>
      <c r="D7" s="1041">
        <f ca="1">结果表!H102</f>
        <v>9659</v>
      </c>
      <c r="E7" s="1958"/>
    </row>
    <row r="8" spans="1:5" ht="15.6">
      <c r="A8" s="1958"/>
      <c r="B8" s="2997" t="str">
        <f>结果表!E103</f>
        <v>2.估价师知悉的法定优先受偿款</v>
      </c>
      <c r="C8" s="1963" t="s">
        <v>1620</v>
      </c>
      <c r="D8" s="1041">
        <f>结果表!H103</f>
        <v>0</v>
      </c>
      <c r="E8" s="1958"/>
    </row>
    <row r="9" spans="1:5" ht="15.6">
      <c r="A9" s="1958"/>
      <c r="B9" s="2999"/>
      <c r="C9" s="1961" t="s">
        <v>1618</v>
      </c>
      <c r="D9" s="1040" t="str">
        <f>NUMBERSTRING(INT(D8*10000),2)&amp;"元整"</f>
        <v>零元整</v>
      </c>
      <c r="E9" s="1958"/>
    </row>
    <row r="10" spans="1:5" ht="15.6">
      <c r="A10" s="1958"/>
      <c r="B10" s="1964" t="s">
        <v>1623</v>
      </c>
      <c r="C10" s="1965" t="s">
        <v>1621</v>
      </c>
      <c r="D10" s="1042">
        <f>结果表!H104</f>
        <v>0</v>
      </c>
      <c r="E10" s="1958"/>
    </row>
    <row r="11" spans="1:5" ht="15.6">
      <c r="A11" s="1958"/>
      <c r="B11" s="1964" t="s">
        <v>1625</v>
      </c>
      <c r="C11" s="1965" t="s">
        <v>1626</v>
      </c>
      <c r="D11" s="1042">
        <f>结果表!H105</f>
        <v>0</v>
      </c>
      <c r="E11" s="1958"/>
    </row>
    <row r="12" spans="1:5" ht="15.6">
      <c r="A12" s="1958"/>
      <c r="B12" s="1964" t="s">
        <v>1627</v>
      </c>
      <c r="C12" s="1965" t="s">
        <v>1626</v>
      </c>
      <c r="D12" s="1042">
        <f>结果表!H106</f>
        <v>0</v>
      </c>
      <c r="E12" s="1958"/>
    </row>
    <row r="13" spans="1:5" ht="15.6">
      <c r="A13" s="1958"/>
      <c r="B13" s="2990" t="str">
        <f>结果表!E107</f>
        <v>3.房地产抵押价值</v>
      </c>
      <c r="C13" s="1966" t="s">
        <v>1617</v>
      </c>
      <c r="D13" s="1043">
        <f ca="1">结果表!H107</f>
        <v>170543</v>
      </c>
      <c r="E13" s="1958"/>
    </row>
    <row r="14" spans="1:5" ht="31.2">
      <c r="A14" s="1958"/>
      <c r="B14" s="2991"/>
      <c r="C14" s="1961" t="s">
        <v>1618</v>
      </c>
      <c r="D14" s="1040" t="str">
        <f ca="1">NUMBERSTRING(INT(D13*10000),2)&amp;"元整"</f>
        <v>壹拾柒亿零伍佰肆拾叁万元整</v>
      </c>
      <c r="E14" s="1958"/>
    </row>
    <row r="15" spans="1:5" ht="15.6">
      <c r="A15" s="1958"/>
      <c r="B15" s="2996"/>
      <c r="C15" s="1962" t="s">
        <v>1628</v>
      </c>
      <c r="D15" s="1052">
        <f ca="1">结果表!H108</f>
        <v>9659</v>
      </c>
      <c r="E15" s="1958"/>
    </row>
    <row r="16" spans="1:5" ht="15.6">
      <c r="A16" s="1958"/>
      <c r="B16" s="2997" t="str">
        <f>结果表!E109</f>
        <v>——</v>
      </c>
      <c r="C16" s="1966" t="s">
        <v>1629</v>
      </c>
      <c r="D16" s="1967" t="str">
        <f>结果表!H109</f>
        <v>——</v>
      </c>
      <c r="E16" s="1958"/>
    </row>
    <row r="17" spans="1:5" ht="15.6">
      <c r="A17" s="1958"/>
      <c r="B17" s="2998"/>
      <c r="C17" s="1961" t="s">
        <v>1630</v>
      </c>
      <c r="D17" s="1040" t="e">
        <f>NUMBERSTRING(INT(D16*10000),2)&amp;"元整"</f>
        <v>#VALUE!</v>
      </c>
      <c r="E17" s="1958"/>
    </row>
    <row r="18" spans="1:5" ht="15.6">
      <c r="A18" s="1958"/>
      <c r="B18" s="2999"/>
      <c r="C18" s="1962" t="s">
        <v>1619</v>
      </c>
      <c r="D18" s="1052" t="str">
        <f>结果表!H110</f>
        <v>——</v>
      </c>
      <c r="E18" s="1958"/>
    </row>
    <row r="19" spans="1:5" ht="15.6">
      <c r="A19" s="1958"/>
      <c r="B19" s="2990" t="str">
        <f>结果表!E111</f>
        <v>——</v>
      </c>
      <c r="C19" s="1966" t="s">
        <v>1617</v>
      </c>
      <c r="D19" s="1041" t="str">
        <f>结果表!H111</f>
        <v>——</v>
      </c>
      <c r="E19" s="1958"/>
    </row>
    <row r="20" spans="1:5" ht="15.6">
      <c r="A20" s="1958"/>
      <c r="B20" s="2991"/>
      <c r="C20" s="1961" t="s">
        <v>1630</v>
      </c>
      <c r="D20" s="1040" t="e">
        <f>NUMBERSTRING(INT(D19*10000),2)&amp;"元整"</f>
        <v>#VALUE!</v>
      </c>
      <c r="E20" s="1958"/>
    </row>
    <row r="21" spans="1:5" ht="16.2" thickBot="1">
      <c r="A21" s="1958"/>
      <c r="B21" s="2992"/>
      <c r="C21" s="1968" t="s">
        <v>1628</v>
      </c>
      <c r="D21" s="1053" t="str">
        <f>结果表!H112</f>
        <v>——</v>
      </c>
      <c r="E21" s="1958"/>
    </row>
    <row r="22" spans="1:5" ht="14.4" thickTop="1">
      <c r="A22" s="1958"/>
      <c r="B22" s="1969" t="s">
        <v>1631</v>
      </c>
      <c r="C22" s="1958"/>
      <c r="D22" s="1958"/>
      <c r="E22" s="1958"/>
    </row>
    <row r="23" spans="1:5">
      <c r="A23" s="1958"/>
      <c r="B23" s="1958"/>
      <c r="C23" s="1958"/>
      <c r="D23" s="1958"/>
      <c r="E23" s="1958"/>
    </row>
    <row r="24" spans="1:5" ht="17.399999999999999">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H112"/>
  <sheetViews>
    <sheetView zoomScale="80" zoomScaleNormal="80" workbookViewId="0">
      <selection activeCell="J53" sqref="J53"/>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10" t="s">
        <v>1145</v>
      </c>
      <c r="C1" s="3310"/>
      <c r="D1" s="3310"/>
      <c r="E1" s="3310"/>
      <c r="F1" s="3310"/>
      <c r="G1" s="3309" t="s">
        <v>1146</v>
      </c>
      <c r="H1" s="3309"/>
      <c r="I1" s="3309"/>
      <c r="J1" s="3309"/>
      <c r="K1" s="3309"/>
      <c r="L1" s="3309"/>
      <c r="N1" s="3309" t="s">
        <v>1147</v>
      </c>
      <c r="O1" s="3309"/>
      <c r="P1" s="3309"/>
      <c r="Q1" s="3309"/>
      <c r="R1" s="1446"/>
      <c r="S1" s="3309" t="s">
        <v>1148</v>
      </c>
      <c r="T1" s="3309"/>
      <c r="U1" s="3309"/>
      <c r="V1" s="3309"/>
      <c r="X1" s="3308" t="s">
        <v>1149</v>
      </c>
      <c r="Y1" s="3309"/>
      <c r="Z1" s="3309"/>
      <c r="AA1" s="3309"/>
      <c r="AB1" s="3309"/>
      <c r="AD1" s="3308" t="s">
        <v>1150</v>
      </c>
      <c r="AE1" s="3309"/>
      <c r="AF1" s="3309"/>
      <c r="AG1" s="3309"/>
      <c r="AH1" s="3309"/>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9" customFormat="1" ht="14.4">
      <c r="A3" s="2928" t="s">
        <v>3035</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3" customFormat="1" ht="14.4">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3054</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2020</v>
      </c>
      <c r="H5" s="1730">
        <v>1</v>
      </c>
      <c r="I5" s="2915">
        <v>0</v>
      </c>
      <c r="J5" s="2915">
        <v>0</v>
      </c>
      <c r="K5" s="2915">
        <v>0</v>
      </c>
      <c r="L5" s="2915">
        <v>0</v>
      </c>
      <c r="N5" s="1467">
        <f t="shared" ref="N5" si="7">I5/100</f>
        <v>0</v>
      </c>
      <c r="O5" s="1467">
        <f t="shared" ref="O5" si="8">J5/100</f>
        <v>0</v>
      </c>
      <c r="P5" s="1467">
        <f t="shared" ref="P5" si="9">K5/100</f>
        <v>0</v>
      </c>
      <c r="Q5" s="1467">
        <f t="shared" ref="Q5" si="10">L5/100</f>
        <v>0</v>
      </c>
      <c r="R5" s="1732"/>
      <c r="S5" s="1733"/>
      <c r="T5" s="1732"/>
      <c r="U5" s="1732"/>
      <c r="V5" s="1732"/>
      <c r="W5" s="2918" t="s">
        <v>3036</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8" thickBot="1">
      <c r="A7" s="1461" t="s">
        <v>3049</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2">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3047</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8">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8" thickBot="1">
      <c r="A9" s="1461" t="s">
        <v>3045</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2">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3048</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306">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 customHeight="1">
      <c r="A11" s="1461" t="s">
        <v>3042</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06"/>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 customHeight="1">
      <c r="A12" s="1461" t="s">
        <v>3041</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06"/>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3034</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15"/>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3031</v>
      </c>
      <c r="B14" s="1469">
        <v>439</v>
      </c>
      <c r="C14" s="1469">
        <v>327</v>
      </c>
      <c r="D14" s="1469">
        <f>C14</f>
        <v>327</v>
      </c>
      <c r="E14" s="1469">
        <v>627</v>
      </c>
      <c r="F14" s="1470">
        <v>283</v>
      </c>
      <c r="G14" s="3311">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 customHeight="1">
      <c r="A15" s="1461" t="s">
        <v>3032</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06"/>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06"/>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15"/>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11">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06"/>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06"/>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8"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07"/>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8" thickBot="1">
      <c r="A22" s="1461" t="s">
        <v>151</v>
      </c>
      <c r="B22" s="1469">
        <v>333</v>
      </c>
      <c r="C22" s="1469">
        <v>277</v>
      </c>
      <c r="D22" s="1469">
        <f t="shared" si="119"/>
        <v>277</v>
      </c>
      <c r="E22" s="1469">
        <v>459</v>
      </c>
      <c r="F22" s="1470">
        <v>249</v>
      </c>
      <c r="G22" s="3305">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06"/>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06"/>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07"/>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8" thickBot="1">
      <c r="A26" s="1461" t="s">
        <v>147</v>
      </c>
      <c r="B26" s="1490">
        <v>318</v>
      </c>
      <c r="C26" s="1490">
        <v>268</v>
      </c>
      <c r="D26" s="1490">
        <f t="shared" si="119"/>
        <v>268</v>
      </c>
      <c r="E26" s="1490">
        <v>437</v>
      </c>
      <c r="F26" s="1491">
        <v>237</v>
      </c>
      <c r="G26" s="3305">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06"/>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8"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06"/>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8"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07"/>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8" thickBot="1">
      <c r="A30" s="1461" t="s">
        <v>1158</v>
      </c>
      <c r="B30" s="1469">
        <v>299</v>
      </c>
      <c r="C30" s="1469">
        <v>252</v>
      </c>
      <c r="D30" s="1469">
        <f t="shared" si="119"/>
        <v>252</v>
      </c>
      <c r="E30" s="1469">
        <v>409</v>
      </c>
      <c r="F30" s="1470">
        <v>227</v>
      </c>
      <c r="G30" s="3312">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13"/>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13"/>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14"/>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8" thickBot="1">
      <c r="A34" s="1461" t="s">
        <v>1162</v>
      </c>
      <c r="B34" s="1511">
        <v>278</v>
      </c>
      <c r="C34" s="1511">
        <v>234</v>
      </c>
      <c r="D34" s="1511">
        <f t="shared" si="119"/>
        <v>234</v>
      </c>
      <c r="E34" s="1511">
        <v>379</v>
      </c>
      <c r="F34" s="1512">
        <v>220</v>
      </c>
      <c r="G34" s="3305">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06"/>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06"/>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8" thickBot="1">
      <c r="A37" s="1461" t="s">
        <v>1165</v>
      </c>
      <c r="B37" s="1477">
        <f>B36/(1+N36)</f>
        <v>275.19025476197027</v>
      </c>
      <c r="C37" s="1513">
        <v>232</v>
      </c>
      <c r="D37" s="1513">
        <f t="shared" si="119"/>
        <v>232</v>
      </c>
      <c r="E37" s="1477">
        <f t="shared" si="130"/>
        <v>375.65990977608692</v>
      </c>
      <c r="F37" s="1477">
        <f t="shared" si="130"/>
        <v>214.12518283971252</v>
      </c>
      <c r="G37" s="3307"/>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8" thickBot="1">
      <c r="A38" s="1461" t="s">
        <v>1166</v>
      </c>
      <c r="B38" s="1469">
        <v>275</v>
      </c>
      <c r="C38" s="1469">
        <v>232</v>
      </c>
      <c r="D38" s="1469">
        <f t="shared" si="119"/>
        <v>232</v>
      </c>
      <c r="E38" s="1469">
        <v>376</v>
      </c>
      <c r="F38" s="1470">
        <v>213</v>
      </c>
      <c r="G38" s="3305">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06">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06">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8"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07">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8" thickBot="1">
      <c r="A42" s="1461" t="s">
        <v>1170</v>
      </c>
      <c r="B42" s="1469">
        <v>269</v>
      </c>
      <c r="C42" s="1469">
        <v>221</v>
      </c>
      <c r="D42" s="1469">
        <f t="shared" si="119"/>
        <v>221</v>
      </c>
      <c r="E42" s="1469">
        <v>373</v>
      </c>
      <c r="F42" s="1470">
        <v>196</v>
      </c>
      <c r="G42" s="3305">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06">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06">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8"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07">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8" thickBot="1">
      <c r="A46" s="1461" t="s">
        <v>1174</v>
      </c>
      <c r="B46" s="1469">
        <v>220</v>
      </c>
      <c r="C46" s="1469">
        <v>187</v>
      </c>
      <c r="D46" s="1469">
        <f t="shared" si="119"/>
        <v>187</v>
      </c>
      <c r="E46" s="1469">
        <v>301</v>
      </c>
      <c r="F46" s="1470">
        <v>168</v>
      </c>
      <c r="G46" s="3305">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06">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06">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07">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8" thickBot="1">
      <c r="A50" s="1461" t="s">
        <v>1178</v>
      </c>
      <c r="B50" s="1511">
        <v>214</v>
      </c>
      <c r="C50" s="1511">
        <v>188</v>
      </c>
      <c r="D50" s="1511">
        <f t="shared" si="119"/>
        <v>188</v>
      </c>
      <c r="E50" s="1511">
        <v>289</v>
      </c>
      <c r="F50" s="1512">
        <v>166</v>
      </c>
      <c r="G50" s="3305">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06">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06">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8"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07">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8" thickBot="1">
      <c r="A54" s="1461" t="s">
        <v>1182</v>
      </c>
      <c r="B54" s="1469">
        <v>188</v>
      </c>
      <c r="C54" s="1469">
        <v>165</v>
      </c>
      <c r="D54" s="1469">
        <f t="shared" si="119"/>
        <v>165</v>
      </c>
      <c r="E54" s="1469">
        <v>254</v>
      </c>
      <c r="F54" s="1470">
        <v>148</v>
      </c>
      <c r="G54" s="3305">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06">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06">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07">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8" thickBot="1">
      <c r="A58" s="1461" t="s">
        <v>1186</v>
      </c>
      <c r="B58" s="1490">
        <v>159</v>
      </c>
      <c r="C58" s="1490">
        <v>141</v>
      </c>
      <c r="D58" s="1490">
        <f t="shared" si="119"/>
        <v>141</v>
      </c>
      <c r="E58" s="1490">
        <v>195</v>
      </c>
      <c r="F58" s="1491">
        <v>122</v>
      </c>
      <c r="G58" s="3305">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06">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06">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07">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8" thickBot="1">
      <c r="A62" s="1461" t="s">
        <v>1190</v>
      </c>
      <c r="B62" s="1490">
        <v>138</v>
      </c>
      <c r="C62" s="1490">
        <v>131</v>
      </c>
      <c r="D62" s="1490">
        <f t="shared" si="119"/>
        <v>131</v>
      </c>
      <c r="E62" s="1490">
        <v>155</v>
      </c>
      <c r="F62" s="1491">
        <v>114</v>
      </c>
      <c r="G62" s="3305">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06">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06">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07">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8" thickBot="1">
      <c r="A66" s="1461" t="s">
        <v>1194</v>
      </c>
      <c r="B66" s="1511">
        <v>121</v>
      </c>
      <c r="C66" s="1511">
        <v>122</v>
      </c>
      <c r="D66" s="1511">
        <f t="shared" si="119"/>
        <v>122</v>
      </c>
      <c r="E66" s="1511">
        <v>124</v>
      </c>
      <c r="F66" s="1512">
        <v>107</v>
      </c>
      <c r="G66" s="3305">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06">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06">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8"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07">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8" thickBot="1">
      <c r="A70" s="1461" t="s">
        <v>1198</v>
      </c>
      <c r="B70" s="1532">
        <v>111</v>
      </c>
      <c r="C70" s="1532">
        <v>114</v>
      </c>
      <c r="D70" s="1532">
        <f t="shared" si="119"/>
        <v>114</v>
      </c>
      <c r="E70" s="1532">
        <v>108</v>
      </c>
      <c r="F70" s="1533">
        <v>104</v>
      </c>
      <c r="G70" s="3305">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06">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06">
        <v>2003</v>
      </c>
      <c r="H72" s="1465">
        <v>2</v>
      </c>
      <c r="I72" s="1534"/>
      <c r="J72" s="1534"/>
      <c r="K72" s="1534"/>
      <c r="L72" s="1534"/>
      <c r="X72" s="1526"/>
      <c r="Y72" s="1526"/>
      <c r="Z72" s="1526"/>
    </row>
    <row r="73" spans="1:26" ht="13.8" thickBot="1">
      <c r="A73" s="1461" t="s">
        <v>1201</v>
      </c>
      <c r="B73" s="1536">
        <f t="shared" si="155"/>
        <v>107.25</v>
      </c>
      <c r="C73" s="1536">
        <f t="shared" si="155"/>
        <v>108.75</v>
      </c>
      <c r="D73" s="1536">
        <f t="shared" si="119"/>
        <v>108.75</v>
      </c>
      <c r="E73" s="1536">
        <f t="shared" si="156"/>
        <v>105.75</v>
      </c>
      <c r="F73" s="1536">
        <f t="shared" si="156"/>
        <v>102.5</v>
      </c>
      <c r="G73" s="3307">
        <v>2003</v>
      </c>
      <c r="H73" s="1537">
        <v>1</v>
      </c>
      <c r="I73" s="1534"/>
      <c r="J73" s="1534"/>
      <c r="K73" s="1534"/>
      <c r="L73" s="1534"/>
      <c r="S73" s="1472"/>
      <c r="T73" s="1473"/>
      <c r="U73" s="1473"/>
      <c r="X73" s="1526"/>
      <c r="Y73" s="1526"/>
      <c r="Z73" s="1526"/>
    </row>
    <row r="74" spans="1:26" ht="13.8" thickBot="1">
      <c r="A74" s="1461" t="s">
        <v>1202</v>
      </c>
      <c r="B74" s="1538">
        <v>106</v>
      </c>
      <c r="C74" s="1538">
        <v>107</v>
      </c>
      <c r="D74" s="1538">
        <f t="shared" si="119"/>
        <v>107</v>
      </c>
      <c r="E74" s="1538">
        <v>105</v>
      </c>
      <c r="F74" s="1539">
        <v>102</v>
      </c>
      <c r="G74" s="3305">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06">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06">
        <v>2002</v>
      </c>
      <c r="H76" s="1465">
        <v>2</v>
      </c>
      <c r="I76" s="1534"/>
      <c r="J76" s="1534"/>
      <c r="K76" s="1534"/>
      <c r="L76" s="1534"/>
      <c r="X76" s="1526"/>
      <c r="Y76" s="1526"/>
      <c r="Z76" s="1526"/>
    </row>
    <row r="77" spans="1:26" s="1498" customFormat="1" ht="13.8" thickBot="1">
      <c r="A77" s="1494" t="s">
        <v>1205</v>
      </c>
      <c r="B77" s="1540">
        <f t="shared" si="157"/>
        <v>103</v>
      </c>
      <c r="C77" s="1540">
        <f t="shared" si="157"/>
        <v>104</v>
      </c>
      <c r="D77" s="1540">
        <f t="shared" si="119"/>
        <v>104</v>
      </c>
      <c r="E77" s="1540">
        <f t="shared" si="158"/>
        <v>103.5</v>
      </c>
      <c r="F77" s="1540">
        <f t="shared" si="158"/>
        <v>100.5</v>
      </c>
      <c r="G77" s="3307">
        <v>2002</v>
      </c>
      <c r="H77" s="1541">
        <v>1</v>
      </c>
      <c r="I77" s="1542"/>
      <c r="J77" s="1542"/>
      <c r="K77" s="1542"/>
      <c r="L77" s="1542"/>
      <c r="N77" s="1543"/>
      <c r="S77" s="1543"/>
      <c r="X77" s="1544"/>
      <c r="Y77" s="1544"/>
      <c r="Z77" s="1544"/>
    </row>
    <row r="78" spans="1:26" ht="13.8"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8"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8"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317" t="s">
        <v>3003</v>
      </c>
      <c r="D1" s="3318"/>
      <c r="E1" s="3318"/>
      <c r="F1" s="3318"/>
      <c r="G1" s="3318"/>
      <c r="H1" s="3318"/>
      <c r="I1" s="3318"/>
      <c r="J1" s="3318"/>
      <c r="K1" s="3318"/>
      <c r="L1" s="3318"/>
      <c r="M1" s="3318"/>
      <c r="N1" s="3318"/>
      <c r="O1" s="3318"/>
      <c r="P1" s="3318"/>
      <c r="Q1" s="3318"/>
      <c r="R1" s="3318"/>
      <c r="S1" s="3319"/>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3012</v>
      </c>
      <c r="B17" s="2910"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3014</v>
      </c>
      <c r="E19" s="1792"/>
      <c r="F19" s="1792"/>
      <c r="G19" s="1792"/>
      <c r="H19" s="1280"/>
      <c r="I19" s="168"/>
      <c r="J19" s="168"/>
      <c r="K19" s="168"/>
      <c r="L19" s="168"/>
      <c r="M19" s="168"/>
      <c r="N19" s="168"/>
      <c r="O19" s="168"/>
      <c r="P19" s="168"/>
      <c r="Q19" s="168"/>
      <c r="R19" s="788"/>
      <c r="S19" s="138"/>
    </row>
    <row r="20" spans="1:45" ht="16.2" thickBot="1">
      <c r="A20" s="715" t="s">
        <v>3015</v>
      </c>
      <c r="B20" s="338" t="e">
        <f ca="1">IF(D20="——",S22,S22-F20)</f>
        <v>#REF!</v>
      </c>
      <c r="C20" s="168"/>
      <c r="D20" s="2912" t="s">
        <v>3016</v>
      </c>
      <c r="E20" s="1793"/>
      <c r="F20" s="1204" t="e">
        <f ca="1">SUMIF(INDIRECT("'"&amp;H20&amp;"'"&amp;"!A:A"),"承租人权益价值",INDIRECT("'"&amp;H20&amp;"'"&amp;"!c:c"))</f>
        <v>#REF!</v>
      </c>
      <c r="G20" s="1204" t="s">
        <v>3017</v>
      </c>
      <c r="H20" s="2913"/>
      <c r="I20" s="168"/>
      <c r="J20" s="168"/>
      <c r="K20" s="168"/>
      <c r="L20" s="168"/>
      <c r="M20" s="168"/>
      <c r="N20" s="168"/>
      <c r="O20" s="168"/>
      <c r="P20" s="168"/>
      <c r="Q20" s="168"/>
      <c r="R20" s="788"/>
      <c r="S20" s="138"/>
    </row>
    <row r="21" spans="1:45" ht="15.6">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76" t="s">
        <v>33</v>
      </c>
      <c r="D22" s="3177"/>
      <c r="E22" s="3177"/>
      <c r="F22" s="3177"/>
      <c r="G22" s="3177"/>
      <c r="H22" s="3177"/>
      <c r="I22" s="3177"/>
      <c r="J22" s="3177"/>
      <c r="K22" s="3177"/>
      <c r="L22" s="3177"/>
      <c r="M22" s="3177"/>
      <c r="N22" s="3177"/>
      <c r="O22" s="3177"/>
      <c r="P22" s="3177"/>
      <c r="Q22" s="3316"/>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31229</v>
      </c>
      <c r="C2" s="2" t="s">
        <v>133</v>
      </c>
      <c r="D2" s="243"/>
      <c r="E2" s="243"/>
      <c r="F2" s="243"/>
      <c r="G2" s="243"/>
    </row>
    <row r="3" spans="1:7" s="244" customFormat="1" ht="18" customHeight="1" thickBot="1">
      <c r="A3" s="247" t="s">
        <v>85</v>
      </c>
      <c r="B3" s="248">
        <f ca="1">ROUND(B2*10000/'数据-汇总表'!E3,0)</f>
        <v>1769</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3262</v>
      </c>
      <c r="D9" s="1032">
        <f>'数据-汇总表'!E5</f>
        <v>132590.15999999997</v>
      </c>
      <c r="E9" s="269">
        <f>'数据-取费表'!B27</f>
        <v>246</v>
      </c>
      <c r="F9" s="265"/>
      <c r="G9" s="270"/>
    </row>
    <row r="10" spans="1:7" s="258" customFormat="1" ht="13.5" customHeight="1">
      <c r="A10" s="950" t="s">
        <v>801</v>
      </c>
      <c r="B10" s="268" t="s">
        <v>94</v>
      </c>
      <c r="C10" s="269">
        <f>ROUND(D10*E10/10000,0)</f>
        <v>1082</v>
      </c>
      <c r="D10" s="1032">
        <f>'数据-汇总表'!E6</f>
        <v>43976.91</v>
      </c>
      <c r="E10" s="269">
        <f>'数据-取费表'!B28</f>
        <v>246</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3531</v>
      </c>
      <c r="D19" s="1036">
        <f>'数据-汇总表'!E3</f>
        <v>176567.06999999998</v>
      </c>
      <c r="E19" s="255">
        <f>'数据-取费表'!B31</f>
        <v>200</v>
      </c>
      <c r="F19" s="275"/>
      <c r="G19" s="1" t="s">
        <v>1070</v>
      </c>
    </row>
    <row r="20" spans="1:7" s="258" customFormat="1" ht="13.5" customHeight="1">
      <c r="A20" s="948" t="s">
        <v>1053</v>
      </c>
      <c r="B20" s="254" t="s">
        <v>104</v>
      </c>
      <c r="C20" s="276">
        <f>ROUND((C5+C19)*F20,0)</f>
        <v>483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573</v>
      </c>
      <c r="D22" s="279">
        <f ca="1">C26</f>
        <v>2.0000000000000001E-4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484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83</v>
      </c>
      <c r="D24" s="282"/>
      <c r="E24" s="282"/>
      <c r="F24" s="283"/>
      <c r="G24" s="284" t="s">
        <v>109</v>
      </c>
    </row>
    <row r="25" spans="1:7" s="258" customFormat="1" ht="24">
      <c r="A25" s="951" t="s">
        <v>793</v>
      </c>
      <c r="B25" s="259" t="s">
        <v>1054</v>
      </c>
      <c r="C25" s="1355">
        <f ca="1">ROUND(IF('数据-取费表'!B22&lt;=1,C20*F22*'数据-取费表'!B23/2,C20*(POWER((1+F22),'数据-取费表'!B23/2)-1)),0)</f>
        <v>6</v>
      </c>
      <c r="D25" s="282"/>
      <c r="E25" s="285"/>
      <c r="F25" s="283"/>
      <c r="G25" s="286" t="s">
        <v>110</v>
      </c>
    </row>
    <row r="26" spans="1:7" s="258" customFormat="1">
      <c r="A26" s="951" t="s">
        <v>795</v>
      </c>
      <c r="B26" s="259" t="s">
        <v>1056</v>
      </c>
      <c r="C26" s="282">
        <f ca="1">ROUND(IF('数据-取费表'!B22&lt;=1,F21*F22*'数据-取费表'!B23/2,F21*(POWER((1+F22),'数据-取费表'!B23/2)-1)),4)</f>
        <v>2.0000000000000001E-4</v>
      </c>
      <c r="D26" s="282"/>
      <c r="E26" s="285"/>
      <c r="F26" s="283"/>
      <c r="G26" s="287"/>
    </row>
    <row r="27" spans="1:7" s="258" customFormat="1" ht="26.4">
      <c r="A27" s="948" t="s">
        <v>787</v>
      </c>
      <c r="B27" s="288" t="s">
        <v>112</v>
      </c>
      <c r="C27" s="289">
        <f>C28</f>
        <v>492</v>
      </c>
      <c r="D27" s="279">
        <f>C29</f>
        <v>4.0000000000000002E-4</v>
      </c>
      <c r="E27" s="280" t="s">
        <v>126</v>
      </c>
      <c r="F27" s="290">
        <f>'数据-取费表'!Q16</f>
        <v>0.12</v>
      </c>
      <c r="G27" s="291" t="s">
        <v>1065</v>
      </c>
    </row>
    <row r="28" spans="1:7" s="258" customFormat="1" ht="13.5" customHeight="1">
      <c r="A28" s="951" t="s">
        <v>794</v>
      </c>
      <c r="B28" s="292" t="s">
        <v>1058</v>
      </c>
      <c r="C28" s="293">
        <f>ROUND((C5+C19+C20)*F27*'数据-取费表'!B21/'数据-取费表'!B20,0)</f>
        <v>492</v>
      </c>
      <c r="D28" s="279"/>
      <c r="E28" s="280"/>
      <c r="F28" s="290"/>
      <c r="G28" s="291"/>
    </row>
    <row r="29" spans="1:7" s="258" customFormat="1" ht="13.5" customHeight="1">
      <c r="A29" s="951" t="s">
        <v>792</v>
      </c>
      <c r="B29" s="292" t="s">
        <v>1059</v>
      </c>
      <c r="C29" s="282">
        <f>ROUND(C21*F27*'数据-取费表'!B21/'数据-取费表'!B20,4)</f>
        <v>4.0000000000000002E-4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27740</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2792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2408</v>
      </c>
      <c r="D34" s="261"/>
      <c r="E34" s="264"/>
      <c r="F34" s="301">
        <f>IF('数据-取费表'!B24=0,1,'数据-取费表'!N16)</f>
        <v>0.05</v>
      </c>
      <c r="G34" s="263" t="s">
        <v>116</v>
      </c>
    </row>
    <row r="35" spans="1:7" ht="13.5" customHeight="1">
      <c r="A35" s="951" t="s">
        <v>796</v>
      </c>
      <c r="B35" s="259" t="s">
        <v>60</v>
      </c>
      <c r="C35" s="264">
        <f>ROUND(C34*F35,0)</f>
        <v>72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99</v>
      </c>
      <c r="D36" s="264"/>
      <c r="E36" s="264"/>
      <c r="F36" s="303">
        <f>'数据-取费表'!B34</f>
        <v>0.05</v>
      </c>
      <c r="G36" s="304" t="s">
        <v>62</v>
      </c>
    </row>
    <row r="37" spans="1:7" s="302" customFormat="1" ht="13.5" customHeight="1">
      <c r="A37" s="951" t="s">
        <v>798</v>
      </c>
      <c r="B37" s="259" t="s">
        <v>118</v>
      </c>
      <c r="C37" s="293">
        <f>ROUND(E37*D37*F34/10000,0)</f>
        <v>177</v>
      </c>
      <c r="D37" s="261">
        <f>'数据-汇总表'!E3</f>
        <v>176567.06999999998</v>
      </c>
      <c r="E37" s="293">
        <f>'数据-取费表'!B35</f>
        <v>200</v>
      </c>
      <c r="F37" s="303"/>
      <c r="G37" s="305" t="s">
        <v>119</v>
      </c>
    </row>
    <row r="38" spans="1:7" ht="13.5" customHeight="1">
      <c r="A38" s="951" t="s">
        <v>799</v>
      </c>
      <c r="B38" s="259" t="s">
        <v>63</v>
      </c>
      <c r="C38" s="264">
        <f>ROUND(C34*F38,0)</f>
        <v>36</v>
      </c>
      <c r="D38" s="264"/>
      <c r="E38" s="264"/>
      <c r="F38" s="303">
        <f>'数据-取费表'!B36</f>
        <v>1.4999999999999999E-2</v>
      </c>
      <c r="G38" s="263" t="s">
        <v>117</v>
      </c>
    </row>
    <row r="39" spans="1:7" s="258" customFormat="1" ht="13.5" customHeight="1">
      <c r="A39" s="948" t="s">
        <v>783</v>
      </c>
      <c r="B39" s="254" t="s">
        <v>104</v>
      </c>
      <c r="C39" s="276">
        <f>ROUND(C33*F20,0)</f>
        <v>56</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34</v>
      </c>
      <c r="D41" s="279">
        <f ca="1">C44</f>
        <v>2.0000000000000001E-4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33</v>
      </c>
      <c r="D42" s="282"/>
      <c r="E42" s="282"/>
      <c r="F42" s="283"/>
      <c r="G42" s="3181" t="s">
        <v>121</v>
      </c>
    </row>
    <row r="43" spans="1:7" ht="13.5" customHeight="1">
      <c r="A43" s="951" t="s">
        <v>792</v>
      </c>
      <c r="B43" s="259" t="s">
        <v>1060</v>
      </c>
      <c r="C43" s="282">
        <f ca="1">ROUND(IF('数据-取费表'!B22&lt;=1,C39*F22*'数据-取费表'!B21/2,C39*(POWER((1+F22),'数据-取费表'!B21/2)-1)),0)</f>
        <v>1</v>
      </c>
      <c r="D43" s="282"/>
      <c r="E43" s="282"/>
      <c r="F43" s="283"/>
      <c r="G43" s="3182"/>
    </row>
    <row r="44" spans="1:7" ht="13.5" customHeight="1">
      <c r="A44" s="951" t="s">
        <v>793</v>
      </c>
      <c r="B44" s="259" t="s">
        <v>1062</v>
      </c>
      <c r="C44" s="282">
        <f ca="1">ROUND(IF('数据-取费表'!B22&lt;=1,C40*F22*'数据-取费表'!B21/2,C40*(POWER((1+F22),'数据-取费表'!B21/2)-1)),4)</f>
        <v>2.0000000000000001E-4</v>
      </c>
      <c r="D44" s="282"/>
      <c r="E44" s="282"/>
      <c r="F44" s="283"/>
      <c r="G44" s="3183"/>
    </row>
    <row r="45" spans="1:7" s="258" customFormat="1" ht="13.5" customHeight="1">
      <c r="A45" s="948" t="s">
        <v>786</v>
      </c>
      <c r="B45" s="288" t="s">
        <v>112</v>
      </c>
      <c r="C45" s="289">
        <f>C46</f>
        <v>342</v>
      </c>
      <c r="D45" s="279">
        <f>C47</f>
        <v>2.3999999999999998E-3</v>
      </c>
      <c r="E45" s="280" t="s">
        <v>129</v>
      </c>
      <c r="F45" s="290"/>
      <c r="G45" s="291" t="s">
        <v>1068</v>
      </c>
    </row>
    <row r="46" spans="1:7" s="258" customFormat="1" ht="13.5" customHeight="1">
      <c r="A46" s="951" t="s">
        <v>794</v>
      </c>
      <c r="B46" s="292" t="s">
        <v>1061</v>
      </c>
      <c r="C46" s="293">
        <f>ROUND((C33+C39)*F27,0)</f>
        <v>342</v>
      </c>
      <c r="D46" s="307"/>
      <c r="E46" s="280"/>
      <c r="F46" s="290"/>
      <c r="G46" s="291"/>
    </row>
    <row r="47" spans="1:7" s="258" customFormat="1" ht="13.5" customHeight="1">
      <c r="A47" s="951" t="s">
        <v>792</v>
      </c>
      <c r="B47" s="292" t="s">
        <v>1063</v>
      </c>
      <c r="C47" s="282">
        <f>ROUND(C40*F27,4)</f>
        <v>2.3999999999999998E-3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3489</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3489</v>
      </c>
      <c r="D51" s="276"/>
      <c r="E51" s="276"/>
      <c r="F51" s="308"/>
      <c r="G51" s="278" t="s">
        <v>64</v>
      </c>
    </row>
    <row r="52" spans="1:7" s="252" customFormat="1" ht="16.8" thickBot="1">
      <c r="A52" s="309" t="s">
        <v>65</v>
      </c>
      <c r="B52" s="310"/>
      <c r="C52" s="311">
        <f ca="1">C31+C51</f>
        <v>31229</v>
      </c>
      <c r="D52" s="310"/>
      <c r="E52" s="310"/>
      <c r="F52" s="310"/>
      <c r="G52" s="312"/>
    </row>
    <row r="55" spans="1:7" ht="15">
      <c r="B55" s="314" t="s">
        <v>66</v>
      </c>
      <c r="C55" s="315"/>
    </row>
    <row r="56" spans="1:7">
      <c r="B56" s="317" t="s">
        <v>67</v>
      </c>
      <c r="C56" s="318">
        <f ca="1">ROUND(C51/C52,3)</f>
        <v>0.112</v>
      </c>
    </row>
    <row r="57" spans="1:7">
      <c r="B57" s="317" t="s">
        <v>68</v>
      </c>
      <c r="C57" s="319">
        <f ca="1">1-C56</f>
        <v>0.88800000000000001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20" t="s">
        <v>156</v>
      </c>
      <c r="B1" s="3320"/>
      <c r="C1" s="3320"/>
      <c r="D1" s="3320"/>
      <c r="E1" s="3320"/>
      <c r="F1" s="332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21" t="s">
        <v>169</v>
      </c>
      <c r="B2" s="3321"/>
      <c r="C2" s="3321"/>
      <c r="D2" s="3321"/>
      <c r="E2" s="3321"/>
      <c r="F2" s="332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20" t="s">
        <v>867</v>
      </c>
      <c r="B1" s="3320"/>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1295</v>
      </c>
      <c r="C1" s="1694">
        <f>项目基本情况!D3</f>
        <v>43923</v>
      </c>
      <c r="D1" s="1700" t="s">
        <v>1296</v>
      </c>
      <c r="E1" s="1695">
        <f>'数据-取费表'!B22</f>
        <v>3</v>
      </c>
      <c r="F1" s="1700" t="s">
        <v>1297</v>
      </c>
      <c r="G1" s="1696">
        <f ca="1">INDIRECT("d"&amp;$K$1)/100</f>
        <v>4.7500000000000001E-2</v>
      </c>
      <c r="H1" s="1700" t="s">
        <v>1327</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7"/>
  <sheetViews>
    <sheetView workbookViewId="0">
      <selection activeCell="K25" sqref="K25"/>
    </sheetView>
  </sheetViews>
  <sheetFormatPr defaultRowHeight="14.4"/>
  <sheetData>
    <row r="1" spans="1:13" ht="27.6">
      <c r="A1" s="1782" t="s">
        <v>1367</v>
      </c>
      <c r="E1" s="1776" t="s">
        <v>1371</v>
      </c>
      <c r="F1" s="1777" t="s">
        <v>1375</v>
      </c>
    </row>
    <row r="2" spans="1:13" ht="19.8">
      <c r="A2" s="1783" t="s">
        <v>1368</v>
      </c>
    </row>
    <row r="3" spans="1:13" ht="15.6">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1:O17"/>
  <sheetViews>
    <sheetView workbookViewId="0">
      <selection activeCell="B13" sqref="B13"/>
    </sheetView>
  </sheetViews>
  <sheetFormatPr defaultRowHeight="14.4"/>
  <cols>
    <col min="1" max="1" width="2.44140625" customWidth="1"/>
    <col min="3" max="3" width="16.109375" customWidth="1"/>
    <col min="4" max="4" width="9" style="2960"/>
  </cols>
  <sheetData>
    <row r="1" spans="2:15" s="2955" customFormat="1">
      <c r="B1" s="3066" t="s">
        <v>3102</v>
      </c>
      <c r="C1" s="3066" t="s">
        <v>3096</v>
      </c>
      <c r="D1" s="3066" t="s">
        <v>3081</v>
      </c>
      <c r="E1" s="3066"/>
      <c r="F1" s="3066" t="s">
        <v>3082</v>
      </c>
      <c r="G1" s="3066"/>
      <c r="H1" s="3066"/>
      <c r="I1" s="3066"/>
      <c r="J1" s="3066"/>
      <c r="K1" s="3066"/>
      <c r="L1" s="3066" t="s">
        <v>3088</v>
      </c>
      <c r="M1" s="3066"/>
      <c r="N1" s="3066"/>
      <c r="O1" s="2956" t="s">
        <v>3117</v>
      </c>
    </row>
    <row r="2" spans="2:15" s="2955" customFormat="1">
      <c r="B2" s="3066"/>
      <c r="C2" s="3066"/>
      <c r="D2" s="2959" t="s">
        <v>3062</v>
      </c>
      <c r="E2" s="2956" t="s">
        <v>3064</v>
      </c>
      <c r="F2" s="2956" t="s">
        <v>3062</v>
      </c>
      <c r="G2" s="2956"/>
      <c r="H2" s="2956"/>
      <c r="I2" s="2956"/>
      <c r="J2" s="2956" t="s">
        <v>3064</v>
      </c>
      <c r="K2" s="2956" t="s">
        <v>3087</v>
      </c>
      <c r="L2" s="2956" t="s">
        <v>3090</v>
      </c>
      <c r="M2" s="2956" t="s">
        <v>3091</v>
      </c>
      <c r="N2" s="2956" t="s">
        <v>3092</v>
      </c>
    </row>
    <row r="3" spans="2:15" s="2955" customFormat="1">
      <c r="B3" s="2956"/>
      <c r="C3" s="2956"/>
      <c r="D3" s="2959"/>
      <c r="E3" s="2956"/>
      <c r="F3" s="2956" t="s">
        <v>3105</v>
      </c>
      <c r="G3" s="2956" t="s">
        <v>3106</v>
      </c>
      <c r="H3" s="2956" t="s">
        <v>3107</v>
      </c>
      <c r="I3" s="2956" t="s">
        <v>3108</v>
      </c>
      <c r="J3" s="2956"/>
      <c r="K3" s="2956"/>
      <c r="L3" s="2956"/>
      <c r="M3" s="2956"/>
      <c r="N3" s="2956"/>
    </row>
    <row r="4" spans="2:15">
      <c r="B4" s="2954" t="s">
        <v>3079</v>
      </c>
      <c r="C4" s="2954" t="s">
        <v>3095</v>
      </c>
      <c r="D4" s="2960">
        <v>11</v>
      </c>
      <c r="E4">
        <v>1</v>
      </c>
      <c r="F4">
        <v>5627.29</v>
      </c>
      <c r="G4">
        <v>393.21</v>
      </c>
      <c r="H4">
        <f>300.11+1055.18</f>
        <v>1355.29</v>
      </c>
      <c r="J4">
        <v>86.48</v>
      </c>
      <c r="K4">
        <f>SUM(F4:J4)</f>
        <v>7462.2699999999995</v>
      </c>
      <c r="O4" s="2954" t="s">
        <v>3119</v>
      </c>
    </row>
    <row r="5" spans="2:15">
      <c r="B5" s="2954" t="s">
        <v>3103</v>
      </c>
      <c r="C5" s="2954" t="s">
        <v>3104</v>
      </c>
      <c r="D5" s="2960">
        <v>11</v>
      </c>
      <c r="E5">
        <v>1</v>
      </c>
      <c r="I5">
        <v>2819.58</v>
      </c>
      <c r="J5">
        <v>282.33</v>
      </c>
      <c r="K5">
        <f t="shared" ref="K5:K16" si="0">SUM(F5:J5)</f>
        <v>3101.91</v>
      </c>
      <c r="O5" s="2954" t="s">
        <v>3120</v>
      </c>
    </row>
    <row r="6" spans="2:15">
      <c r="B6" s="2954" t="s">
        <v>3109</v>
      </c>
      <c r="C6" s="2954" t="s">
        <v>3104</v>
      </c>
      <c r="D6" s="2961" t="s">
        <v>3110</v>
      </c>
      <c r="E6">
        <v>1</v>
      </c>
      <c r="I6">
        <v>4866.49</v>
      </c>
      <c r="J6">
        <v>550.32000000000005</v>
      </c>
      <c r="K6">
        <f t="shared" si="0"/>
        <v>5416.8099999999995</v>
      </c>
      <c r="O6" s="2969" t="s">
        <v>3121</v>
      </c>
    </row>
    <row r="7" spans="2:15">
      <c r="B7" s="2954" t="s">
        <v>3060</v>
      </c>
      <c r="C7" s="2954" t="s">
        <v>3095</v>
      </c>
      <c r="D7" s="2960">
        <v>11</v>
      </c>
      <c r="E7">
        <v>1</v>
      </c>
      <c r="F7">
        <v>5676.46</v>
      </c>
      <c r="G7">
        <v>914.98</v>
      </c>
      <c r="J7">
        <v>410.49</v>
      </c>
      <c r="K7">
        <f t="shared" si="0"/>
        <v>7001.93</v>
      </c>
      <c r="O7" s="2969" t="s">
        <v>3119</v>
      </c>
    </row>
    <row r="8" spans="2:15" s="2968" customFormat="1">
      <c r="B8" s="2966" t="s">
        <v>3065</v>
      </c>
      <c r="C8" s="2966" t="s">
        <v>3104</v>
      </c>
      <c r="D8" s="2967" t="s">
        <v>3111</v>
      </c>
      <c r="E8" s="2968">
        <v>1</v>
      </c>
      <c r="I8" s="2968">
        <v>1961.46</v>
      </c>
      <c r="J8" s="2968">
        <v>830.12</v>
      </c>
      <c r="K8" s="2968">
        <f t="shared" si="0"/>
        <v>2791.58</v>
      </c>
      <c r="L8" s="2968">
        <v>1965.94</v>
      </c>
      <c r="M8" s="2968">
        <v>856.19</v>
      </c>
      <c r="O8" s="2966" t="s">
        <v>3118</v>
      </c>
    </row>
    <row r="9" spans="2:15" s="2968" customFormat="1">
      <c r="B9" s="2966" t="s">
        <v>3066</v>
      </c>
      <c r="C9" s="2966" t="s">
        <v>3104</v>
      </c>
      <c r="D9" s="2967" t="s">
        <v>3111</v>
      </c>
      <c r="E9" s="2968">
        <v>1</v>
      </c>
      <c r="I9" s="2968">
        <v>1961.46</v>
      </c>
      <c r="J9" s="2968">
        <v>830.12</v>
      </c>
      <c r="K9" s="2968">
        <f t="shared" si="0"/>
        <v>2791.58</v>
      </c>
      <c r="L9" s="2968">
        <v>1967.81</v>
      </c>
      <c r="M9" s="2968">
        <v>856.08</v>
      </c>
      <c r="O9" s="2966" t="s">
        <v>3118</v>
      </c>
    </row>
    <row r="10" spans="2:15">
      <c r="B10" s="2954" t="s">
        <v>3067</v>
      </c>
      <c r="C10" s="2954" t="s">
        <v>3095</v>
      </c>
      <c r="D10" s="2961" t="s">
        <v>3112</v>
      </c>
      <c r="E10">
        <v>1</v>
      </c>
      <c r="F10">
        <v>5644.26</v>
      </c>
      <c r="G10">
        <v>1016.83</v>
      </c>
      <c r="H10">
        <v>95.17</v>
      </c>
      <c r="J10">
        <v>146.11000000000001</v>
      </c>
      <c r="K10">
        <f t="shared" si="0"/>
        <v>6902.37</v>
      </c>
      <c r="O10" s="2954" t="s">
        <v>3122</v>
      </c>
    </row>
    <row r="11" spans="2:15" s="2968" customFormat="1">
      <c r="B11" s="2966" t="s">
        <v>3068</v>
      </c>
      <c r="C11" s="2966" t="s">
        <v>3104</v>
      </c>
      <c r="D11" s="2967" t="s">
        <v>3111</v>
      </c>
      <c r="E11" s="2968">
        <v>1</v>
      </c>
      <c r="I11" s="2968">
        <v>1961.46</v>
      </c>
      <c r="J11" s="2968">
        <v>830.12</v>
      </c>
      <c r="K11" s="2968">
        <f t="shared" si="0"/>
        <v>2791.58</v>
      </c>
      <c r="L11" s="2968">
        <v>1973.11</v>
      </c>
      <c r="M11" s="2968">
        <v>857.34</v>
      </c>
      <c r="O11" s="2966" t="s">
        <v>3118</v>
      </c>
    </row>
    <row r="12" spans="2:15" s="2968" customFormat="1">
      <c r="B12" s="2966" t="s">
        <v>3069</v>
      </c>
      <c r="C12" s="2966" t="s">
        <v>3104</v>
      </c>
      <c r="D12" s="2967" t="s">
        <v>3111</v>
      </c>
      <c r="E12" s="2968">
        <v>1</v>
      </c>
      <c r="I12" s="2968">
        <v>1961.46</v>
      </c>
      <c r="J12" s="2968">
        <v>830.12</v>
      </c>
      <c r="K12" s="2968">
        <f t="shared" si="0"/>
        <v>2791.58</v>
      </c>
      <c r="L12" s="2968">
        <v>1973.73</v>
      </c>
      <c r="M12" s="2968">
        <v>857.66</v>
      </c>
      <c r="O12" s="2966" t="s">
        <v>3118</v>
      </c>
    </row>
    <row r="13" spans="2:15">
      <c r="B13" s="2954" t="s">
        <v>3070</v>
      </c>
      <c r="C13" s="2954" t="s">
        <v>3100</v>
      </c>
      <c r="D13" s="2961" t="s">
        <v>3113</v>
      </c>
      <c r="I13">
        <v>238.4</v>
      </c>
      <c r="K13">
        <f t="shared" si="0"/>
        <v>238.4</v>
      </c>
    </row>
    <row r="14" spans="2:15">
      <c r="B14" s="2954" t="s">
        <v>3114</v>
      </c>
      <c r="C14" s="2954" t="s">
        <v>3100</v>
      </c>
      <c r="D14" s="2961" t="s">
        <v>3113</v>
      </c>
      <c r="I14">
        <v>431.47</v>
      </c>
      <c r="K14">
        <f t="shared" si="0"/>
        <v>431.47</v>
      </c>
    </row>
    <row r="15" spans="2:15">
      <c r="B15" s="2954" t="s">
        <v>3115</v>
      </c>
      <c r="C15" s="2954" t="s">
        <v>3100</v>
      </c>
      <c r="D15" s="2961" t="s">
        <v>3113</v>
      </c>
      <c r="G15">
        <v>420.95</v>
      </c>
      <c r="I15">
        <v>8.58</v>
      </c>
      <c r="K15">
        <f t="shared" si="0"/>
        <v>429.53</v>
      </c>
    </row>
    <row r="16" spans="2:15">
      <c r="B16" s="2954" t="s">
        <v>3116</v>
      </c>
      <c r="C16" s="2954" t="s">
        <v>3100</v>
      </c>
      <c r="E16">
        <v>1</v>
      </c>
      <c r="J16">
        <v>8570.84</v>
      </c>
      <c r="K16">
        <f t="shared" si="0"/>
        <v>8570.84</v>
      </c>
    </row>
    <row r="17" spans="2:14">
      <c r="B17" s="2954" t="s">
        <v>3087</v>
      </c>
      <c r="C17" s="2954" t="s">
        <v>3093</v>
      </c>
      <c r="D17" s="2961" t="s">
        <v>3093</v>
      </c>
      <c r="E17" s="2954" t="s">
        <v>3093</v>
      </c>
      <c r="F17">
        <f>SUM(F4:F16)</f>
        <v>16948.010000000002</v>
      </c>
      <c r="G17">
        <f t="shared" ref="G17:K17" si="1">SUM(G4:G16)</f>
        <v>2745.97</v>
      </c>
      <c r="H17">
        <f t="shared" si="1"/>
        <v>1450.46</v>
      </c>
      <c r="I17">
        <f t="shared" si="1"/>
        <v>16210.359999999995</v>
      </c>
      <c r="J17">
        <f t="shared" si="1"/>
        <v>13367.05</v>
      </c>
      <c r="K17">
        <f t="shared" si="1"/>
        <v>50721.850000000006</v>
      </c>
      <c r="L17">
        <f t="shared" ref="L17" si="2">SUM(L4:L16)</f>
        <v>7880.59</v>
      </c>
      <c r="M17">
        <f t="shared" ref="M17" si="3">SUM(M4:M16)</f>
        <v>3427.27</v>
      </c>
      <c r="N17">
        <f t="shared" ref="N17" si="4">SUM(N4:N16)</f>
        <v>0</v>
      </c>
    </row>
  </sheetData>
  <mergeCells count="5">
    <mergeCell ref="B1:B2"/>
    <mergeCell ref="C1:C2"/>
    <mergeCell ref="D1:E1"/>
    <mergeCell ref="F1:K1"/>
    <mergeCell ref="L1:N1"/>
  </mergeCells>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1635</v>
      </c>
      <c r="B2" s="3010" t="s">
        <v>1636</v>
      </c>
      <c r="C2" s="3010" t="s">
        <v>1637</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6">
      <c r="A3" s="3004"/>
      <c r="B3" s="3004"/>
      <c r="C3" s="3004"/>
      <c r="D3" s="1044" t="s">
        <v>1632</v>
      </c>
      <c r="E3" s="1044" t="s">
        <v>1638</v>
      </c>
      <c r="F3" s="1044" t="s">
        <v>1632</v>
      </c>
      <c r="G3" s="1044" t="s">
        <v>1633</v>
      </c>
      <c r="H3" s="1044" t="s">
        <v>1632</v>
      </c>
      <c r="I3" s="1044" t="s">
        <v>1633</v>
      </c>
    </row>
    <row r="4" spans="1:9" ht="30">
      <c r="A4" s="1972" t="str">
        <f>项目基本情况!S2</f>
        <v>出让国有建设用地使用权及在建建筑物房地产</v>
      </c>
      <c r="B4" s="1044">
        <f>项目基本情况!C17</f>
        <v>176567.06999999998</v>
      </c>
      <c r="C4" s="1044">
        <f>项目基本情况!C18</f>
        <v>72927</v>
      </c>
      <c r="D4" s="1044">
        <f ca="1">结果表!D118</f>
        <v>167303</v>
      </c>
      <c r="E4" s="1044">
        <f ca="1">结果表!E118</f>
        <v>9476</v>
      </c>
      <c r="F4" s="1044">
        <f ca="1">结果表!F118</f>
        <v>3240</v>
      </c>
      <c r="G4" s="1044">
        <f ca="1">结果表!G118</f>
        <v>183</v>
      </c>
      <c r="H4" s="1044">
        <f ca="1">结果表!H118</f>
        <v>170543</v>
      </c>
      <c r="I4" s="1044">
        <f ca="1">结果表!I118</f>
        <v>9659</v>
      </c>
    </row>
    <row r="5" spans="1:9" ht="30" customHeight="1">
      <c r="A5" s="3004" t="s">
        <v>1634</v>
      </c>
      <c r="B5" s="3004"/>
      <c r="C5" s="3004"/>
      <c r="D5" s="3005" t="str">
        <f ca="1">结果表!D119</f>
        <v>壹拾陆亿柒仟叁佰零叁万元整</v>
      </c>
      <c r="E5" s="3005"/>
      <c r="F5" s="3005" t="str">
        <f ca="1">结果表!F119</f>
        <v>叁仟贰佰肆拾万元整</v>
      </c>
      <c r="G5" s="3005"/>
      <c r="H5" s="3005" t="str">
        <f ca="1">结果表!H119</f>
        <v>壹拾柒亿零伍佰肆拾叁万元整</v>
      </c>
      <c r="I5" s="3005"/>
    </row>
    <row r="6" spans="1:9" ht="15.6">
      <c r="A6" s="3003" t="str">
        <f>结果表!A120</f>
        <v>估价师知悉的法定优先受偿款</v>
      </c>
      <c r="B6" s="3003"/>
      <c r="C6" s="3003"/>
      <c r="D6" s="3003">
        <f>结果表!D120</f>
        <v>0</v>
      </c>
      <c r="E6" s="3003"/>
      <c r="F6" s="3003"/>
      <c r="G6" s="3003"/>
      <c r="H6" s="3003"/>
      <c r="I6" s="3003"/>
    </row>
    <row r="7" spans="1:9" ht="15">
      <c r="A7" s="3004" t="s">
        <v>1634</v>
      </c>
      <c r="B7" s="3004"/>
      <c r="C7" s="3004"/>
      <c r="D7" s="3006" t="str">
        <f>结果表!D121</f>
        <v>零元整</v>
      </c>
      <c r="E7" s="3007"/>
      <c r="F7" s="3007"/>
      <c r="G7" s="3007"/>
      <c r="H7" s="3007"/>
      <c r="I7" s="3008"/>
    </row>
    <row r="8" spans="1:9" ht="15.6">
      <c r="A8" s="3003" t="str">
        <f>结果表!A122</f>
        <v>房地产抵押价值</v>
      </c>
      <c r="B8" s="3003"/>
      <c r="C8" s="3003"/>
      <c r="D8" s="3003">
        <f ca="1">结果表!D122</f>
        <v>170543</v>
      </c>
      <c r="E8" s="3003"/>
      <c r="F8" s="3003"/>
      <c r="G8" s="3003"/>
      <c r="H8" s="3003"/>
      <c r="I8" s="3003"/>
    </row>
    <row r="9" spans="1:9" ht="15">
      <c r="A9" s="3004" t="s">
        <v>1634</v>
      </c>
      <c r="B9" s="3004"/>
      <c r="C9" s="3004"/>
      <c r="D9" s="3005" t="str">
        <f ca="1">结果表!D123</f>
        <v>壹拾柒亿零伍佰肆拾叁万元整</v>
      </c>
      <c r="E9" s="3005"/>
      <c r="F9" s="3005"/>
      <c r="G9" s="3005"/>
      <c r="H9" s="3005"/>
      <c r="I9" s="3005"/>
    </row>
    <row r="10" spans="1:9" ht="15.6">
      <c r="A10" s="3003" t="str">
        <f>结果表!A124</f>
        <v/>
      </c>
      <c r="B10" s="3003"/>
      <c r="C10" s="3003"/>
      <c r="D10" s="3003" t="str">
        <f>结果表!D124</f>
        <v>——</v>
      </c>
      <c r="E10" s="3003"/>
      <c r="F10" s="3003"/>
      <c r="G10" s="3003"/>
      <c r="H10" s="3003"/>
      <c r="I10" s="3003"/>
    </row>
    <row r="11" spans="1:9" ht="15">
      <c r="A11" s="3004" t="s">
        <v>1634</v>
      </c>
      <c r="B11" s="3004"/>
      <c r="C11" s="3004"/>
      <c r="D11" s="3005" t="e">
        <f>结果表!D125</f>
        <v>#VALUE!</v>
      </c>
      <c r="E11" s="3005"/>
      <c r="F11" s="3005"/>
      <c r="G11" s="3005"/>
      <c r="H11" s="3005"/>
      <c r="I11" s="3005"/>
    </row>
    <row r="12" spans="1:9" ht="15.6">
      <c r="A12" s="3003" t="str">
        <f>结果表!A126</f>
        <v/>
      </c>
      <c r="B12" s="3003"/>
      <c r="C12" s="3003"/>
      <c r="D12" s="3003" t="str">
        <f>结果表!D126</f>
        <v>——</v>
      </c>
      <c r="E12" s="3003"/>
      <c r="F12" s="3003"/>
      <c r="G12" s="3003"/>
      <c r="H12" s="3003"/>
      <c r="I12" s="3003"/>
    </row>
    <row r="13" spans="1:9" ht="15.6" thickBot="1">
      <c r="A13" s="3000" t="s">
        <v>1634</v>
      </c>
      <c r="B13" s="3000"/>
      <c r="C13" s="3000"/>
      <c r="D13" s="3001" t="e">
        <f>结果表!D127</f>
        <v>#VALUE!</v>
      </c>
      <c r="E13" s="3001"/>
      <c r="F13" s="3001"/>
      <c r="G13" s="3001"/>
      <c r="H13" s="3001"/>
      <c r="I13" s="3001"/>
    </row>
    <row r="14" spans="1:9" ht="14.4" thickTop="1">
      <c r="A14" s="3002" t="s">
        <v>1639</v>
      </c>
      <c r="B14" s="3002"/>
      <c r="C14" s="3002"/>
      <c r="D14" s="3002"/>
      <c r="E14" s="3002"/>
      <c r="F14" s="3002"/>
      <c r="G14" s="3002"/>
      <c r="H14" s="3002"/>
      <c r="I14" s="3002"/>
    </row>
    <row r="16" spans="1:9" ht="17.399999999999999">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17" t="s">
        <v>1656</v>
      </c>
      <c r="B1" s="3017"/>
      <c r="C1" s="3017"/>
      <c r="D1" s="3017"/>
    </row>
    <row r="2" spans="1:4" ht="17.399999999999999">
      <c r="A2" s="3018" t="s">
        <v>1640</v>
      </c>
      <c r="B2" s="3018"/>
      <c r="C2" s="3018"/>
      <c r="D2" s="3018"/>
    </row>
    <row r="3" spans="1:4" ht="17.399999999999999">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7.399999999999999">
      <c r="A6" s="3018" t="s">
        <v>1646</v>
      </c>
      <c r="B6" s="3018"/>
      <c r="C6" s="3018"/>
      <c r="D6" s="3018"/>
    </row>
    <row r="7" spans="1:4" ht="17.399999999999999">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7.399999999999999">
      <c r="A10" s="1983" t="s">
        <v>1648</v>
      </c>
      <c r="B10" s="728"/>
      <c r="C10" s="728"/>
      <c r="D10" s="728"/>
    </row>
    <row r="11" spans="1:4" ht="30" customHeight="1">
      <c r="A11" s="3019" t="s">
        <v>1649</v>
      </c>
      <c r="B11" s="3011"/>
      <c r="C11" s="3011"/>
      <c r="D11" s="3011"/>
    </row>
    <row r="12" spans="1:4" ht="15.6">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6"/>
      <c r="C12" s="3016"/>
      <c r="D12" s="3016"/>
    </row>
    <row r="13" spans="1:4" ht="30" customHeight="1">
      <c r="A13" s="3011" t="str">
        <f>IF(项目基本情况!B8="抵押","3.抵押双方在办理抵押登记手续时，应使用本公司出具的正式《房地产评估报告》，特提醒报告使用者注意。","——")</f>
        <v>——</v>
      </c>
      <c r="B13" s="3016"/>
      <c r="C13" s="3016"/>
      <c r="D13" s="3016"/>
    </row>
    <row r="14" spans="1:4" ht="15.75" customHeight="1">
      <c r="A14" s="3011" t="str">
        <f>IF(项目基本情况!B8="抵押","4.本次评估估价师所知悉的法定优先受偿款情况说明如下：","——")</f>
        <v>——</v>
      </c>
      <c r="B14" s="3016"/>
      <c r="C14" s="3016"/>
      <c r="D14" s="3016"/>
    </row>
    <row r="15" spans="1:4" ht="42" customHeight="1">
      <c r="A15" s="3011" t="str">
        <f>IF(项目基本情况!B8="抵押","（1）"&amp;CONCATENATE(项目基本情况!L20,项目基本情况!L21,项目基本情况!L22),"——")</f>
        <v>——</v>
      </c>
      <c r="B15" s="3011"/>
      <c r="C15" s="3011"/>
      <c r="D15" s="3011"/>
    </row>
    <row r="16" spans="1:4" ht="30" customHeight="1">
      <c r="A16" s="3013" t="s">
        <v>1650</v>
      </c>
      <c r="B16" s="3013"/>
      <c r="C16" s="3013"/>
      <c r="D16" s="3013"/>
    </row>
    <row r="17" spans="1:4" ht="144" customHeight="1">
      <c r="A17" s="3013" t="s">
        <v>1651</v>
      </c>
      <c r="B17" s="3013"/>
      <c r="C17" s="3013"/>
      <c r="D17" s="3013"/>
    </row>
    <row r="18" spans="1:4" ht="15.75" customHeight="1">
      <c r="A18" s="3011" t="str">
        <f>IF(项目基本情况!B8="抵押",结果表!K120,"——")</f>
        <v>——</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1652</v>
      </c>
      <c r="B22" s="3015"/>
      <c r="C22" s="3015"/>
      <c r="D22" s="3015"/>
    </row>
    <row r="23" spans="1:4">
      <c r="A23" s="1984"/>
      <c r="B23" s="1956"/>
      <c r="C23" s="1956"/>
      <c r="D23" s="1956"/>
    </row>
    <row r="24" spans="1:4">
      <c r="A24" s="1984"/>
      <c r="B24" s="1956"/>
      <c r="C24" s="1956"/>
      <c r="D24" s="1956"/>
    </row>
    <row r="25" spans="1:4" ht="17.399999999999999">
      <c r="A25" s="1985" t="s">
        <v>1653</v>
      </c>
    </row>
    <row r="26" spans="1:4" ht="17.399999999999999">
      <c r="A26" s="1954"/>
    </row>
    <row r="27" spans="1:4" ht="17.399999999999999">
      <c r="A27" s="1954" t="s">
        <v>1654</v>
      </c>
    </row>
    <row r="30" spans="1:4" ht="17.399999999999999">
      <c r="D30" s="1985" t="s">
        <v>1655</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866</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2" customWidth="1"/>
    <col min="2" max="16384" width="14.44140625" style="1974"/>
  </cols>
  <sheetData>
    <row r="1" spans="1:7" s="1989" customFormat="1" ht="17.399999999999999">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4">
      <c r="A15" s="3025" t="s">
        <v>1663</v>
      </c>
      <c r="B15" s="3020" t="s">
        <v>136</v>
      </c>
      <c r="C15" s="3021"/>
    </row>
    <row r="16" spans="1:7" ht="14.4">
      <c r="A16" s="3026"/>
      <c r="B16" s="3020" t="s">
        <v>69</v>
      </c>
      <c r="C16" s="3021"/>
    </row>
    <row r="17" spans="1:3" ht="14.4">
      <c r="A17" s="3026"/>
      <c r="B17" s="3023" t="s">
        <v>1664</v>
      </c>
      <c r="C17" s="1999" t="s">
        <v>1663</v>
      </c>
    </row>
    <row r="18" spans="1:3" ht="14.4">
      <c r="A18" s="3026"/>
      <c r="B18" s="3023"/>
      <c r="C18" s="1999" t="s">
        <v>1665</v>
      </c>
    </row>
    <row r="19" spans="1:3" ht="14.4">
      <c r="A19" s="3026"/>
      <c r="B19" s="3023"/>
      <c r="C19" s="1999" t="s">
        <v>1666</v>
      </c>
    </row>
    <row r="20" spans="1:3" ht="14.4">
      <c r="A20" s="3027"/>
      <c r="B20" s="3022" t="s">
        <v>1667</v>
      </c>
      <c r="C20" s="3021"/>
    </row>
    <row r="21" spans="1:3" ht="14.4">
      <c r="A21" s="2000" t="s">
        <v>1668</v>
      </c>
      <c r="B21" s="2001"/>
      <c r="C21" s="2002"/>
    </row>
    <row r="22" spans="1:3" ht="14.4">
      <c r="A22" s="3024" t="s">
        <v>1669</v>
      </c>
      <c r="B22" s="3022" t="s">
        <v>1670</v>
      </c>
      <c r="C22" s="3021"/>
    </row>
    <row r="23" spans="1:3" ht="14.4">
      <c r="A23" s="3024"/>
      <c r="B23" s="3022" t="s">
        <v>1671</v>
      </c>
      <c r="C23" s="3021"/>
    </row>
    <row r="24" spans="1:3" ht="14.4">
      <c r="A24" s="3024"/>
      <c r="B24" s="3022" t="s">
        <v>1672</v>
      </c>
      <c r="C24" s="3021"/>
    </row>
    <row r="25" spans="1:3" ht="14.4">
      <c r="A25" s="3024"/>
      <c r="B25" s="3023" t="s">
        <v>1673</v>
      </c>
      <c r="C25" s="1999" t="s">
        <v>1674</v>
      </c>
    </row>
    <row r="26" spans="1:3" ht="14.4">
      <c r="A26" s="3024"/>
      <c r="B26" s="3023"/>
      <c r="C26" s="1999" t="s">
        <v>1675</v>
      </c>
    </row>
    <row r="27" spans="1:3" ht="14.4">
      <c r="A27" s="3024"/>
      <c r="B27" s="3023"/>
      <c r="C27" s="1999" t="s">
        <v>1676</v>
      </c>
    </row>
    <row r="28" spans="1:3" ht="14.4">
      <c r="A28" s="3024"/>
      <c r="B28" s="3023"/>
      <c r="C28" s="1999" t="s">
        <v>1677</v>
      </c>
    </row>
    <row r="29" spans="1:3" ht="14.4">
      <c r="A29" s="3024"/>
      <c r="B29" s="3023"/>
      <c r="C29" s="1999" t="s">
        <v>1678</v>
      </c>
    </row>
    <row r="30" spans="1:3" ht="14.4">
      <c r="A30" s="3024"/>
      <c r="B30" s="3023"/>
      <c r="C30" s="1999" t="s">
        <v>1679</v>
      </c>
    </row>
    <row r="31" spans="1:3" ht="14.4">
      <c r="A31" s="3024"/>
      <c r="B31" s="3023"/>
      <c r="C31" s="1999" t="s">
        <v>1680</v>
      </c>
    </row>
    <row r="32" spans="1:3" ht="14.4">
      <c r="A32" s="3024"/>
      <c r="B32" s="3023"/>
      <c r="C32" s="1999" t="s">
        <v>1681</v>
      </c>
    </row>
    <row r="33" spans="1:3" ht="14.4">
      <c r="A33" s="3024"/>
      <c r="B33" s="3023"/>
      <c r="C33" s="1999" t="s">
        <v>1682</v>
      </c>
    </row>
    <row r="34" spans="1:3">
      <c r="A34" s="2003" t="s">
        <v>76</v>
      </c>
    </row>
    <row r="37" spans="1:3">
      <c r="A37" s="2003" t="s">
        <v>1683</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60" zoomScaleNormal="100" workbookViewId="0">
      <selection activeCell="B19" sqref="B1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43924</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929">
        <v>44876</v>
      </c>
      <c r="D4" s="2350" t="s">
        <v>832</v>
      </c>
      <c r="E4" s="1022">
        <f ca="1">IF(F4&lt;B2,"已过期",96010014)</f>
        <v>96010014</v>
      </c>
      <c r="F4" s="1030">
        <v>47118</v>
      </c>
    </row>
    <row r="5" spans="1:6" ht="24" customHeight="1">
      <c r="A5" s="1702"/>
      <c r="B5" s="1022"/>
      <c r="C5" s="2347"/>
      <c r="D5" s="2350"/>
      <c r="E5" s="1022"/>
      <c r="F5" s="1030"/>
    </row>
    <row r="6" spans="1:6" ht="24" customHeight="1">
      <c r="A6" s="1702" t="s">
        <v>833</v>
      </c>
      <c r="B6" s="1022">
        <f ca="1">IF(C6&lt;B2,"已过期",1119970111)</f>
        <v>1119970111</v>
      </c>
      <c r="C6" s="2347">
        <v>44876</v>
      </c>
      <c r="D6" s="2350" t="s">
        <v>833</v>
      </c>
      <c r="E6" s="1022">
        <f ca="1">IF(F6&lt;B2,"已过期",94010078)</f>
        <v>94010078</v>
      </c>
      <c r="F6" s="1030">
        <v>46387</v>
      </c>
    </row>
    <row r="7" spans="1:6" ht="24" customHeight="1">
      <c r="A7" s="1702" t="s">
        <v>834</v>
      </c>
      <c r="B7" s="1022">
        <f ca="1">IF(C7&lt;B2,"已过期",1120050019)</f>
        <v>1120050019</v>
      </c>
      <c r="C7" s="2347">
        <v>44395</v>
      </c>
      <c r="D7" s="2350" t="s">
        <v>834</v>
      </c>
      <c r="E7" s="1022">
        <f ca="1">IF(F7&lt;B2,"已过期",2002110030)</f>
        <v>2002110030</v>
      </c>
      <c r="F7" s="1030">
        <v>46387</v>
      </c>
    </row>
    <row r="8" spans="1:6" ht="24" customHeight="1">
      <c r="A8" s="1702" t="s">
        <v>835</v>
      </c>
      <c r="B8" s="1022">
        <f ca="1">IF(C8&lt;B2,"已过期",1120000080)</f>
        <v>1120000080</v>
      </c>
      <c r="C8" s="2929">
        <v>44876</v>
      </c>
      <c r="D8" s="2350" t="s">
        <v>835</v>
      </c>
      <c r="E8" s="1022">
        <f ca="1">IF(F8&lt;B2,"已过期",2000110082)</f>
        <v>2000110082</v>
      </c>
      <c r="F8" s="1030">
        <v>46387</v>
      </c>
    </row>
    <row r="9" spans="1:6" ht="24" customHeight="1">
      <c r="A9" s="1702" t="s">
        <v>836</v>
      </c>
      <c r="B9" s="1022">
        <f ca="1">IF(C9&lt;B2,"已过期",1419970001)</f>
        <v>1419970001</v>
      </c>
      <c r="C9" s="2929">
        <v>44899</v>
      </c>
      <c r="D9" s="2350" t="s">
        <v>836</v>
      </c>
      <c r="E9" s="1022">
        <f ca="1">IF(F9&lt;B2,"已过期",2002110125)</f>
        <v>2002110125</v>
      </c>
      <c r="F9" s="1030">
        <v>47118</v>
      </c>
    </row>
    <row r="10" spans="1:6" ht="24" customHeight="1">
      <c r="A10" s="1702" t="s">
        <v>837</v>
      </c>
      <c r="B10" s="1022">
        <f ca="1">IF(C10&lt;B2,"已过期",1120060040)</f>
        <v>1120060040</v>
      </c>
      <c r="C10" s="2347">
        <v>44554</v>
      </c>
      <c r="D10" s="2350" t="s">
        <v>837</v>
      </c>
      <c r="E10" s="1022">
        <f ca="1">IF(F10&lt;B2,"已过期",2004110096)</f>
        <v>2004110096</v>
      </c>
      <c r="F10" s="1030">
        <v>47118</v>
      </c>
    </row>
    <row r="11" spans="1:6" ht="24" customHeight="1">
      <c r="A11" s="1702" t="s">
        <v>838</v>
      </c>
      <c r="B11" s="1022">
        <f ca="1">IF(C11&lt;B2,"已过期",1120100036)</f>
        <v>1120100036</v>
      </c>
      <c r="C11" s="2347">
        <v>44675</v>
      </c>
      <c r="D11" s="2350" t="s">
        <v>838</v>
      </c>
      <c r="E11" s="1022">
        <f ca="1">IF(F11&lt;B2,"已过期",2010110070)</f>
        <v>2010110070</v>
      </c>
      <c r="F11" s="1030">
        <v>47907</v>
      </c>
    </row>
    <row r="12" spans="1:6" ht="24" customHeight="1">
      <c r="A12" s="1702"/>
      <c r="B12" s="1022"/>
      <c r="C12" s="2929"/>
      <c r="D12" s="1702"/>
      <c r="E12" s="1022"/>
      <c r="F12" s="1030"/>
    </row>
    <row r="13" spans="1:6" ht="24" customHeight="1">
      <c r="A13" s="1702" t="s">
        <v>839</v>
      </c>
      <c r="B13" s="1022">
        <f ca="1">IF(C13&lt;B2,"已过期",1120070131)</f>
        <v>1120070131</v>
      </c>
      <c r="C13" s="2347">
        <v>44849</v>
      </c>
      <c r="D13" s="2350" t="s">
        <v>839</v>
      </c>
      <c r="E13" s="1022">
        <f ca="1">IF(F13&lt;B2,"已过期",2014110011)</f>
        <v>2014110011</v>
      </c>
      <c r="F13" s="1030">
        <v>49302</v>
      </c>
    </row>
    <row r="14" spans="1:6" ht="24" customHeight="1">
      <c r="A14" s="1702" t="s">
        <v>3043</v>
      </c>
      <c r="B14" s="1022">
        <f ca="1">IF(C14&lt;B2,"已过期",1120040230)</f>
        <v>1120040230</v>
      </c>
      <c r="C14" s="2347">
        <v>44864</v>
      </c>
      <c r="D14" s="2350" t="s">
        <v>3043</v>
      </c>
      <c r="E14" s="1022">
        <f ca="1">IF(F14&lt;B2,"已过期",98030020)</f>
        <v>98030020</v>
      </c>
      <c r="F14" s="1030">
        <v>47118</v>
      </c>
    </row>
    <row r="15" spans="1:6" ht="24" customHeight="1">
      <c r="A15" s="1703"/>
      <c r="B15" s="1022"/>
      <c r="C15" s="2347"/>
      <c r="D15" s="2351"/>
      <c r="E15" s="1022"/>
      <c r="F15" s="1023"/>
    </row>
    <row r="16" spans="1:6" ht="24" customHeight="1">
      <c r="A16" s="1702"/>
      <c r="B16" s="1022"/>
      <c r="C16" s="2929"/>
      <c r="D16" s="2350"/>
      <c r="E16" s="1022"/>
      <c r="F16" s="1030"/>
    </row>
    <row r="17" spans="1:7" ht="24" customHeight="1">
      <c r="A17" s="1702"/>
      <c r="B17" s="1022"/>
      <c r="C17" s="2347"/>
      <c r="D17" s="2350"/>
      <c r="E17" s="1022"/>
      <c r="F17" s="1030"/>
    </row>
    <row r="18" spans="1:7" ht="24" customHeight="1">
      <c r="A18" s="1702" t="s">
        <v>3050</v>
      </c>
      <c r="B18" s="1022">
        <v>1120190079</v>
      </c>
      <c r="C18" s="2929">
        <v>44826</v>
      </c>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840</v>
      </c>
      <c r="E21" s="1022">
        <f ca="1">IF(F21&lt;B2,"已过期",2011110090)</f>
        <v>2011110090</v>
      </c>
      <c r="F21" s="1030">
        <v>48302</v>
      </c>
    </row>
    <row r="22" spans="1:7" ht="24" customHeight="1">
      <c r="A22" s="1702" t="s">
        <v>841</v>
      </c>
      <c r="B22" s="1022">
        <f ca="1">IF(C22&lt;B2,"已过期",1120020033)</f>
        <v>1120020033</v>
      </c>
      <c r="C22" s="2929">
        <v>44339</v>
      </c>
      <c r="D22" s="2350" t="s">
        <v>841</v>
      </c>
      <c r="E22" s="1022">
        <f ca="1">IF(F22&lt;B2,"已过期",2000110137)</f>
        <v>2000110137</v>
      </c>
      <c r="F22" s="1030">
        <v>46387</v>
      </c>
    </row>
    <row r="23" spans="1:7" ht="24" customHeight="1">
      <c r="A23" s="1702" t="s">
        <v>3052</v>
      </c>
      <c r="B23" s="1022">
        <v>1119980106</v>
      </c>
      <c r="C23" s="2347">
        <v>43916</v>
      </c>
      <c r="D23" s="1702" t="s">
        <v>3055</v>
      </c>
      <c r="E23" s="1022">
        <v>96010063</v>
      </c>
      <c r="F23" s="1030">
        <v>47118</v>
      </c>
    </row>
    <row r="24" spans="1:7" s="1024" customFormat="1" ht="24" customHeight="1">
      <c r="A24" s="1703" t="s">
        <v>1328</v>
      </c>
      <c r="B24" s="1703" t="s">
        <v>1328</v>
      </c>
      <c r="C24" s="2348" t="s">
        <v>1328</v>
      </c>
      <c r="D24" s="2351" t="s">
        <v>1328</v>
      </c>
      <c r="E24" s="1703" t="s">
        <v>1328</v>
      </c>
      <c r="F24" s="1703" t="s">
        <v>1328</v>
      </c>
    </row>
    <row r="25" spans="1:7" ht="24" customHeight="1">
      <c r="A25" s="3028" t="s">
        <v>842</v>
      </c>
      <c r="B25" s="3028"/>
      <c r="C25" s="3028"/>
      <c r="D25" s="3028"/>
      <c r="E25" s="3028"/>
      <c r="F25" s="3028"/>
      <c r="G25" s="3028"/>
    </row>
    <row r="26" spans="1:7" s="1025" customFormat="1" ht="24" customHeight="1">
      <c r="A26" s="3029" t="s">
        <v>843</v>
      </c>
      <c r="B26" s="3029"/>
      <c r="C26" s="3030"/>
      <c r="D26" s="3031" t="s">
        <v>844</v>
      </c>
      <c r="E26" s="3029"/>
      <c r="F26" s="3029"/>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D地块</vt:lpstr>
      <vt:lpstr>数据-汇总表</vt:lpstr>
      <vt:lpstr>数据-取费表</vt:lpstr>
      <vt:lpstr>估价对象房地状况</vt:lpstr>
      <vt:lpstr>系统读取表</vt:lpstr>
      <vt:lpstr>结果表</vt:lpstr>
      <vt:lpstr>成本法</vt:lpstr>
      <vt:lpstr>成本法 (元)</vt:lpstr>
      <vt:lpstr>土地比较法-住宅、综合</vt:lpstr>
      <vt:lpstr>Sheet0</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方信地块</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lixin</cp:lastModifiedBy>
  <cp:lastPrinted>2017-03-01T09:15:43Z</cp:lastPrinted>
  <dcterms:created xsi:type="dcterms:W3CDTF">2015-07-13T07:17:23Z</dcterms:created>
  <dcterms:modified xsi:type="dcterms:W3CDTF">2020-04-03T03:58:35Z</dcterms:modified>
</cp:coreProperties>
</file>