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30" windowWidth="14265" windowHeight="1243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明细" sheetId="81"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大宗" sheetId="82" r:id="rId46"/>
    <sheet name="Sheet1" sheetId="83" state="hidden" r:id="rId47"/>
    <sheet name="收益法" sheetId="15" state="hidden" r:id="rId48"/>
    <sheet name="租赁台账" sheetId="84" r:id="rId49"/>
  </sheets>
  <externalReferences>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 i="43" l="1"/>
  <c r="C5" i="43"/>
  <c r="C33" i="43"/>
  <c r="C40" i="43"/>
  <c r="N18" i="1" l="1"/>
  <c r="Q30" i="82" l="1"/>
  <c r="Q19" i="82"/>
  <c r="F36" i="6"/>
  <c r="W31" i="82"/>
  <c r="W30" i="82"/>
  <c r="W19" i="82"/>
  <c r="V31" i="82"/>
  <c r="V30" i="82"/>
  <c r="V19" i="82"/>
  <c r="P59" i="34"/>
  <c r="Q59" i="34"/>
  <c r="R59" i="34" s="1"/>
  <c r="S59" i="34" s="1"/>
  <c r="T59" i="34" s="1"/>
  <c r="U59" i="34" s="1"/>
  <c r="V59" i="34" s="1"/>
  <c r="I7" i="34"/>
  <c r="G7" i="34"/>
  <c r="E7" i="34"/>
  <c r="N20" i="1"/>
  <c r="I37" i="34" l="1"/>
  <c r="G37" i="34"/>
  <c r="I34" i="34"/>
  <c r="G34" i="34"/>
  <c r="G48" i="34"/>
  <c r="G5" i="34"/>
  <c r="N30" i="82"/>
  <c r="N32" i="82"/>
  <c r="H32" i="82"/>
  <c r="Q32" i="82"/>
  <c r="E34" i="34"/>
  <c r="E37" i="34"/>
  <c r="E5" i="34"/>
  <c r="Q31" i="82"/>
  <c r="M31" i="82"/>
  <c r="N31" i="82"/>
  <c r="I31" i="82"/>
  <c r="I32" i="82" l="1"/>
  <c r="E59" i="84"/>
  <c r="L56" i="84"/>
  <c r="K56" i="84"/>
  <c r="M56" i="84" s="1"/>
  <c r="L55" i="84"/>
  <c r="K55" i="84"/>
  <c r="M55" i="84" s="1"/>
  <c r="L54" i="84"/>
  <c r="L59" i="84" s="1"/>
  <c r="K54" i="84"/>
  <c r="M54" i="84" s="1"/>
  <c r="L52" i="84"/>
  <c r="K52" i="84"/>
  <c r="M52" i="84" s="1"/>
  <c r="K51" i="84"/>
  <c r="M51" i="84" s="1"/>
  <c r="E49" i="84"/>
  <c r="L47" i="84"/>
  <c r="K47" i="84"/>
  <c r="M47" i="84" s="1"/>
  <c r="L46" i="84"/>
  <c r="K46" i="84"/>
  <c r="M46" i="84" s="1"/>
  <c r="L45" i="84"/>
  <c r="K45" i="84"/>
  <c r="M45" i="84" s="1"/>
  <c r="L44" i="84"/>
  <c r="K44" i="84"/>
  <c r="M44" i="84" s="1"/>
  <c r="L43" i="84"/>
  <c r="K43" i="84"/>
  <c r="M43" i="84" s="1"/>
  <c r="L42" i="84"/>
  <c r="K42" i="84"/>
  <c r="M42" i="84" s="1"/>
  <c r="L41" i="84"/>
  <c r="K41" i="84"/>
  <c r="M41" i="84" s="1"/>
  <c r="L40" i="84"/>
  <c r="K40" i="84"/>
  <c r="M40" i="84" s="1"/>
  <c r="L39" i="84"/>
  <c r="K39" i="84"/>
  <c r="M39" i="84" s="1"/>
  <c r="L38" i="84"/>
  <c r="K38" i="84"/>
  <c r="M38" i="84" s="1"/>
  <c r="L37" i="84"/>
  <c r="K37" i="84"/>
  <c r="M37" i="84" s="1"/>
  <c r="L36" i="84"/>
  <c r="K36" i="84"/>
  <c r="M36" i="84" s="1"/>
  <c r="K35" i="84"/>
  <c r="J35" i="84"/>
  <c r="L35" i="84" s="1"/>
  <c r="K34" i="84"/>
  <c r="J34" i="84"/>
  <c r="L34" i="84" s="1"/>
  <c r="L32" i="84"/>
  <c r="K32" i="84"/>
  <c r="M32" i="84" s="1"/>
  <c r="L31" i="84"/>
  <c r="K31" i="84"/>
  <c r="M31" i="84" s="1"/>
  <c r="K30" i="84"/>
  <c r="J30" i="84"/>
  <c r="L30" i="84" s="1"/>
  <c r="K29" i="84"/>
  <c r="J29" i="84"/>
  <c r="L29" i="84" s="1"/>
  <c r="K28" i="84"/>
  <c r="J28" i="84"/>
  <c r="L28" i="84" s="1"/>
  <c r="K27" i="84"/>
  <c r="J27" i="84"/>
  <c r="L27" i="84" s="1"/>
  <c r="K26" i="84"/>
  <c r="J26" i="84"/>
  <c r="L26" i="84" s="1"/>
  <c r="K25" i="84"/>
  <c r="J25" i="84"/>
  <c r="L25" i="84" s="1"/>
  <c r="K24" i="84"/>
  <c r="J24" i="84"/>
  <c r="L24" i="84" s="1"/>
  <c r="K23" i="84"/>
  <c r="J23" i="84"/>
  <c r="L23" i="84" s="1"/>
  <c r="K22" i="84"/>
  <c r="J22" i="84"/>
  <c r="L22" i="84" s="1"/>
  <c r="M21" i="84"/>
  <c r="L21" i="84"/>
  <c r="K20" i="84"/>
  <c r="J20" i="84"/>
  <c r="L20" i="84" s="1"/>
  <c r="M19" i="84"/>
  <c r="L19" i="84"/>
  <c r="L18" i="84"/>
  <c r="K18" i="84"/>
  <c r="M18" i="84" s="1"/>
  <c r="L17" i="84"/>
  <c r="K17" i="84"/>
  <c r="M17" i="84" s="1"/>
  <c r="L16" i="84"/>
  <c r="K16" i="84"/>
  <c r="M16" i="84" s="1"/>
  <c r="L15" i="84"/>
  <c r="K15" i="84"/>
  <c r="M15" i="84" s="1"/>
  <c r="K14" i="84"/>
  <c r="J14" i="84"/>
  <c r="L14" i="84" s="1"/>
  <c r="J13" i="84"/>
  <c r="L13" i="84" s="1"/>
  <c r="I13" i="84"/>
  <c r="K13" i="84" s="1"/>
  <c r="M13" i="84" s="1"/>
  <c r="L11" i="84"/>
  <c r="K11" i="84"/>
  <c r="M11" i="84" s="1"/>
  <c r="L10" i="84"/>
  <c r="K10" i="84"/>
  <c r="M10" i="84" s="1"/>
  <c r="L9" i="84"/>
  <c r="K9" i="84"/>
  <c r="M9" i="84" s="1"/>
  <c r="M8" i="84"/>
  <c r="I8" i="84"/>
  <c r="L7" i="84"/>
  <c r="K7" i="84"/>
  <c r="M7" i="84" s="1"/>
  <c r="L6" i="84"/>
  <c r="K6" i="84"/>
  <c r="M6" i="84" s="1"/>
  <c r="K5" i="84"/>
  <c r="J5" i="84"/>
  <c r="L5" i="84" s="1"/>
  <c r="M5" i="84" s="1"/>
  <c r="K4" i="84"/>
  <c r="J4" i="84"/>
  <c r="L4" i="84" s="1"/>
  <c r="L49" i="84" s="1"/>
  <c r="K49" i="84" l="1"/>
  <c r="M14" i="84"/>
  <c r="M20" i="84"/>
  <c r="M22" i="84"/>
  <c r="M23" i="84"/>
  <c r="M24" i="84"/>
  <c r="M25" i="84"/>
  <c r="M26" i="84"/>
  <c r="M27" i="84"/>
  <c r="M28" i="84"/>
  <c r="M29" i="84"/>
  <c r="M30" i="84"/>
  <c r="M34" i="84"/>
  <c r="M35" i="84"/>
  <c r="K59" i="84"/>
  <c r="M4" i="84"/>
  <c r="E48" i="34"/>
  <c r="C34" i="34"/>
  <c r="D3" i="4" l="1"/>
  <c r="G13" i="81" l="1"/>
  <c r="D3" i="34" l="1"/>
  <c r="I5" i="34"/>
  <c r="I48" i="34"/>
  <c r="P17" i="82"/>
  <c r="P11" i="82"/>
  <c r="G12" i="81" l="1"/>
  <c r="G7" i="81"/>
  <c r="G8" i="81"/>
  <c r="G6" i="81"/>
  <c r="G5" i="81"/>
  <c r="E5" i="81" l="1"/>
  <c r="D40" i="43"/>
  <c r="D42" i="43"/>
  <c r="D33" i="43"/>
  <c r="G19" i="6"/>
  <c r="F19" i="6"/>
  <c r="K13" i="3"/>
  <c r="I13" i="3"/>
  <c r="C12" i="81"/>
  <c r="E6" i="81" l="1"/>
  <c r="E7" i="81" s="1"/>
  <c r="E8" i="81" s="1"/>
  <c r="S7" i="43"/>
  <c r="E12" i="81" l="1"/>
  <c r="E13" i="81" l="1"/>
  <c r="U6" i="1"/>
  <c r="I47" i="33"/>
  <c r="G47" i="33"/>
  <c r="E47" i="33"/>
  <c r="N6" i="1"/>
  <c r="C37"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A6" i="52" s="1"/>
  <c r="B57" i="72" s="1"/>
  <c r="H2" i="52"/>
  <c r="A1" i="52"/>
  <c r="A3" i="53"/>
  <c r="Q26" i="71"/>
  <c r="P26" i="71"/>
  <c r="O26" i="71"/>
  <c r="N26" i="71"/>
  <c r="A15" i="51"/>
  <c r="B12" i="72" s="1"/>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J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s="1"/>
  <c r="Q41" i="34"/>
  <c r="Z41" i="34"/>
  <c r="Q40" i="34"/>
  <c r="Z40" i="34" s="1"/>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s="1"/>
  <c r="Q14" i="34"/>
  <c r="Z14" i="34" s="1"/>
  <c r="Q13" i="34"/>
  <c r="Z13" i="34" s="1"/>
  <c r="Q12" i="34"/>
  <c r="Z12" i="34" s="1"/>
  <c r="J12" i="34"/>
  <c r="W12" i="34" s="1"/>
  <c r="H12" i="34"/>
  <c r="U12" i="34" s="1"/>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9" i="34"/>
  <c r="U34" i="34"/>
  <c r="H39" i="33"/>
  <c r="AB39" i="33"/>
  <c r="F26" i="33"/>
  <c r="AA26" i="33"/>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S35" i="34"/>
  <c r="F28" i="34"/>
  <c r="AA28" i="34" s="1"/>
  <c r="F27" i="34"/>
  <c r="AA27" i="34" s="1"/>
  <c r="F25" i="34"/>
  <c r="S25" i="34" s="1"/>
  <c r="F19" i="34"/>
  <c r="AA19" i="34" s="1"/>
  <c r="H17" i="34"/>
  <c r="U17" i="34" s="1"/>
  <c r="F15" i="34"/>
  <c r="AA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J19" i="34"/>
  <c r="AC19" i="34" s="1"/>
  <c r="F17" i="34"/>
  <c r="AA17" i="34" s="1"/>
  <c r="J17" i="34"/>
  <c r="W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c r="J30" i="34"/>
  <c r="W30" i="34"/>
  <c r="H32" i="34"/>
  <c r="F32" i="34"/>
  <c r="S32" i="34" s="1"/>
  <c r="J32" i="34"/>
  <c r="W32" i="34"/>
  <c r="H46" i="34"/>
  <c r="U46" i="34" s="1"/>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c r="H29" i="34"/>
  <c r="AB29" i="34"/>
  <c r="J31" i="34"/>
  <c r="AC31" i="34"/>
  <c r="H31" i="34"/>
  <c r="AB31" i="34"/>
  <c r="F31" i="34"/>
  <c r="S31" i="34"/>
  <c r="H45" i="34"/>
  <c r="U45" i="34" s="1"/>
  <c r="F45" i="34"/>
  <c r="S45"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3" i="34"/>
  <c r="W41" i="34"/>
  <c r="AC42" i="34"/>
  <c r="AB41" i="34"/>
  <c r="AA25" i="34"/>
  <c r="U28" i="34"/>
  <c r="S17" i="34"/>
  <c r="AA29" i="34"/>
  <c r="U27" i="34"/>
  <c r="S13" i="34"/>
  <c r="H10" i="34"/>
  <c r="AB10" i="34" s="1"/>
  <c r="F11" i="34"/>
  <c r="S11" i="34" s="1"/>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A31" i="34"/>
  <c r="AA30" i="34"/>
  <c r="U25" i="34"/>
  <c r="AC14" i="34"/>
  <c r="AC32" i="34"/>
  <c r="W29" i="34"/>
  <c r="W46" i="34"/>
  <c r="AC46" i="34"/>
  <c r="AA32" i="34"/>
  <c r="AB30" i="34"/>
  <c r="U38" i="34"/>
  <c r="AC40" i="34"/>
  <c r="S19" i="34"/>
  <c r="AA36" i="34"/>
  <c r="AA8" i="34"/>
  <c r="S8" i="34"/>
  <c r="AB9" i="34"/>
  <c r="U9" i="34"/>
  <c r="U32" i="34"/>
  <c r="AB32" i="34"/>
  <c r="U14" i="34"/>
  <c r="AB14" i="34"/>
  <c r="W43" i="34"/>
  <c r="AC35" i="34"/>
  <c r="W35"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148" i="3"/>
  <c r="E199" i="3"/>
  <c r="E575" i="3"/>
  <c r="R6" i="3"/>
  <c r="E442" i="3"/>
  <c r="E541" i="3"/>
  <c r="E449" i="3"/>
  <c r="I3" i="6"/>
  <c r="E554" i="3"/>
  <c r="E435" i="3"/>
  <c r="E417" i="3"/>
  <c r="E56" i="3"/>
  <c r="E95" i="3"/>
  <c r="E132" i="3"/>
  <c r="E258" i="3"/>
  <c r="E276" i="3"/>
  <c r="E346" i="3"/>
  <c r="E333" i="3"/>
  <c r="E372" i="3"/>
  <c r="L6" i="3"/>
  <c r="E60" i="3"/>
  <c r="E43" i="3"/>
  <c r="E540" i="3"/>
  <c r="E473" i="3"/>
  <c r="E15" i="3"/>
  <c r="E455" i="3"/>
  <c r="E79" i="3"/>
  <c r="E38" i="3"/>
  <c r="E100"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W25" i="33"/>
  <c r="AC25" i="33"/>
  <c r="AA23" i="33"/>
  <c r="S23" i="33"/>
  <c r="AB19" i="33"/>
  <c r="U19" i="33"/>
  <c r="AA17" i="33"/>
  <c r="S17" i="33"/>
  <c r="U17" i="33"/>
  <c r="AB17" i="33"/>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8" i="67"/>
  <c r="F40" i="67"/>
  <c r="B8" i="76"/>
  <c r="B7" i="76"/>
  <c r="M29" i="67"/>
  <c r="F9" i="15"/>
  <c r="E2" i="68"/>
  <c r="M28" i="15"/>
  <c r="B12" i="76"/>
  <c r="F37" i="67"/>
  <c r="M23" i="67"/>
  <c r="F13" i="67"/>
  <c r="M24" i="67"/>
  <c r="B11" i="76"/>
  <c r="F36" i="67"/>
  <c r="M26" i="15"/>
  <c r="D3" i="73"/>
  <c r="M28" i="67"/>
  <c r="F38" i="15"/>
  <c r="M24" i="15"/>
  <c r="E8" i="76"/>
  <c r="B10" i="76"/>
  <c r="B13" i="76"/>
  <c r="L47" i="67"/>
  <c r="D4" i="73"/>
  <c r="B9" i="76"/>
  <c r="F20" i="31"/>
  <c r="L48" i="15"/>
  <c r="F16" i="15"/>
  <c r="M6" i="15"/>
  <c r="D5" i="73"/>
  <c r="M6" i="67"/>
  <c r="M9" i="15"/>
  <c r="C76" i="15"/>
  <c r="F7" i="67"/>
  <c r="M9" i="67"/>
  <c r="F8" i="15"/>
  <c r="F26" i="15"/>
  <c r="AO13" i="1"/>
  <c r="F7" i="73"/>
  <c r="F8" i="67"/>
  <c r="E10" i="76"/>
  <c r="F6" i="67"/>
  <c r="L48" i="67"/>
  <c r="F37" i="15"/>
  <c r="F42" i="67"/>
  <c r="F13" i="15"/>
  <c r="L47" i="15"/>
  <c r="E2" i="69"/>
  <c r="E12" i="76"/>
  <c r="F38" i="67"/>
  <c r="F6" i="15"/>
  <c r="F4" i="73"/>
  <c r="F9" i="67"/>
  <c r="E13" i="76"/>
  <c r="M23" i="15"/>
  <c r="J15" i="15"/>
  <c r="F6" i="73"/>
  <c r="M22" i="67"/>
  <c r="F3" i="73"/>
  <c r="E11" i="76"/>
  <c r="D7" i="73"/>
  <c r="C76" i="67"/>
  <c r="F43" i="15"/>
  <c r="F42" i="15"/>
  <c r="F43" i="67"/>
  <c r="J15" i="67"/>
  <c r="F7" i="15"/>
  <c r="F36" i="15"/>
  <c r="M26" i="67"/>
  <c r="F40" i="15"/>
  <c r="E7" i="76"/>
  <c r="M8" i="15"/>
  <c r="F26" i="67"/>
  <c r="F16" i="67"/>
  <c r="F5" i="73"/>
  <c r="M29" i="15"/>
  <c r="E9" i="76"/>
  <c r="M22" i="15"/>
  <c r="D6" i="73"/>
  <c r="S46" i="34" l="1"/>
  <c r="AA12" i="34"/>
  <c r="AC12" i="34"/>
  <c r="AB12" i="34"/>
  <c r="W45" i="34"/>
  <c r="AC45" i="34"/>
  <c r="AB47" i="34"/>
  <c r="U47" i="34"/>
  <c r="J47" i="34"/>
  <c r="F47" i="34"/>
  <c r="AB36" i="34"/>
  <c r="F23" i="34"/>
  <c r="AA23" i="34" s="1"/>
  <c r="J23" i="34"/>
  <c r="W23" i="34" s="1"/>
  <c r="S23" i="34"/>
  <c r="AA45" i="34"/>
  <c r="AB46" i="34"/>
  <c r="S44" i="34"/>
  <c r="S43" i="34"/>
  <c r="AA40" i="34"/>
  <c r="U44" i="34"/>
  <c r="AC36" i="34"/>
  <c r="AB35" i="34"/>
  <c r="W33" i="34"/>
  <c r="H23" i="34"/>
  <c r="U23" i="34" s="1"/>
  <c r="AC23" i="34"/>
  <c r="AB23" i="34"/>
  <c r="W21" i="34"/>
  <c r="S21" i="34"/>
  <c r="AC17" i="34"/>
  <c r="AA14" i="34"/>
  <c r="F8" i="1"/>
  <c r="G8" i="1" s="1"/>
  <c r="G44" i="43"/>
  <c r="J51" i="15"/>
  <c r="AC15" i="34"/>
  <c r="U15" i="34"/>
  <c r="S15" i="34"/>
  <c r="G112" i="34"/>
  <c r="H37" i="34"/>
  <c r="U37" i="34" s="1"/>
  <c r="J37" i="34"/>
  <c r="AC37" i="34" s="1"/>
  <c r="AB45" i="34"/>
  <c r="AA41" i="34"/>
  <c r="U39" i="34"/>
  <c r="AC39" i="34"/>
  <c r="AA39" i="34"/>
  <c r="C40" i="11"/>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78" i="3"/>
  <c r="E96" i="3"/>
  <c r="E18" i="3"/>
  <c r="E412" i="3"/>
  <c r="E482" i="3"/>
  <c r="E428" i="3"/>
  <c r="E75" i="3"/>
  <c r="E94" i="3"/>
  <c r="E42" i="3"/>
  <c r="AL6" i="3"/>
  <c r="E356" i="3"/>
  <c r="E391" i="3"/>
  <c r="E332" i="3"/>
  <c r="E241" i="3"/>
  <c r="E192" i="3"/>
  <c r="E152" i="3"/>
  <c r="E37" i="3"/>
  <c r="E479" i="3"/>
  <c r="E491" i="3"/>
  <c r="E517" i="3"/>
  <c r="AP6" i="3"/>
  <c r="E255" i="3"/>
  <c r="E430" i="3"/>
  <c r="E466" i="3"/>
  <c r="E502" i="3"/>
  <c r="E499" i="3"/>
  <c r="E286" i="3"/>
  <c r="E212" i="3"/>
  <c r="E536" i="3"/>
  <c r="E103" i="3"/>
  <c r="E65" i="3"/>
  <c r="E46" i="3"/>
  <c r="E98" i="3"/>
  <c r="E64" i="3"/>
  <c r="E47" i="3"/>
  <c r="E467" i="3"/>
  <c r="E446" i="3"/>
  <c r="E425" i="3"/>
  <c r="E521" i="3"/>
  <c r="E484" i="3"/>
  <c r="E462" i="3"/>
  <c r="E409" i="3"/>
  <c r="E488" i="3"/>
  <c r="E59" i="3"/>
  <c r="E110" i="3"/>
  <c r="E76" i="3"/>
  <c r="E58" i="3"/>
  <c r="E544" i="3"/>
  <c r="E504" i="3"/>
  <c r="E389" i="3"/>
  <c r="E375" i="3"/>
  <c r="E349" i="3"/>
  <c r="E378" i="3"/>
  <c r="E363" i="3"/>
  <c r="E348" i="3"/>
  <c r="E292"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W8" i="34"/>
  <c r="D56" i="4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6" i="1"/>
  <c r="I24" i="43"/>
  <c r="C24" i="43" s="1"/>
  <c r="H36" i="33"/>
  <c r="F36" i="33"/>
  <c r="H111" i="33"/>
  <c r="I111" i="33" s="1"/>
  <c r="J111" i="33" s="1"/>
  <c r="K111" i="33" s="1"/>
  <c r="L111" i="33" s="1"/>
  <c r="M111" i="33" s="1"/>
  <c r="J36" i="33"/>
  <c r="W36" i="33" s="1"/>
  <c r="S33" i="33"/>
  <c r="W33" i="33"/>
  <c r="H69" i="43"/>
  <c r="H50" i="43"/>
  <c r="H67" i="43"/>
  <c r="C21" i="68"/>
  <c r="C40" i="69"/>
  <c r="D22" i="15"/>
  <c r="G28" i="6"/>
  <c r="A118" i="9"/>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D9" i="68"/>
  <c r="G1" i="73"/>
  <c r="C16" i="15"/>
  <c r="C36" i="68"/>
  <c r="C36" i="69"/>
  <c r="C16" i="67"/>
  <c r="AA47" i="34" l="1"/>
  <c r="S47" i="34"/>
  <c r="AC47" i="34"/>
  <c r="W47" i="34"/>
  <c r="J7" i="37"/>
  <c r="H7" i="36"/>
  <c r="H112" i="34"/>
  <c r="I112" i="34" s="1"/>
  <c r="J112" i="34" s="1"/>
  <c r="K112" i="34" s="1"/>
  <c r="L112" i="34" s="1"/>
  <c r="M112" i="34" s="1"/>
  <c r="F37" i="34"/>
  <c r="AA36" i="33"/>
  <c r="S36" i="33"/>
  <c r="U36" i="33"/>
  <c r="AB36"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J10" i="40"/>
  <c r="AC10" i="40" s="1"/>
  <c r="H10" i="39"/>
  <c r="U10" i="39" s="1"/>
  <c r="F10" i="40"/>
  <c r="S10" i="40" s="1"/>
  <c r="J10" i="39"/>
  <c r="W10" i="39" s="1"/>
  <c r="H10" i="40"/>
  <c r="AB10" i="40" s="1"/>
  <c r="D26" i="43"/>
  <c r="C25" i="43" s="1"/>
  <c r="C7" i="43"/>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F41" i="67"/>
  <c r="AA37" i="34" l="1"/>
  <c r="S37" i="34"/>
  <c r="E65" i="39"/>
  <c r="L37" i="43"/>
  <c r="P36" i="43"/>
  <c r="N36" i="43"/>
  <c r="Q36" i="43"/>
  <c r="O36" i="43"/>
  <c r="M36" i="43"/>
  <c r="AC7" i="34"/>
  <c r="V49" i="34" s="1"/>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6" i="69"/>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R49" i="34" l="1"/>
  <c r="E49" i="34" s="1"/>
  <c r="E54" i="34" s="1"/>
  <c r="F54" i="34" s="1"/>
  <c r="B1" i="74"/>
  <c r="C66" i="9"/>
  <c r="C75" i="9" s="1"/>
  <c r="G54" i="34"/>
  <c r="H54" i="34" s="1"/>
  <c r="V2" i="43"/>
  <c r="C7" i="69"/>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C14" i="67"/>
  <c r="C17" i="15"/>
  <c r="C17" i="67"/>
  <c r="D10" i="69"/>
  <c r="C34" i="69"/>
  <c r="D10" i="68"/>
  <c r="I54" i="34" l="1"/>
  <c r="J54" i="34" s="1"/>
  <c r="E53" i="34"/>
  <c r="F53" i="34" s="1"/>
  <c r="R50" i="34"/>
  <c r="C49" i="34" s="1"/>
  <c r="B2" i="74"/>
  <c r="C14" i="74"/>
  <c r="C76" i="9"/>
  <c r="C77" i="9"/>
  <c r="C25" i="11"/>
  <c r="C22" i="11" s="1"/>
  <c r="C31" i="11"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B29" i="1"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E6" i="76"/>
  <c r="C34" i="68"/>
  <c r="B6" i="76"/>
  <c r="C50" i="34" l="1"/>
  <c r="B2" i="34" s="1"/>
  <c r="F3" i="34" s="1"/>
  <c r="D20" i="9" s="1"/>
  <c r="B3" i="43"/>
  <c r="C6" i="68"/>
  <c r="C7" i="68" s="1"/>
  <c r="C74" i="9"/>
  <c r="C8" i="69"/>
  <c r="C5" i="69" s="1"/>
  <c r="C23"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C8" i="68" l="1"/>
  <c r="C5" i="68" s="1"/>
  <c r="C23" i="68" s="1"/>
  <c r="C18" i="12"/>
  <c r="C21" i="12"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27" i="12" s="1"/>
  <c r="C25"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M21" i="67"/>
  <c r="F35" i="15"/>
  <c r="C25" i="68" l="1"/>
  <c r="C22" i="68" s="1"/>
  <c r="C31" i="68" s="1"/>
  <c r="C30" i="12"/>
  <c r="C28"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M69" i="39"/>
  <c r="N67" i="39"/>
  <c r="R39" i="35"/>
  <c r="E38" i="35"/>
  <c r="M63" i="40"/>
  <c r="L65" i="40"/>
  <c r="C19" i="9"/>
  <c r="D2" i="21"/>
  <c r="B3" i="68"/>
  <c r="C102" i="9" l="1"/>
  <c r="C21" i="9"/>
  <c r="C57" i="68"/>
  <c r="C56" i="6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35" i="9"/>
  <c r="C20" i="9"/>
  <c r="L51" i="67"/>
  <c r="D2" i="33"/>
  <c r="C56" i="68" l="1"/>
  <c r="C103" i="9"/>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34" i="9"/>
  <c r="D2" i="35"/>
  <c r="D2" i="36"/>
  <c r="D2" i="37"/>
  <c r="L51" i="15"/>
  <c r="D2" i="34"/>
  <c r="B3" i="33" l="1"/>
  <c r="Q57" i="67"/>
  <c r="Q62" i="67" s="1"/>
  <c r="Q66" i="67"/>
  <c r="Q75" i="67" s="1"/>
  <c r="B3" i="67"/>
  <c r="L57" i="15"/>
  <c r="L60" i="15" s="1"/>
  <c r="Q57" i="15" s="1"/>
  <c r="Q67" i="15"/>
  <c r="B2" i="36"/>
  <c r="B3" i="36" s="1"/>
  <c r="B2" i="35"/>
  <c r="B3" i="35" s="1"/>
  <c r="M3" i="35"/>
  <c r="B2" i="37"/>
  <c r="B3" i="37" s="1"/>
  <c r="Q47" i="15"/>
  <c r="Q53" i="15" s="1"/>
  <c r="C43" i="15"/>
  <c r="Q65" i="15"/>
  <c r="C83" i="15"/>
  <c r="C82" i="15" s="1"/>
  <c r="Q56" i="15"/>
  <c r="W7" i="39"/>
  <c r="AC7" i="39"/>
  <c r="V47" i="39" s="1"/>
  <c r="I47" i="39" s="1"/>
  <c r="E47" i="39"/>
  <c r="R48" i="39"/>
  <c r="U7" i="39"/>
  <c r="AB7" i="39"/>
  <c r="T47" i="39" s="1"/>
  <c r="G47" i="39" s="1"/>
  <c r="J7" i="40"/>
  <c r="F7" i="40"/>
  <c r="H7" i="40"/>
  <c r="AO10" i="1"/>
  <c r="AO11" i="1"/>
  <c r="AO8" i="1"/>
  <c r="AO9" i="1"/>
  <c r="AO12" i="1"/>
  <c r="AO7" i="1"/>
  <c r="L46" i="15" l="1"/>
  <c r="B2" i="15" s="1"/>
  <c r="B3" i="34"/>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2" i="9" l="1"/>
  <c r="D21" i="9"/>
  <c r="D102" i="9"/>
  <c r="G19" i="9"/>
  <c r="G21"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03" i="9" l="1"/>
  <c r="G20" i="9"/>
  <c r="C42" i="40"/>
  <c r="C43" i="40"/>
  <c r="E47" i="40"/>
  <c r="F47" i="40" s="1"/>
  <c r="E46" i="40"/>
  <c r="F46" i="40" s="1"/>
  <c r="I47" i="40"/>
  <c r="J47" i="40" s="1"/>
  <c r="C32" i="9" l="1"/>
  <c r="C35" i="9" s="1"/>
  <c r="C34" i="9" s="1"/>
  <c r="E14" i="8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G14" i="74" s="1"/>
  <c r="B6" i="74" s="1"/>
  <c r="D6" i="74" s="1"/>
  <c r="C104" i="9" l="1"/>
  <c r="D14" i="74"/>
  <c r="F4" i="52"/>
  <c r="B51" i="72" s="1"/>
  <c r="H119" i="9"/>
  <c r="H5" i="52" s="1"/>
  <c r="D4" i="52"/>
  <c r="B47" i="72" s="1"/>
  <c r="H4" i="52"/>
  <c r="H101" i="9"/>
  <c r="I118" i="9"/>
  <c r="F119" i="9"/>
  <c r="F5" i="52" s="1"/>
  <c r="B53" i="72" s="1"/>
  <c r="E14" i="74" l="1"/>
  <c r="B5" i="74"/>
  <c r="D5" i="74" s="1"/>
  <c r="F14" i="74"/>
  <c r="C105" i="9"/>
  <c r="H102" i="9"/>
  <c r="E118" i="9"/>
  <c r="E4" i="52" s="1"/>
  <c r="B48" i="72" s="1"/>
  <c r="I4" i="52"/>
  <c r="D5" i="53"/>
  <c r="H107" i="9"/>
  <c r="M48" i="9"/>
  <c r="D45" i="9"/>
  <c r="B20" i="72" l="1"/>
  <c r="D6" i="53"/>
  <c r="B22" i="72" s="1"/>
  <c r="D52" i="9"/>
  <c r="C93" i="9"/>
  <c r="C86" i="9" s="1"/>
  <c r="C85" i="9"/>
  <c r="D55" i="9"/>
  <c r="M53" i="9" s="1"/>
  <c r="D53" i="9"/>
  <c r="C78" i="9"/>
  <c r="C73" i="9" s="1"/>
  <c r="C64" i="9"/>
  <c r="C63" i="9" s="1"/>
  <c r="C67" i="9" s="1"/>
  <c r="C72" i="9"/>
  <c r="D122" i="9"/>
  <c r="D13" i="53"/>
  <c r="H108" i="9"/>
  <c r="M49" i="9"/>
  <c r="C5" i="74"/>
  <c r="D7" i="53"/>
  <c r="B21" i="72" s="1"/>
  <c r="C79" i="9" l="1"/>
  <c r="C95" i="9"/>
  <c r="C96" i="9" s="1"/>
  <c r="E96" i="9" s="1"/>
  <c r="E97" i="9" s="1"/>
  <c r="L64" i="9"/>
  <c r="M64" i="9" s="1"/>
  <c r="L66" i="9"/>
  <c r="M66" i="9" s="1"/>
  <c r="L67" i="9"/>
  <c r="M67" i="9" s="1"/>
  <c r="L68" i="9"/>
  <c r="M68" i="9" s="1"/>
  <c r="L63" i="9"/>
  <c r="M63" i="9" s="1"/>
  <c r="L65" i="9"/>
  <c r="M65" i="9" s="1"/>
  <c r="B30" i="72"/>
  <c r="D14" i="53"/>
  <c r="B32" i="72" s="1"/>
  <c r="C80" i="9"/>
  <c r="E80" i="9" s="1"/>
  <c r="E81" i="9" s="1"/>
  <c r="D15" i="53"/>
  <c r="B31" i="72" s="1"/>
  <c r="C6" i="74"/>
  <c r="D8" i="52"/>
  <c r="D123" i="9"/>
  <c r="D9" i="52" s="1"/>
  <c r="C68" i="9"/>
  <c r="D54" i="9" s="1"/>
  <c r="D48" i="9" s="1"/>
  <c r="M52" i="9" s="1"/>
  <c r="D59" i="9"/>
  <c r="M55" i="9" s="1"/>
  <c r="C81" i="9" l="1"/>
  <c r="M69" i="9"/>
  <c r="N69" i="9" s="1"/>
  <c r="C97" i="9"/>
  <c r="D58" i="9" l="1"/>
  <c r="D56" i="9" s="1"/>
  <c r="M54" i="9" s="1"/>
  <c r="N57" i="9" s="1"/>
  <c r="N58" i="9" s="1"/>
  <c r="P57" i="9" l="1"/>
  <c r="N59" i="9"/>
  <c r="H111" i="9" s="1"/>
  <c r="D19" i="53" s="1"/>
  <c r="D126" i="9" l="1"/>
  <c r="D127" i="9" s="1"/>
  <c r="D13" i="52" s="1"/>
  <c r="N61" i="9"/>
  <c r="H112" i="9" s="1"/>
  <c r="C8" i="74" s="1"/>
  <c r="N60" i="9"/>
  <c r="D21" i="53"/>
  <c r="B39" i="72" s="1"/>
  <c r="B38" i="72"/>
  <c r="D20" i="53"/>
  <c r="B40" i="7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zhou</author>
  </authors>
  <commentList>
    <comment ref="B22" authorId="0">
      <text>
        <r>
          <rPr>
            <b/>
            <sz val="9"/>
            <rFont val="宋体"/>
            <family val="3"/>
            <charset val="134"/>
          </rPr>
          <t>D1B</t>
        </r>
      </text>
    </comment>
    <comment ref="C24" authorId="0">
      <text>
        <r>
          <rPr>
            <b/>
            <sz val="9"/>
            <rFont val="宋体"/>
            <family val="3"/>
            <charset val="134"/>
          </rPr>
          <t>自2020年9月1日将10平米分摊给北京昌辉诚顺科技有限公司，自22年10月1日起，昌城顺辉10平米变更为科景凯新</t>
        </r>
      </text>
    </comment>
    <comment ref="B32" authorId="0">
      <text>
        <r>
          <rPr>
            <b/>
            <sz val="9"/>
            <rFont val="宋体"/>
            <family val="3"/>
            <charset val="134"/>
          </rPr>
          <t>原B3-2/-3</t>
        </r>
      </text>
    </comment>
    <comment ref="C37" authorId="0">
      <text>
        <r>
          <rPr>
            <b/>
            <sz val="9"/>
            <rFont val="宋体"/>
            <family val="3"/>
            <charset val="134"/>
          </rPr>
          <t>开票为张曦</t>
        </r>
      </text>
    </comment>
    <comment ref="E52" authorId="0">
      <text>
        <r>
          <rPr>
            <b/>
            <sz val="9"/>
            <rFont val="宋体"/>
            <family val="3"/>
            <charset val="134"/>
          </rPr>
          <t>B3-6为30平米，B3-8为15平米</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<sst xmlns="http://schemas.openxmlformats.org/spreadsheetml/2006/main" count="8402" uniqueCount="3758">
  <si>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</si>
  <si>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</si>
  <si>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</si>
  <si>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</si>
  <si>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</si>
  <si>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</si>
  <si>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</si>
  <si>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</si>
  <si>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</si>
  <si>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</si>
  <si>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</si>
  <si>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</si>
  <si>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</si>
  <si>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</si>
  <si>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</si>
  <si>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</si>
  <si>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</si>
  <si>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</si>
  <si>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</si>
  <si>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</si>
  <si>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</si>
  <si>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</si>
  <si>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</si>
  <si>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</si>
  <si>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</si>
  <si>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</si>
  <si>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</si>
  <si>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</si>
  <si>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</si>
  <si>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</si>
  <si>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</si>
  <si>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</si>
  <si>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</si>
  <si>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</si>
  <si>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</si>
  <si>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</si>
  <si>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</si>
  <si>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</si>
  <si>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</si>
  <si>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</si>
  <si>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</si>
  <si>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</si>
  <si>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</si>
  <si>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</si>
  <si>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</si>
  <si>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</si>
  <si>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</si>
  <si>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</si>
  <si>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</si>
  <si>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</si>
  <si>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</si>
  <si>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</si>
  <si>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</si>
  <si>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</si>
  <si>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</si>
  <si>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</si>
  <si>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</si>
  <si>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</si>
  <si>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</si>
  <si>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</si>
  <si>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</si>
  <si>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</si>
  <si>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</si>
  <si>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</si>
  <si>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</si>
  <si>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</si>
  <si>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</si>
  <si>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</si>
  <si>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</si>
  <si>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</si>
  <si>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</si>
  <si>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</si>
  <si>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</si>
  <si>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</si>
  <si>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</si>
  <si>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</si>
  <si>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</si>
  <si>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</si>
  <si>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</si>
  <si>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</si>
  <si>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</si>
  <si>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</si>
  <si>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</si>
  <si>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</si>
  <si>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</si>
  <si>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</si>
  <si>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</si>
  <si>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</si>
  <si>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</si>
  <si>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</si>
  <si>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</si>
  <si>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</si>
  <si>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</si>
  <si>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</si>
  <si>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</si>
  <si>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</si>
  <si>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</si>
  <si>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</si>
  <si>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</si>
  <si>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</si>
  <si>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</si>
  <si>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</si>
  <si>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</si>
  <si>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</si>
  <si>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</si>
  <si>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</si>
  <si>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</si>
  <si>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</si>
  <si>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</si>
  <si>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</si>
  <si>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</si>
  <si>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</si>
  <si>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</si>
  <si>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</si>
  <si>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</si>
  <si>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</si>
  <si>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</si>
  <si>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</si>
  <si>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</si>
  <si>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</si>
  <si>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</si>
  <si>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</si>
  <si>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</si>
  <si>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</si>
  <si>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</si>
  <si>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</si>
  <si>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</si>
  <si>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</si>
  <si>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</si>
  <si>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</si>
  <si>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</si>
  <si>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</si>
  <si>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</si>
  <si>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</si>
  <si>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</si>
  <si>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</si>
  <si>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</si>
  <si>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</si>
  <si>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</si>
  <si>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</si>
  <si>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</si>
  <si>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</si>
  <si>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</si>
  <si>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</si>
  <si>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</si>
  <si>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</si>
  <si>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</si>
  <si>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</si>
  <si>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</si>
  <si>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</si>
  <si>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</si>
  <si>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</si>
  <si>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</si>
  <si>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</si>
  <si>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</si>
  <si>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</si>
  <si>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</si>
  <si>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</si>
  <si>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</si>
  <si>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</si>
  <si>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</si>
  <si>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</si>
  <si>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</si>
  <si>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</si>
  <si>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</si>
  <si>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</si>
  <si>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</si>
  <si>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</si>
  <si>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</si>
  <si>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</si>
  <si>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</si>
  <si>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</si>
  <si>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</si>
  <si>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</si>
  <si>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</si>
  <si>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</si>
  <si>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</si>
  <si>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</si>
  <si>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</si>
  <si>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</si>
  <si>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</si>
  <si>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</si>
  <si>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</si>
  <si>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</si>
  <si>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</si>
  <si>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</si>
  <si>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</si>
  <si>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</si>
  <si>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</si>
  <si>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</si>
  <si>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</si>
  <si>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</si>
  <si>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</si>
  <si>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</si>
  <si>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</si>
  <si>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</si>
  <si>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</si>
  <si>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</si>
  <si>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</si>
  <si>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</si>
  <si>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</si>
  <si>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</si>
  <si>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</si>
  <si>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</si>
  <si>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</si>
  <si>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</si>
  <si>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</si>
  <si>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</si>
  <si>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</si>
  <si>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</si>
  <si>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</si>
  <si>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</si>
  <si>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</si>
  <si>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</si>
  <si>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</si>
  <si>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</si>
  <si>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</si>
  <si>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</si>
  <si>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</si>
  <si>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</si>
  <si>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</si>
  <si>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</si>
  <si>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</si>
  <si>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</si>
  <si>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</si>
  <si>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</si>
  <si>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</si>
  <si>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</si>
  <si>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</si>
  <si>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</si>
  <si>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</si>
  <si>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</si>
  <si>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</si>
  <si>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</si>
  <si>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</si>
  <si>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</si>
  <si>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</si>
  <si>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</si>
  <si>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</si>
  <si>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</si>
  <si>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</si>
  <si>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</si>
  <si>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</si>
  <si>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</si>
  <si>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</si>
  <si>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</si>
  <si>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</si>
  <si>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</si>
  <si>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</si>
  <si>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</si>
  <si>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</si>
  <si>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</si>
  <si>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</si>
  <si>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</si>
  <si>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</si>
  <si>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</si>
  <si>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</si>
  <si>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</si>
  <si>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</si>
  <si>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</si>
  <si>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</si>
  <si>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</si>
  <si>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</si>
  <si>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</si>
  <si>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</si>
  <si>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</si>
  <si>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</si>
  <si>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</si>
  <si>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</si>
  <si>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</si>
  <si>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</si>
  <si>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</si>
  <si>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</si>
  <si>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</si>
  <si>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</si>
  <si>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</si>
  <si>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</si>
  <si>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</si>
  <si>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</si>
  <si>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</si>
  <si>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</si>
  <si>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</si>
  <si>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</si>
  <si>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</si>
  <si>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</si>
  <si>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</si>
  <si>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</si>
  <si>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</si>
  <si>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</si>
  <si>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</si>
  <si>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</si>
  <si>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</si>
  <si>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</si>
  <si>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</si>
  <si>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</si>
  <si>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</si>
  <si>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</si>
  <si>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</si>
  <si>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</si>
  <si>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</si>
  <si>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</si>
  <si>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</si>
  <si>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</si>
  <si>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</si>
  <si>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</si>
  <si>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</si>
  <si>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</si>
  <si>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</si>
  <si>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</si>
  <si>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</si>
  <si>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</si>
  <si>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</si>
  <si>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</si>
  <si>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</si>
  <si>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</si>
  <si>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</si>
  <si>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</si>
  <si>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</si>
  <si>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</si>
  <si>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</si>
  <si>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</si>
  <si>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</si>
  <si>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</si>
  <si>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</si>
  <si>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</si>
  <si>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</si>
  <si>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</si>
  <si>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</si>
  <si>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</si>
  <si>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</si>
  <si>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</si>
  <si>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</si>
  <si>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</si>
  <si>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</si>
  <si>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</si>
  <si>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</si>
  <si>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</si>
  <si>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</si>
  <si>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</si>
  <si>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</si>
  <si>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</si>
  <si>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</si>
  <si>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</si>
  <si>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</si>
  <si>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</si>
  <si>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</si>
  <si>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</si>
  <si>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</si>
  <si>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</si>
  <si>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</si>
  <si>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</si>
  <si>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</si>
  <si>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</si>
  <si>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</si>
  <si>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</si>
  <si>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</si>
  <si>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</si>
  <si>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</si>
  <si>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</si>
  <si>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</si>
  <si>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</si>
  <si>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</si>
  <si>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</si>
  <si>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</si>
  <si>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</si>
  <si>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</si>
  <si>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</si>
  <si>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</si>
  <si>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</si>
  <si>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</si>
  <si>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</si>
  <si>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</si>
  <si>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</si>
  <si>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</si>
  <si>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</si>
  <si>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</si>
  <si>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</si>
  <si>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</si>
  <si>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</si>
  <si>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</si>
  <si>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</si>
  <si>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</si>
  <si>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</si>
  <si>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</si>
  <si>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</si>
  <si>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</si>
  <si>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</si>
  <si>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</si>
  <si>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</si>
  <si>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</si>
  <si>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</si>
  <si>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</si>
  <si>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</si>
  <si>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</si>
  <si>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</si>
  <si>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</si>
  <si>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</si>
  <si>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</si>
  <si>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</si>
  <si>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</si>
  <si>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</si>
  <si>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</si>
  <si>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</si>
  <si>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</si>
  <si>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</si>
  <si>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</si>
  <si>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</si>
  <si>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</si>
  <si>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</si>
  <si>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</si>
  <si>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</si>
  <si>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</si>
  <si>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</si>
  <si>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</si>
  <si>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</si>
  <si>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</si>
  <si>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</si>
  <si>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</si>
  <si>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</si>
  <si>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</si>
  <si>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</si>
  <si>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</si>
  <si>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</si>
  <si>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</si>
  <si>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</si>
  <si>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</si>
  <si>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</si>
  <si>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</si>
  <si>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</si>
  <si>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</si>
  <si>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</si>
  <si>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</si>
  <si>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</si>
  <si>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</si>
  <si>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</si>
  <si>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</si>
  <si>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</si>
  <si>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</si>
  <si>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</si>
  <si>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</si>
  <si>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</si>
  <si>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</si>
  <si>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</si>
  <si>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</si>
  <si>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</si>
  <si>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</si>
  <si>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</si>
  <si>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</si>
  <si>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</si>
  <si>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</si>
  <si>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</si>
  <si>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</si>
  <si>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</si>
  <si>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</si>
  <si>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</si>
  <si>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</si>
  <si>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</si>
  <si>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</si>
  <si>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</si>
  <si>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</si>
  <si>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</si>
  <si>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</si>
  <si>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</si>
  <si>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</si>
  <si>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</si>
  <si>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</si>
  <si>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</si>
  <si>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</si>
  <si>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</si>
  <si>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</si>
  <si>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</si>
  <si>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</si>
  <si>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</si>
  <si>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</si>
  <si>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</si>
  <si>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</si>
  <si>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</si>
  <si>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</si>
  <si>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</si>
  <si>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</si>
  <si>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</si>
  <si>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</si>
  <si>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</si>
  <si>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</si>
  <si>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</si>
  <si>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</si>
  <si>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</si>
  <si>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</si>
  <si>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</si>
  <si>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</si>
  <si>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</si>
  <si>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</si>
  <si>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</si>
  <si>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</si>
  <si>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</si>
  <si>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</si>
  <si>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</si>
  <si>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</si>
  <si>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</si>
  <si>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</si>
  <si>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</si>
  <si>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</si>
  <si>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</si>
  <si>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</si>
  <si>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</si>
  <si>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</si>
  <si>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</si>
  <si>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</si>
  <si>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</si>
  <si>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</si>
  <si>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</si>
  <si>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</si>
  <si>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</si>
  <si>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</si>
  <si>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</si>
  <si>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</si>
  <si>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</si>
  <si>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</si>
  <si>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</si>
  <si>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</si>
  <si>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</si>
  <si>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</si>
  <si>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</si>
  <si>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</si>
  <si>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</si>
  <si>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</si>
  <si>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</si>
  <si>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</si>
  <si>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</si>
  <si>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</si>
  <si>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</si>
  <si>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</si>
  <si>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</si>
  <si>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</si>
  <si>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</si>
  <si>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</si>
  <si>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</si>
  <si>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</si>
  <si>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</si>
  <si>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</si>
  <si>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</si>
  <si>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</si>
  <si>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</si>
  <si>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</si>
  <si>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</si>
  <si>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</si>
  <si>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</si>
  <si>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</si>
  <si>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</si>
  <si>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</si>
  <si>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</si>
  <si>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</si>
  <si>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</si>
  <si>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</si>
  <si>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</si>
  <si>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</si>
  <si>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</si>
  <si>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</si>
  <si>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</si>
  <si>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</si>
  <si>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</si>
  <si>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</si>
  <si>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</si>
  <si>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</si>
  <si>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</si>
  <si>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</si>
  <si>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</si>
  <si>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</si>
  <si>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</si>
  <si>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</si>
  <si>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</si>
  <si>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</si>
  <si>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</si>
  <si>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</si>
  <si>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</si>
  <si>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</si>
  <si>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</si>
  <si>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</si>
  <si>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</si>
  <si>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</si>
  <si>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</si>
  <si>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</si>
  <si>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</si>
  <si>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</si>
  <si>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</si>
  <si>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</si>
  <si>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</si>
  <si>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</si>
  <si>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</si>
  <si>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</si>
  <si>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</si>
  <si>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</si>
  <si>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</si>
  <si>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</si>
  <si>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</si>
  <si>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</si>
  <si>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</si>
  <si>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</si>
  <si>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</si>
  <si>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</si>
  <si>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</si>
  <si>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</si>
  <si>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</si>
  <si>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</si>
  <si>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</si>
  <si>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</si>
  <si>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</si>
  <si>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</si>
  <si>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</si>
  <si>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</si>
  <si>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</si>
  <si>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</si>
  <si>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</si>
  <si>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</si>
  <si>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</si>
  <si>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</si>
  <si>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</si>
  <si>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</si>
  <si>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</si>
  <si>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</si>
  <si>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</si>
  <si>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</si>
  <si>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</si>
  <si>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</si>
  <si>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</si>
  <si>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</si>
  <si>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</si>
  <si>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</si>
  <si>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</si>
  <si>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</si>
  <si>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</si>
  <si>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</si>
  <si>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</si>
  <si>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</si>
  <si>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</si>
  <si>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</si>
  <si>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</si>
  <si>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</si>
  <si>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</si>
  <si>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</si>
  <si>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</si>
  <si>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</si>
  <si>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</si>
  <si>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</si>
  <si>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</si>
  <si>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</si>
  <si>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</si>
  <si>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</si>
  <si>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</si>
  <si>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</si>
  <si>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</si>
  <si>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</si>
  <si>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</si>
  <si>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</si>
  <si>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</si>
  <si>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</si>
  <si>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</si>
  <si>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</si>
  <si>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</si>
  <si>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</si>
  <si>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</si>
  <si>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</si>
  <si>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</si>
  <si>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</si>
  <si>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</si>
  <si>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</si>
  <si>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</si>
  <si>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</si>
  <si>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</si>
  <si>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</si>
  <si>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</si>
  <si>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</si>
  <si>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</si>
  <si>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</si>
  <si>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</si>
  <si>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</si>
  <si>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</si>
  <si>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</si>
  <si>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</si>
  <si>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</si>
  <si>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</si>
  <si>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</si>
  <si>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</si>
  <si>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</si>
  <si>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</si>
  <si>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</si>
  <si>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</si>
  <si>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</si>
  <si>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</si>
  <si>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</si>
  <si>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</si>
  <si>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</si>
  <si>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</si>
  <si>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</si>
  <si>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</si>
  <si>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</si>
  <si>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</si>
  <si>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</si>
  <si>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</si>
  <si>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</si>
  <si>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</si>
  <si>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</si>
  <si>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</si>
  <si>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</si>
  <si>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</si>
  <si>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</si>
  <si>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</si>
  <si>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</si>
  <si>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</si>
  <si>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</si>
  <si>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</si>
  <si>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</si>
  <si>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</si>
  <si>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</si>
  <si>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</si>
  <si>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</si>
  <si>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</si>
  <si>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</si>
  <si>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</si>
  <si>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</si>
  <si>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</si>
  <si>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</si>
  <si>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</si>
  <si>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</si>
  <si>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</si>
  <si>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</si>
  <si>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</si>
  <si>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</si>
  <si>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</si>
  <si>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</si>
  <si>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</si>
  <si>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</si>
  <si>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</si>
  <si>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</si>
  <si>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</si>
  <si>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</si>
  <si>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</si>
  <si>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</si>
  <si>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</si>
  <si>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</si>
  <si>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</si>
  <si>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</si>
  <si>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</si>
  <si>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</si>
  <si>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</si>
  <si>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</si>
  <si>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</si>
  <si>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</si>
  <si>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</si>
  <si>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</si>
  <si>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</si>
  <si>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</si>
  <si>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</si>
  <si>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</si>
  <si>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</si>
  <si>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</si>
  <si>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</si>
  <si>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</si>
  <si>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</si>
  <si>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</si>
  <si>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</si>
  <si>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</si>
  <si>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</si>
  <si>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</si>
  <si>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</si>
  <si>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</si>
  <si>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</si>
  <si>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</si>
  <si>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</si>
  <si>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</si>
  <si>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</si>
  <si>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</si>
  <si>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</si>
  <si>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</si>
  <si>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</si>
  <si>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</si>
  <si>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</si>
  <si>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</si>
  <si>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</si>
  <si>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</si>
  <si>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</si>
  <si>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</si>
  <si>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</si>
  <si>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</si>
  <si>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</si>
  <si>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</si>
  <si>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</si>
  <si>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</si>
  <si>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</si>
  <si>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</si>
  <si>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</si>
  <si>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</si>
  <si>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</si>
  <si>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</si>
  <si>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</si>
  <si>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</si>
  <si>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</si>
  <si>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</si>
  <si>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</si>
  <si>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</si>
  <si>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</si>
  <si>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</si>
  <si>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</si>
  <si>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</si>
  <si>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</si>
  <si>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</si>
  <si>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</si>
  <si>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</si>
  <si>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</si>
  <si>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</si>
  <si>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</si>
  <si>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</si>
  <si>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</si>
  <si>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</si>
  <si>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</si>
  <si>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</si>
  <si>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</si>
  <si>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</si>
  <si>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</si>
  <si>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</si>
  <si>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</si>
  <si>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</si>
  <si>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</si>
  <si>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</si>
  <si>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</si>
  <si>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</si>
  <si>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</si>
  <si>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</si>
  <si>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</si>
  <si>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</si>
  <si>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</si>
  <si>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</si>
  <si>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</si>
  <si>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</si>
  <si>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</si>
  <si>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</si>
  <si>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</si>
  <si>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</si>
  <si>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</si>
  <si>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</si>
  <si>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</si>
  <si>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</si>
  <si>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</si>
  <si>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</si>
  <si>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</si>
  <si>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</si>
  <si>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</si>
  <si>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</si>
  <si>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</si>
  <si>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</si>
  <si>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</si>
  <si>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</si>
  <si>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</si>
  <si>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</si>
  <si>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</si>
  <si>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</si>
  <si>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</si>
  <si>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</si>
  <si>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</si>
  <si>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</si>
  <si>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</si>
  <si>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</si>
  <si>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</si>
  <si>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</si>
  <si>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</si>
  <si>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</si>
  <si>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</si>
  <si>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</si>
  <si>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</si>
  <si>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</si>
  <si>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</si>
  <si>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</si>
  <si>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</si>
  <si>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</si>
  <si>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</si>
  <si>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</si>
  <si>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</si>
  <si>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</si>
  <si>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</si>
  <si>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</si>
  <si>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</si>
  <si>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</si>
  <si>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</si>
  <si>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</si>
  <si>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</si>
  <si>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</si>
  <si>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</si>
  <si>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</si>
  <si>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</si>
  <si>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</si>
  <si>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</si>
  <si>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</si>
  <si>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</si>
  <si>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</si>
  <si>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</si>
  <si>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</si>
  <si>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</si>
  <si>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</si>
  <si>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</si>
  <si>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</si>
  <si>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</si>
  <si>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</si>
  <si>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</si>
  <si>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</si>
  <si>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</si>
  <si>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</si>
  <si>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</si>
  <si>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</si>
  <si>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</si>
  <si>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</si>
  <si>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</si>
  <si>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</si>
  <si>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</si>
  <si>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</si>
  <si>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</si>
  <si>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</si>
  <si>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</si>
  <si>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</si>
  <si>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</si>
  <si>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</si>
  <si>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</si>
  <si>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</si>
  <si>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</si>
  <si>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</si>
  <si>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</si>
  <si>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</si>
  <si>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</si>
  <si>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</si>
  <si>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</si>
  <si>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</si>
  <si>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</si>
  <si>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</si>
  <si>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</si>
  <si>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</si>
  <si>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</si>
  <si>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</si>
  <si>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</si>
  <si>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</si>
  <si>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</si>
  <si>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</si>
  <si>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</si>
  <si>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</si>
  <si>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</si>
  <si>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</si>
  <si>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</si>
  <si>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</si>
  <si>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</si>
  <si>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</si>
  <si>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</si>
  <si>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</si>
  <si>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</si>
  <si>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</si>
  <si>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</si>
  <si>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</si>
  <si>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</si>
  <si>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</si>
  <si>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</si>
  <si>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</si>
  <si>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</si>
  <si>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</si>
  <si>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</si>
  <si>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</si>
  <si>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</si>
  <si>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</si>
  <si>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</si>
  <si>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</si>
  <si>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</si>
  <si>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</si>
  <si>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</si>
  <si>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</si>
  <si>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</si>
  <si>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</si>
  <si>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</si>
  <si>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</si>
  <si>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</si>
  <si>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</si>
  <si>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</si>
  <si>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</si>
  <si>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</si>
  <si>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</si>
  <si>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</si>
  <si>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</si>
  <si>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</si>
  <si>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</si>
  <si>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</si>
  <si>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</si>
  <si>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</si>
  <si>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</si>
  <si>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</si>
  <si>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</si>
  <si>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</si>
  <si>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</si>
  <si>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</si>
  <si>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</si>
  <si>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</si>
  <si>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</si>
  <si>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</si>
  <si>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</si>
  <si>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</si>
  <si>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</si>
  <si>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</si>
  <si>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</si>
  <si>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</si>
  <si>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</si>
  <si>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</si>
  <si>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</si>
  <si>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</si>
  <si>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</si>
  <si>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</si>
  <si>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</si>
  <si>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</si>
  <si>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</si>
  <si>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</si>
  <si>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</si>
  <si>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</si>
  <si>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</si>
  <si>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</si>
  <si>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</si>
  <si>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</si>
  <si>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</si>
  <si>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</si>
  <si>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</si>
  <si>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</si>
  <si>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</si>
  <si>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</si>
  <si>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</si>
  <si>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</si>
  <si>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</si>
  <si>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</si>
  <si>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</si>
  <si>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</si>
  <si>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</si>
  <si>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</si>
  <si>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</si>
  <si>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</si>
  <si>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</si>
  <si>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</si>
  <si>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</si>
  <si>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</si>
  <si>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</si>
  <si>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</si>
  <si>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</si>
  <si>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</si>
  <si>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</si>
  <si>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</si>
  <si>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</si>
  <si>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</si>
  <si>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</si>
  <si>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</si>
  <si>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</si>
  <si>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</si>
  <si>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</si>
  <si>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</si>
  <si>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</si>
  <si>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</si>
  <si>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</si>
  <si>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</si>
  <si>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</si>
  <si>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</si>
  <si>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</si>
  <si>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</si>
  <si>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</si>
  <si>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</si>
  <si>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</si>
  <si>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</si>
  <si>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</si>
  <si>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</si>
  <si>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</si>
  <si>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</si>
  <si>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</si>
  <si>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</si>
  <si>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</si>
  <si>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</si>
  <si>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</si>
  <si>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</si>
  <si>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</si>
  <si>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</si>
  <si>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</si>
  <si>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</si>
  <si>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</si>
  <si>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</si>
  <si>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</si>
  <si>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</si>
  <si>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</si>
  <si>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</si>
  <si>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</si>
  <si>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</si>
  <si>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</si>
  <si>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</si>
  <si>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</si>
  <si>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</si>
  <si>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</si>
  <si>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</si>
  <si>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</si>
  <si>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</si>
  <si>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</si>
  <si>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</si>
  <si>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</si>
  <si>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</si>
  <si>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</si>
  <si>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</si>
  <si>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</si>
  <si>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</si>
  <si>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</si>
  <si>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</si>
  <si>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</si>
  <si>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</si>
  <si>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</si>
  <si>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</si>
  <si>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</si>
  <si>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</si>
  <si>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</si>
  <si>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</si>
  <si>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</si>
  <si>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</si>
  <si>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</si>
  <si>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</si>
  <si>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</si>
  <si>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</si>
  <si>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</si>
  <si>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</si>
  <si>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</si>
  <si>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</si>
  <si>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</si>
  <si>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</si>
  <si>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</si>
  <si>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</si>
  <si>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</si>
  <si>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</si>
  <si>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</si>
  <si>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</si>
  <si>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</si>
  <si>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</si>
  <si>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</si>
  <si>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</si>
  <si>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</si>
  <si>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</si>
  <si>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</si>
  <si>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</si>
  <si>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</si>
  <si>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</si>
  <si>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</si>
  <si>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</si>
  <si>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</si>
  <si>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</si>
  <si>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</si>
  <si>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</si>
  <si>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</si>
  <si>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</si>
  <si>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</si>
  <si>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</si>
  <si>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</si>
  <si>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</si>
  <si>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</si>
  <si>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</si>
  <si>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</si>
  <si>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</si>
  <si>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</si>
  <si>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</si>
  <si>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</si>
  <si>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</si>
  <si>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</si>
  <si>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</si>
  <si>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</si>
  <si>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</si>
  <si>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</si>
  <si>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</si>
  <si>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</si>
  <si>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</si>
  <si>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</si>
  <si>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</si>
  <si>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</si>
  <si>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</si>
  <si>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</si>
  <si>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</si>
  <si>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</si>
  <si>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</si>
  <si>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</si>
  <si>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</si>
  <si>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</si>
  <si>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</si>
  <si>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</si>
  <si>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</si>
  <si>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</si>
  <si>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</si>
  <si>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</si>
  <si>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</si>
  <si>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</si>
  <si>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</si>
  <si>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</si>
  <si>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</si>
  <si>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</si>
  <si>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</si>
  <si>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</si>
  <si>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</si>
  <si>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</si>
  <si>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</si>
  <si>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</si>
  <si>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</si>
  <si>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</si>
  <si>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</si>
  <si>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</si>
  <si>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</si>
  <si>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</si>
  <si>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</si>
  <si>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</si>
  <si>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</si>
  <si>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</si>
  <si>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</si>
  <si>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</si>
  <si>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</si>
  <si>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</si>
  <si>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</si>
  <si>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</si>
  <si>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</si>
  <si>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</si>
  <si>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</si>
  <si>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</si>
  <si>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</si>
  <si>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</si>
  <si>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</si>
  <si>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</si>
  <si>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</si>
  <si>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</si>
  <si>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</si>
  <si>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</si>
  <si>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</si>
  <si>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</si>
  <si>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</si>
  <si>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</si>
  <si>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</si>
  <si>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</si>
  <si>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</si>
  <si>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</si>
  <si>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</si>
  <si>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</si>
  <si>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</si>
  <si>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</si>
  <si>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</si>
  <si>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</si>
  <si>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</si>
  <si>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</si>
  <si>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</si>
  <si>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</si>
  <si>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</si>
  <si>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</si>
  <si>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</si>
  <si>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</si>
  <si>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</si>
  <si>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</si>
  <si>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</si>
  <si>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</si>
  <si>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</si>
  <si>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</si>
  <si>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</si>
  <si>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</si>
  <si>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</si>
  <si>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</si>
  <si>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</si>
  <si>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</si>
  <si>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</si>
  <si>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</si>
  <si>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</si>
  <si>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</si>
  <si>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</si>
  <si>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</si>
  <si>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</si>
  <si>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</si>
  <si>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</si>
  <si>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</si>
  <si>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</si>
  <si>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</si>
  <si>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</si>
  <si>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</si>
  <si>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</si>
  <si>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</si>
  <si>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</si>
  <si>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</si>
  <si>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</si>
  <si>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</si>
  <si>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</si>
  <si>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</si>
  <si>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</si>
  <si>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</si>
  <si>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</si>
  <si>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</si>
  <si>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</si>
  <si>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</si>
  <si>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</si>
  <si>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</si>
  <si>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</si>
  <si>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</si>
  <si>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</si>
  <si>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</si>
  <si>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</si>
  <si>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</si>
  <si>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</si>
  <si>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</si>
  <si>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</si>
  <si>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</si>
  <si>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</si>
  <si>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</si>
  <si>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</si>
  <si>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</si>
  <si>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</si>
  <si>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</si>
  <si>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</si>
  <si>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</si>
  <si>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</si>
  <si>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</si>
  <si>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</si>
  <si>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</si>
  <si>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</si>
  <si>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</si>
  <si>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</si>
  <si>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</si>
  <si>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</si>
  <si>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</si>
  <si>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</si>
  <si>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</si>
  <si>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</si>
  <si>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</si>
  <si>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</si>
  <si>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</si>
  <si>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</si>
  <si>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</si>
  <si>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</si>
  <si>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</si>
  <si>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</si>
  <si>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</si>
  <si>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</si>
  <si>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</si>
  <si>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</si>
  <si>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</si>
  <si>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</si>
  <si>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</si>
  <si>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</si>
  <si>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</si>
  <si>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</si>
  <si>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</si>
  <si>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</si>
  <si>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</si>
  <si>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</si>
  <si>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</si>
  <si>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</si>
  <si>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</si>
  <si>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</si>
  <si>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</si>
  <si>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</si>
  <si>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</si>
  <si>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</si>
  <si>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</si>
  <si>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</si>
  <si>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</si>
  <si>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</si>
  <si>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</si>
  <si>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</si>
  <si>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</si>
  <si>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</si>
  <si>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</si>
  <si>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</si>
  <si>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</si>
  <si>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</si>
  <si>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</si>
  <si>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</si>
  <si>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</si>
  <si>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</si>
  <si>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</si>
  <si>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</si>
  <si>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</si>
  <si>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</si>
  <si>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</si>
  <si>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</si>
  <si>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</si>
  <si>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</si>
  <si>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</si>
  <si>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</si>
  <si>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</si>
  <si>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</si>
  <si>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</si>
  <si>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</si>
  <si>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</si>
  <si>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</si>
  <si>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</si>
  <si>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</si>
  <si>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</si>
  <si>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</si>
  <si>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</si>
  <si>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</si>
  <si>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</si>
  <si>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</si>
  <si>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</si>
  <si>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</si>
  <si>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</si>
  <si>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</si>
  <si>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</si>
  <si>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</si>
  <si>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</si>
  <si>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</si>
  <si>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</si>
  <si>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</si>
  <si>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</si>
  <si>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</si>
  <si>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</si>
  <si>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</si>
  <si>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</si>
  <si>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</si>
  <si>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</si>
  <si>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</si>
  <si>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</si>
  <si>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</si>
  <si>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</si>
  <si>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</si>
  <si>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</si>
  <si>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</si>
  <si>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</si>
  <si>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</si>
  <si>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</si>
  <si>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</si>
  <si>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</si>
  <si>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</si>
  <si>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</si>
  <si>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</si>
  <si>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</si>
  <si>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</si>
  <si>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</si>
  <si>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</si>
  <si>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</si>
  <si>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</si>
  <si>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</si>
  <si>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</si>
  <si>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</si>
  <si>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</si>
  <si>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</si>
  <si>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</si>
  <si>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</si>
  <si>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</si>
  <si>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</si>
  <si>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</si>
  <si>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</si>
  <si>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</si>
  <si>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</si>
  <si>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</si>
  <si>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</si>
  <si>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</si>
  <si>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</si>
  <si>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</si>
  <si>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</si>
  <si>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</si>
  <si>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</si>
  <si>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</si>
  <si>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</si>
  <si>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</si>
  <si>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</si>
  <si>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</si>
  <si>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</si>
  <si>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</si>
  <si>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</si>
  <si>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</si>
  <si>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</si>
  <si>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</si>
  <si>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</si>
  <si>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</si>
  <si>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</si>
  <si>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</si>
  <si>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</si>
  <si>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</si>
  <si>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</si>
  <si>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</si>
  <si>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</si>
  <si>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</si>
  <si>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</si>
  <si>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</si>
  <si>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</si>
  <si>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</si>
  <si>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</si>
  <si>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</si>
  <si>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</si>
  <si>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</si>
  <si>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</si>
  <si>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</si>
  <si>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</si>
  <si>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</si>
  <si>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</si>
  <si>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</si>
  <si>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</si>
  <si>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</si>
  <si>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</si>
  <si>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</si>
  <si>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</si>
  <si>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</si>
  <si>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</si>
  <si>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</si>
  <si>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</si>
  <si>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</si>
  <si>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</si>
  <si>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</si>
  <si>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</si>
  <si>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</si>
  <si>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</si>
  <si>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</si>
  <si>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</si>
  <si>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</si>
  <si>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</si>
  <si>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</si>
  <si>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</si>
  <si>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</si>
  <si>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</si>
  <si>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</si>
  <si>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</si>
  <si>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</si>
  <si>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</si>
  <si>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</si>
  <si>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</si>
  <si>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</si>
  <si>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</si>
  <si>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</si>
  <si>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</si>
  <si>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</si>
  <si>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</si>
  <si>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</si>
  <si>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</si>
  <si>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</si>
  <si>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</si>
  <si>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</si>
  <si>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</si>
  <si>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</si>
  <si>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</si>
  <si>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</si>
  <si>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</si>
  <si>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</si>
  <si>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</si>
  <si>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</si>
  <si>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</si>
  <si>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</si>
  <si>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</si>
  <si>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</si>
  <si>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</si>
  <si>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</si>
  <si>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</si>
  <si>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</si>
  <si>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</si>
  <si>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</si>
  <si>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</si>
  <si>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</si>
  <si>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</si>
  <si>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</si>
  <si>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</si>
  <si>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</si>
  <si>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</si>
  <si>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</si>
  <si>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</si>
  <si>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</si>
  <si>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</si>
  <si>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</si>
  <si>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</si>
  <si>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</si>
  <si>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</si>
  <si>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</si>
  <si>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</si>
  <si>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</si>
  <si>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</si>
  <si>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</si>
  <si>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</si>
  <si>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</si>
  <si>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</si>
  <si>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</si>
  <si>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</si>
  <si>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</si>
  <si>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</si>
  <si>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</si>
  <si>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</si>
  <si>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</si>
  <si>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</si>
  <si>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</si>
  <si>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</si>
  <si>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</si>
  <si>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</si>
  <si>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</si>
  <si>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</si>
  <si>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</si>
  <si>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</si>
  <si>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</si>
  <si>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</si>
  <si>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</si>
  <si>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</si>
  <si>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</si>
  <si>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</si>
  <si>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</si>
  <si>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</si>
  <si>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</si>
  <si>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</si>
  <si>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</si>
  <si>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</si>
  <si>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</si>
  <si>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</si>
  <si>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</si>
  <si>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</si>
  <si>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</si>
  <si>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</si>
  <si>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</si>
  <si>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</si>
  <si>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</si>
  <si>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</si>
  <si>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</si>
  <si>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</si>
  <si>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</si>
  <si>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</si>
  <si>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</si>
  <si>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</si>
  <si>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</si>
  <si>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</si>
  <si>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</si>
  <si>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</si>
  <si>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</si>
  <si>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</si>
  <si>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</si>
  <si>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</si>
  <si>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</si>
  <si>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</si>
  <si>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</si>
  <si>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</si>
  <si>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</si>
  <si>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</si>
  <si>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</si>
  <si>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</si>
  <si>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</si>
  <si>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</si>
  <si>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</si>
  <si>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</si>
  <si>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</si>
  <si>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</si>
  <si>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</si>
  <si>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</si>
  <si>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</si>
  <si>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</si>
  <si>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</si>
  <si>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</si>
  <si>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</si>
  <si>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</si>
  <si>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</si>
  <si>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</si>
  <si>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</si>
  <si>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</si>
  <si>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</si>
  <si>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</si>
  <si>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</si>
  <si>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</si>
  <si>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</si>
  <si>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</si>
  <si>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</si>
  <si>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</si>
  <si>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</si>
  <si>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</si>
  <si>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</si>
  <si>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</si>
  <si>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</si>
  <si>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</si>
  <si>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</si>
  <si>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</si>
  <si>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</si>
  <si>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</si>
  <si>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</si>
  <si>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</si>
  <si>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</si>
  <si>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</si>
  <si>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</si>
  <si>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</si>
  <si>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</si>
  <si>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</si>
  <si>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</si>
  <si>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</si>
  <si>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</si>
  <si>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</si>
  <si>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</si>
  <si>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</si>
  <si>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</si>
  <si>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</si>
  <si>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</si>
  <si>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</si>
  <si>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</si>
  <si>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</si>
  <si>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</si>
  <si>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</si>
  <si>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</si>
  <si>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</si>
  <si>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</si>
  <si>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</si>
  <si>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</si>
  <si>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</si>
  <si>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</si>
  <si>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</si>
  <si>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</si>
  <si>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</si>
  <si>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</si>
  <si>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</si>
  <si>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</si>
  <si>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</si>
  <si>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</si>
  <si>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</si>
  <si>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</si>
  <si>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</si>
  <si>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</si>
  <si>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</si>
  <si>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</si>
  <si>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</si>
  <si>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</si>
  <si>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</si>
  <si>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</si>
  <si>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</si>
  <si>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</si>
  <si>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</si>
  <si>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</si>
  <si>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</si>
  <si>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</si>
  <si>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</si>
  <si>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</si>
  <si>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</si>
  <si>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</si>
  <si>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</si>
  <si>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</si>
  <si>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</si>
  <si>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</si>
  <si>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</si>
  <si>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</si>
  <si>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</si>
  <si>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</si>
  <si>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</si>
  <si>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</si>
  <si>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</si>
  <si>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</si>
  <si>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</si>
  <si>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</si>
  <si>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</si>
  <si>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</si>
  <si>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</si>
  <si>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</si>
  <si>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</si>
  <si>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</si>
  <si>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</si>
  <si>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</si>
  <si>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</si>
  <si>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</si>
  <si>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</si>
  <si>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</si>
  <si>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</si>
  <si>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</si>
  <si>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</si>
  <si>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</si>
  <si>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</si>
  <si>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</si>
  <si>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</si>
  <si>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</si>
  <si>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</si>
  <si>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</si>
  <si>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</si>
  <si>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</si>
  <si>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</si>
  <si>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</si>
  <si>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</si>
  <si>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</si>
  <si>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</si>
  <si>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</si>
  <si>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</si>
  <si>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</si>
  <si>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</si>
  <si>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</si>
  <si>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</si>
  <si>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</si>
  <si>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</si>
  <si>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</si>
  <si>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</si>
  <si>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</si>
  <si>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</si>
  <si>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</si>
  <si>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</si>
  <si>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</si>
  <si>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</si>
  <si>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</si>
  <si>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</si>
  <si>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</si>
  <si>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</si>
  <si>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</si>
  <si>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</si>
  <si>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</si>
  <si>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</si>
  <si>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</si>
  <si>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</si>
  <si>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</si>
  <si>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</si>
  <si>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</si>
  <si>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</si>
  <si>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</si>
  <si>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</si>
  <si>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</si>
  <si>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</si>
  <si>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</si>
  <si>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</si>
  <si>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</si>
  <si>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</si>
  <si>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</si>
  <si>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</si>
  <si>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</si>
  <si>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</si>
  <si>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</si>
  <si>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</si>
  <si>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</si>
  <si>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</si>
  <si>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</si>
  <si>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</si>
  <si>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</si>
  <si>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</si>
  <si>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</si>
  <si>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</si>
  <si>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</si>
  <si>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</si>
  <si>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</si>
  <si>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</si>
  <si>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</si>
  <si>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</si>
  <si>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</si>
  <si>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</si>
  <si>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</si>
  <si>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</si>
  <si>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</si>
  <si>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</si>
  <si>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</si>
  <si>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</si>
  <si>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</si>
  <si>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</si>
  <si>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</si>
  <si>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</si>
  <si>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</si>
  <si>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</si>
  <si>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</si>
  <si>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</si>
  <si>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</si>
  <si>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</si>
  <si>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</si>
  <si>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</si>
  <si>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</si>
  <si>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</si>
  <si>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</si>
  <si>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</si>
  <si>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</si>
  <si>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</si>
  <si>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</si>
  <si>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</si>
  <si>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</si>
  <si>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</si>
  <si>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</si>
  <si>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</si>
  <si>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</si>
  <si>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</si>
  <si>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</si>
  <si>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</si>
  <si>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</si>
  <si>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</si>
  <si>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</si>
  <si>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</si>
  <si>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</si>
  <si>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</si>
  <si>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</si>
  <si>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</si>
  <si>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</si>
  <si>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</si>
  <si>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</si>
  <si>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</si>
  <si>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</si>
  <si>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</si>
  <si>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</si>
  <si>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</si>
  <si>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</si>
  <si>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</si>
  <si>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</si>
  <si>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</si>
  <si>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</si>
  <si>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</si>
  <si>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</si>
  <si>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</si>
  <si>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</si>
  <si>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</si>
  <si>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</si>
  <si>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</si>
  <si>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</si>
  <si>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</si>
  <si>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</si>
  <si>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</si>
  <si>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</si>
  <si>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</si>
  <si>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</si>
  <si>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</si>
  <si>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</si>
  <si>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</si>
  <si>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</si>
  <si>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</si>
  <si>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</si>
  <si>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</si>
  <si>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</si>
  <si>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</si>
  <si>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</si>
  <si>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</si>
  <si>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</si>
  <si>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</si>
  <si>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</si>
  <si>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</si>
  <si>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</si>
  <si>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</si>
  <si>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</si>
  <si>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</si>
  <si>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</si>
  <si>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</si>
  <si>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</si>
  <si>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</si>
  <si>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</si>
  <si>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</si>
  <si>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</si>
  <si>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</si>
  <si>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</si>
  <si>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</si>
  <si>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</si>
  <si>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</si>
  <si>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</si>
  <si>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</si>
  <si>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</si>
  <si>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</si>
  <si>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</si>
  <si>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</si>
  <si>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</si>
  <si>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</si>
  <si>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</si>
  <si>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</si>
  <si>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</si>
  <si>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</si>
  <si>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</si>
  <si>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</si>
  <si>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</si>
  <si>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</si>
  <si>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</si>
  <si>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</si>
  <si>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</si>
  <si>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</si>
  <si>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</si>
  <si>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</si>
  <si>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</si>
  <si>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</si>
  <si>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</si>
  <si>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</si>
  <si>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</si>
  <si>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</si>
  <si>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</si>
  <si>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</si>
  <si>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</si>
  <si>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</si>
  <si>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</si>
  <si>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</si>
  <si>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</si>
  <si>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</si>
  <si>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</si>
  <si>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</si>
  <si>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</si>
  <si>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</si>
  <si>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</si>
  <si>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</si>
  <si>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</si>
  <si>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</si>
  <si>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</si>
  <si>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</si>
  <si>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</si>
  <si>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</si>
  <si>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</si>
  <si>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</si>
  <si>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</si>
  <si>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</si>
  <si>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</si>
  <si>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</si>
  <si>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</si>
  <si>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</si>
  <si>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</si>
  <si>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</si>
  <si>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</si>
  <si>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</si>
  <si>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</si>
  <si>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</si>
  <si>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</si>
  <si>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</si>
  <si>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</si>
  <si>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</si>
  <si>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</si>
  <si>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</si>
  <si>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</si>
  <si>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</si>
  <si>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</si>
  <si>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</si>
  <si>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</si>
  <si>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</si>
  <si>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</si>
  <si>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</si>
  <si>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</si>
  <si>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</si>
  <si>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</si>
  <si>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</si>
  <si>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</si>
  <si>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</si>
  <si>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</si>
  <si>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</si>
  <si>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</si>
  <si>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</si>
  <si>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</si>
  <si>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</si>
  <si>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</si>
  <si>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</si>
  <si>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</si>
  <si>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</si>
  <si>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</si>
  <si>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</si>
  <si>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</si>
  <si>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</si>
  <si>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</si>
  <si>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</si>
  <si>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</si>
  <si>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</si>
  <si>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</si>
  <si>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</si>
  <si>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</si>
  <si>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</si>
  <si>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</si>
  <si>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</si>
  <si>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</si>
  <si>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</si>
  <si>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</si>
  <si>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</si>
  <si>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</si>
  <si>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</si>
  <si>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</si>
  <si>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</si>
  <si>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</si>
  <si>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</si>
  <si>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</si>
  <si>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</si>
  <si>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</si>
  <si>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</si>
  <si>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</si>
  <si>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</si>
  <si>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</si>
  <si>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</si>
  <si>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</si>
  <si>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</si>
  <si>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</si>
  <si>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</si>
  <si>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</si>
  <si>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</si>
  <si>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</si>
  <si>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</si>
  <si>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</si>
  <si>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</si>
  <si>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</si>
  <si>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</si>
  <si>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</si>
  <si>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</si>
  <si>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</si>
  <si>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</si>
  <si>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</si>
  <si>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</si>
  <si>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</si>
  <si>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</si>
  <si>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</si>
  <si>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</si>
  <si>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</si>
  <si>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</si>
  <si>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</si>
  <si>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</si>
  <si>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</si>
  <si>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</si>
  <si>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</si>
  <si>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</si>
  <si>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</si>
  <si>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</si>
  <si>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</si>
  <si>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</si>
  <si>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</si>
  <si>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</si>
  <si>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</si>
  <si>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</si>
  <si>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</si>
  <si>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</si>
  <si>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</si>
  <si>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</si>
  <si>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</si>
  <si>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</si>
  <si>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</si>
  <si>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</si>
  <si>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</si>
  <si>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</si>
  <si>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</si>
  <si>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</si>
  <si>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</si>
  <si>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</si>
  <si>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</si>
  <si>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</si>
  <si>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</si>
  <si>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</si>
  <si>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</si>
  <si>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</si>
  <si>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</si>
  <si>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</si>
  <si>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</si>
  <si>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</si>
  <si>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</si>
  <si>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</si>
  <si>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</si>
  <si>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</si>
  <si>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</si>
  <si>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</si>
  <si>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</si>
  <si>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</si>
  <si>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</si>
  <si>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</si>
  <si>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</si>
  <si>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</si>
  <si>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</si>
  <si>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</si>
  <si>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</si>
  <si>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</si>
  <si>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</si>
  <si>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</si>
  <si>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</si>
  <si>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</si>
  <si>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</si>
  <si>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</si>
  <si>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</si>
  <si>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</si>
  <si>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</si>
  <si>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</si>
  <si>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</si>
  <si>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</si>
  <si>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</si>
  <si>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</si>
  <si>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</si>
  <si>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</si>
  <si>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</si>
  <si>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</si>
  <si>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</si>
  <si>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</si>
  <si>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</si>
  <si>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</si>
  <si>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</si>
  <si>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</si>
  <si>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</si>
  <si>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</si>
  <si>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</si>
  <si>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</si>
  <si>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</si>
  <si>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</si>
  <si>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</si>
  <si>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</si>
  <si>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</si>
  <si>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</si>
  <si>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</si>
  <si>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</si>
  <si>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</si>
  <si>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</si>
  <si>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</si>
  <si>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</si>
  <si>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</si>
  <si>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</si>
  <si>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</si>
  <si>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</si>
  <si>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</si>
  <si>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</si>
  <si>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</si>
  <si>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</si>
  <si>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</si>
  <si>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</si>
  <si>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</si>
  <si>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</si>
  <si>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</si>
  <si>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</si>
  <si>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</si>
  <si>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</si>
  <si>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</si>
  <si>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</si>
  <si>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</si>
  <si>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</si>
  <si>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</si>
  <si>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</si>
  <si>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</si>
  <si>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</si>
  <si>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</si>
  <si>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</si>
  <si>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</si>
  <si>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</si>
  <si>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</si>
  <si>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</si>
  <si>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</si>
  <si>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</si>
  <si>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</si>
  <si>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</si>
  <si>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</si>
  <si>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</si>
  <si>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</si>
  <si>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</si>
  <si>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</si>
  <si>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</si>
  <si>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</si>
  <si>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</si>
  <si>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</si>
  <si>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</si>
  <si>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</si>
  <si>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</si>
  <si>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</si>
  <si>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</si>
  <si>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</si>
  <si>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</si>
  <si>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</si>
  <si>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</si>
  <si>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</si>
  <si>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</si>
  <si>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</si>
  <si>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</si>
  <si>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</si>
  <si>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</si>
  <si>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</si>
  <si>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</si>
  <si>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</si>
  <si>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</si>
  <si>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</si>
  <si>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</si>
  <si>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</si>
  <si>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</si>
  <si>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</si>
  <si>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</si>
  <si>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</si>
  <si>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</si>
  <si>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</si>
  <si>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</si>
  <si>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</si>
  <si>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</si>
  <si>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</si>
  <si>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</si>
  <si>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</si>
  <si>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</si>
  <si>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</si>
  <si>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</si>
  <si>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</si>
  <si>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</si>
  <si>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</si>
  <si>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</si>
  <si>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</si>
  <si>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</si>
  <si>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</si>
  <si>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</si>
  <si>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</si>
  <si>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</si>
  <si>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</si>
  <si>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</si>
  <si>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</si>
  <si>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</si>
  <si>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</si>
  <si>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</si>
  <si>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</si>
  <si>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</si>
  <si>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</si>
  <si>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</si>
  <si>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</si>
  <si>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</si>
  <si>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</si>
  <si>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</si>
  <si>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</si>
  <si>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</si>
  <si>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</si>
  <si>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</si>
  <si>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</si>
  <si>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</si>
  <si>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</si>
  <si>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</si>
  <si>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</si>
  <si>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</si>
  <si>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</si>
  <si>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</si>
  <si>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</si>
  <si>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</si>
  <si>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</si>
  <si>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</si>
  <si>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</si>
  <si>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</si>
  <si>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</si>
  <si>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</si>
  <si>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</si>
  <si>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</si>
  <si>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</si>
  <si>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</si>
  <si>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</si>
  <si>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</si>
  <si>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</si>
  <si>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</si>
  <si>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</si>
  <si>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</si>
  <si>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</si>
  <si>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</si>
  <si>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</si>
  <si>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</si>
  <si>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</si>
  <si>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</si>
  <si>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</si>
  <si>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</si>
  <si>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</si>
  <si>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</si>
  <si>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</si>
  <si>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</si>
  <si>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</si>
  <si>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</si>
  <si>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</si>
  <si>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</si>
  <si>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</si>
  <si>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</si>
  <si>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</si>
  <si>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</si>
  <si>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</si>
  <si>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</si>
  <si>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</si>
  <si>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</si>
  <si>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</si>
  <si>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</si>
  <si>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</si>
  <si>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</si>
  <si>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</si>
  <si>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</si>
  <si>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</si>
  <si>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</si>
  <si>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</si>
  <si>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</si>
  <si>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</si>
  <si>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</si>
  <si>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</si>
  <si>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</si>
  <si>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</si>
  <si>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</si>
  <si>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</si>
  <si>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</si>
  <si>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</si>
  <si>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</si>
  <si>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</si>
  <si>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</si>
  <si>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</si>
  <si>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</si>
  <si>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</si>
  <si>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</si>
  <si>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</si>
  <si>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</si>
  <si>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</si>
  <si>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</si>
  <si>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</si>
  <si>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</si>
  <si>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</si>
  <si>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</si>
  <si>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</si>
  <si>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</si>
  <si>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</si>
  <si>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</si>
  <si>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</si>
  <si>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</si>
  <si>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</si>
  <si>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</si>
  <si>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</si>
  <si>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</si>
  <si>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</si>
  <si>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</si>
  <si>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</si>
  <si>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</si>
  <si>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</si>
  <si>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</si>
  <si>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</si>
  <si>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</si>
  <si>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</si>
  <si>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</si>
  <si>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</si>
  <si>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</si>
  <si>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</si>
  <si>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</si>
  <si>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</si>
  <si>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</si>
  <si>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</si>
  <si>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</si>
  <si>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</si>
  <si>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</si>
  <si>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</si>
  <si>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</si>
  <si>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</si>
  <si>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</si>
  <si>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</si>
  <si>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</si>
  <si>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</si>
  <si>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</si>
  <si>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</si>
  <si>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</si>
  <si>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</si>
  <si>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</si>
  <si>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</si>
  <si>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</si>
  <si>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</si>
  <si>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</si>
  <si>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</si>
  <si>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</si>
  <si>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</si>
  <si>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</si>
  <si>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</si>
  <si>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</si>
  <si>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</si>
  <si>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</si>
  <si>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</si>
  <si>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</si>
  <si>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</si>
  <si>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</si>
  <si>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</si>
  <si>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</si>
  <si>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</si>
  <si>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</si>
  <si>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</si>
  <si>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</si>
  <si>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</si>
  <si>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</si>
  <si>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</si>
  <si>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</si>
  <si>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</si>
  <si>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</si>
  <si>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</si>
  <si>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</si>
  <si>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</si>
  <si>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</si>
  <si>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</si>
  <si>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</si>
  <si>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</si>
  <si>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</si>
  <si>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</si>
  <si>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</si>
  <si>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</si>
  <si>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</si>
  <si>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</si>
  <si>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</si>
  <si>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</si>
  <si>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</si>
  <si>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</si>
  <si>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</si>
  <si>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</si>
  <si>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</si>
  <si>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</si>
  <si>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</si>
  <si>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</si>
  <si>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</si>
  <si>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</si>
  <si>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</si>
  <si>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</si>
  <si>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</si>
  <si>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</si>
  <si>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</si>
  <si>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</si>
  <si>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</si>
  <si>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</si>
  <si>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</si>
  <si>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</si>
  <si>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</si>
  <si>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</si>
  <si>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</si>
  <si>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</si>
  <si>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</si>
  <si>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</si>
  <si>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</si>
  <si>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</si>
  <si>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</si>
  <si>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</si>
  <si>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</si>
  <si>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</si>
  <si>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</si>
  <si>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</si>
  <si>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</si>
  <si>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</si>
  <si>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</si>
  <si>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</si>
  <si>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</si>
  <si>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</si>
  <si>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</si>
  <si>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</si>
  <si>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</si>
  <si>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</si>
  <si>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</si>
  <si>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</si>
  <si>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</si>
  <si>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</si>
  <si>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</si>
  <si>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</si>
  <si>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</si>
  <si>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</si>
  <si>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</si>
  <si>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</si>
  <si>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</si>
  <si>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</si>
  <si>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</si>
  <si>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</si>
  <si>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</si>
  <si>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</si>
  <si>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</si>
  <si>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</si>
  <si>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</si>
  <si>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</si>
  <si>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</si>
  <si>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</si>
  <si>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</si>
  <si>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</si>
  <si>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</si>
  <si>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</si>
  <si>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</si>
  <si>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</si>
  <si>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</si>
  <si>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</si>
  <si>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</si>
  <si>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</si>
  <si>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</si>
  <si>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</si>
  <si>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</si>
  <si>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</si>
  <si>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</si>
  <si>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</si>
  <si>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</si>
  <si>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</si>
  <si>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</si>
  <si>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</si>
  <si>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</si>
  <si>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</si>
  <si>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</si>
  <si>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</si>
  <si>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</si>
  <si>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</si>
  <si>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</si>
  <si>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</si>
  <si>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</si>
  <si>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</si>
  <si>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</si>
  <si>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</si>
  <si>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</si>
  <si>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</si>
  <si>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</si>
  <si>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</si>
  <si>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</si>
  <si>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</si>
  <si>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</si>
  <si>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</si>
  <si>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</si>
  <si>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</si>
  <si>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</si>
  <si>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</si>
  <si>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</si>
  <si>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</si>
  <si>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</si>
  <si>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</si>
  <si>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</si>
  <si>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</si>
  <si>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</si>
  <si>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</si>
  <si>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</si>
  <si>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</si>
  <si>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</si>
  <si>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</si>
  <si>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</si>
  <si>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</si>
  <si>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</si>
  <si>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</si>
  <si>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</si>
  <si>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</si>
  <si>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</si>
  <si>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</si>
  <si>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</si>
  <si>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</si>
  <si>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</si>
  <si>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</si>
  <si>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</si>
  <si>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</si>
  <si>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</si>
  <si>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</si>
  <si>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</si>
  <si>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</si>
  <si>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</si>
  <si>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</si>
  <si>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</si>
  <si>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</si>
  <si>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</si>
  <si>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</si>
  <si>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</si>
  <si>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</si>
  <si>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</si>
  <si>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</si>
  <si>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</si>
  <si>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</si>
  <si>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</si>
  <si>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</si>
  <si>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</si>
  <si>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</si>
  <si>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</si>
  <si>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</si>
  <si>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</si>
  <si>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</si>
  <si>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</si>
  <si>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</si>
  <si>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</si>
  <si>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</si>
  <si>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</si>
  <si>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</si>
  <si>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</si>
  <si>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</si>
  <si>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</si>
  <si>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</si>
  <si>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</si>
  <si>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</si>
  <si>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</si>
  <si>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</si>
  <si>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</si>
  <si>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</si>
  <si>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</si>
  <si>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</si>
  <si>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</si>
  <si>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</si>
  <si>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</si>
  <si>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</si>
  <si>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</si>
  <si>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</si>
  <si>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</si>
  <si>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</si>
  <si>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</si>
  <si>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</si>
  <si>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</si>
  <si>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</si>
  <si>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</si>
  <si>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</si>
  <si>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</si>
  <si>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</si>
  <si>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</si>
  <si>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</si>
  <si>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</si>
  <si>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</si>
  <si>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</si>
  <si>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</si>
  <si>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</si>
  <si>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</si>
  <si>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</si>
  <si>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</si>
  <si>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</si>
  <si>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</si>
  <si>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</si>
  <si>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</si>
  <si>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</si>
  <si>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</si>
  <si>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</si>
  <si>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</si>
  <si>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</si>
  <si>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</si>
  <si>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</si>
  <si>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</si>
  <si>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</si>
  <si>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</si>
  <si>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</si>
  <si>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</si>
  <si>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</si>
  <si>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</si>
  <si>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</si>
  <si>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</si>
  <si>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</si>
  <si>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</si>
  <si>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</si>
  <si>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</si>
  <si>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</si>
  <si>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</si>
  <si>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</si>
  <si>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</si>
  <si>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</si>
  <si>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</si>
  <si>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</si>
  <si>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</si>
  <si>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</si>
  <si>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</si>
  <si>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</si>
  <si>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</si>
  <si>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</si>
  <si>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</si>
  <si>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</si>
  <si>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</si>
  <si>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</si>
  <si>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</si>
  <si>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</si>
  <si>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</si>
  <si>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</si>
  <si>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</si>
  <si>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</si>
  <si>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</si>
  <si>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</si>
  <si>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</si>
  <si>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</si>
  <si>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</si>
  <si>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</si>
  <si>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</si>
  <si>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</si>
  <si>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</si>
  <si>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</si>
  <si>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</si>
  <si>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</si>
  <si>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</si>
  <si>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</si>
  <si>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</si>
  <si>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</si>
  <si>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</si>
  <si>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</si>
  <si>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</si>
  <si>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</si>
  <si>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</si>
  <si>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</si>
  <si>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</si>
  <si>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</si>
  <si>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</si>
  <si>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</si>
  <si>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</si>
  <si>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</si>
  <si>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</si>
  <si>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</si>
  <si>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</si>
  <si>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</si>
  <si>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</si>
  <si>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</si>
  <si>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</si>
  <si>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</si>
  <si>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</si>
  <si>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</si>
  <si>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</si>
  <si>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</si>
  <si>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</si>
  <si>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</si>
  <si>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</si>
  <si>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</si>
  <si>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</si>
  <si>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</si>
  <si>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</si>
  <si>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</si>
  <si>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</si>
  <si>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</si>
  <si>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</si>
  <si>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</si>
  <si>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</si>
  <si>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</si>
  <si>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</si>
  <si>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</si>
  <si>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</si>
  <si>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</si>
  <si>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</si>
  <si>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</si>
  <si>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</si>
  <si>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</si>
  <si>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</si>
  <si>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</si>
  <si>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</si>
  <si>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</si>
  <si>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</si>
  <si>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</si>
  <si>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</si>
  <si>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</si>
  <si>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</si>
  <si>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</si>
  <si>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</si>
  <si>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</si>
  <si>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</si>
  <si>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</si>
  <si>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</si>
  <si>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</si>
  <si>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</si>
  <si>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</si>
  <si>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</si>
  <si>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</si>
  <si>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</si>
  <si>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</si>
  <si>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</si>
  <si>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</si>
  <si>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</si>
  <si>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</si>
  <si>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</si>
  <si>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</si>
  <si>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</si>
  <si>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</si>
  <si>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</si>
  <si>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</si>
  <si>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</si>
  <si>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</si>
  <si>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</si>
  <si>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</si>
  <si>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</si>
  <si>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</si>
  <si>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</si>
  <si>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</si>
  <si>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</si>
  <si>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</si>
  <si>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</si>
  <si>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</si>
  <si>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</si>
  <si>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</si>
  <si>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</si>
  <si>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</si>
  <si>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</si>
  <si>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</si>
  <si>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</si>
  <si>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</si>
  <si>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</si>
  <si>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</si>
  <si>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</si>
  <si>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</si>
  <si>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</si>
  <si>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</si>
  <si>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</si>
  <si>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</si>
  <si>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</si>
  <si>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</si>
  <si>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</si>
  <si>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</si>
  <si>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</si>
  <si>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</si>
  <si>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</si>
  <si>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</si>
  <si>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</si>
  <si>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</si>
  <si>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</si>
  <si>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</si>
  <si>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</si>
  <si>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</si>
  <si>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</si>
  <si>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</si>
  <si>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</si>
  <si>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</si>
  <si>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</si>
  <si>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</si>
  <si>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</si>
  <si>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</si>
  <si>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</si>
  <si>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</si>
  <si>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</si>
  <si>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</si>
  <si>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</si>
  <si>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</si>
  <si>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</si>
  <si>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</si>
  <si>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</si>
  <si>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</si>
  <si>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</si>
  <si>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</si>
  <si>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</si>
  <si>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</si>
  <si>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</si>
  <si>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</si>
  <si>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</si>
  <si>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</si>
  <si>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</si>
  <si>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</si>
  <si>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</si>
  <si>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</si>
  <si>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</si>
  <si>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</si>
  <si>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</si>
  <si>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</si>
  <si>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</si>
  <si>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</si>
  <si>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</si>
  <si>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</si>
  <si>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</si>
  <si>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</si>
  <si>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</si>
  <si>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</si>
  <si>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</si>
  <si>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</si>
  <si>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</si>
  <si>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</si>
  <si>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</si>
  <si>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</si>
  <si>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</si>
  <si>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</si>
  <si>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</si>
  <si>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</si>
  <si>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</si>
  <si>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</si>
  <si>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</si>
  <si>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</si>
  <si>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</si>
  <si>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</si>
  <si>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</si>
  <si>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</si>
  <si>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</si>
  <si>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</si>
  <si>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</si>
  <si>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</si>
  <si>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</si>
  <si>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</si>
  <si>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</si>
  <si>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</si>
  <si>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</si>
  <si>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</si>
  <si>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</si>
  <si>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</si>
  <si>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</si>
  <si>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</si>
  <si>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</si>
  <si>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</si>
  <si>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</si>
  <si>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</si>
  <si>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</si>
  <si>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</si>
  <si>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</si>
  <si>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</si>
  <si>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</si>
  <si>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</si>
  <si>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</si>
  <si>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</si>
  <si>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</si>
  <si>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</si>
  <si>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</si>
  <si>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</si>
  <si>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</si>
  <si>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</si>
  <si>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</si>
  <si>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</si>
  <si>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</si>
  <si>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</si>
  <si>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</si>
  <si>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</si>
  <si>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</si>
  <si>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</si>
  <si>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</si>
  <si>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</si>
  <si>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</si>
  <si>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</si>
  <si>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</si>
  <si>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</si>
  <si>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</si>
  <si>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</si>
  <si>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</si>
  <si>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</si>
  <si>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</si>
  <si>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</si>
  <si>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</si>
  <si>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</si>
  <si>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</si>
  <si>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</si>
  <si>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</si>
  <si>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</si>
  <si>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</si>
  <si>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</si>
  <si>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</si>
  <si>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</si>
  <si>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</si>
  <si>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</si>
  <si>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</si>
  <si>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</si>
  <si>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</si>
  <si>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</si>
  <si>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</si>
  <si>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</si>
  <si>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</si>
  <si>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</si>
  <si>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</si>
  <si>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</si>
  <si>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</si>
  <si>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</si>
  <si>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</si>
  <si>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</si>
  <si>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</si>
  <si>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</si>
  <si>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</si>
  <si>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</si>
  <si>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</si>
  <si>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</si>
  <si>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</si>
  <si>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</si>
  <si>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</si>
  <si>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</si>
  <si>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</si>
  <si>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</si>
  <si>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</si>
  <si>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</si>
  <si>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</si>
  <si>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</si>
  <si>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</si>
  <si>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</si>
  <si>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</si>
  <si>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</si>
  <si>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</si>
  <si>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</si>
  <si>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</si>
  <si>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</si>
  <si>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</si>
  <si>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</si>
  <si>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</si>
  <si>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</si>
  <si>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</si>
  <si>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</si>
  <si>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</si>
  <si>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</si>
  <si>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</si>
  <si>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</si>
  <si>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</si>
  <si>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</si>
  <si>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</si>
  <si>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</si>
  <si>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</si>
  <si>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</si>
  <si>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</si>
  <si>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</si>
  <si>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</si>
  <si>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</si>
  <si>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</si>
  <si>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</si>
  <si>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</si>
  <si>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</si>
  <si>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</si>
  <si>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</si>
  <si>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</si>
  <si>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</si>
  <si>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</si>
  <si>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</si>
  <si>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</si>
  <si>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</si>
  <si>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</si>
  <si>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</si>
  <si>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</si>
  <si>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</si>
  <si>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</si>
  <si>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</si>
  <si>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</si>
  <si>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</si>
  <si>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</si>
  <si>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</si>
  <si>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</si>
  <si>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</si>
  <si>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</si>
  <si>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</si>
  <si>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</si>
  <si>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</si>
  <si>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</si>
  <si>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</si>
  <si>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</si>
  <si>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</si>
  <si>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</si>
  <si>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</si>
  <si>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</si>
  <si>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</si>
  <si>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</si>
  <si>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</si>
  <si>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</si>
  <si>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</si>
  <si>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</si>
  <si>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</si>
  <si>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</si>
  <si>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</si>
  <si>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</si>
  <si>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</si>
  <si>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</si>
  <si>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</si>
  <si>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</si>
  <si>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</si>
  <si>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</si>
  <si>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</si>
  <si>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</si>
  <si>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</si>
  <si>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</si>
  <si>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</si>
  <si>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</si>
  <si>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</si>
  <si>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</si>
  <si>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</si>
  <si>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</si>
  <si>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</si>
  <si>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</si>
  <si>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</si>
  <si>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</si>
  <si>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</si>
  <si>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</si>
  <si>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</si>
  <si>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</si>
  <si>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</si>
  <si>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</si>
  <si>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</si>
  <si>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</si>
  <si>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</si>
  <si>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</si>
  <si>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</si>
  <si>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</si>
  <si>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</si>
  <si>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</si>
  <si>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</si>
  <si>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</si>
  <si>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</si>
  <si>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</si>
  <si>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</si>
  <si>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</si>
  <si>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</si>
  <si>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</si>
  <si>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</si>
  <si>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</si>
  <si>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</si>
  <si>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</si>
  <si>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</si>
  <si>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</si>
  <si>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</si>
  <si>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</si>
  <si>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</si>
  <si>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</si>
  <si>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</si>
  <si>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</si>
  <si>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</si>
  <si>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</si>
  <si>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</si>
  <si>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</si>
  <si>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</si>
  <si>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</si>
  <si>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</si>
  <si>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</si>
  <si>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</si>
  <si>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</si>
  <si>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</si>
  <si>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</si>
  <si>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</si>
  <si>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</si>
  <si>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</si>
  <si>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</si>
  <si>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</si>
  <si>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</si>
  <si>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</si>
  <si>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</si>
  <si>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</si>
  <si>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</si>
  <si>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</si>
  <si>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</si>
  <si>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</si>
  <si>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</si>
  <si>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</si>
  <si>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</si>
  <si>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</si>
  <si>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</si>
  <si>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</si>
  <si>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</si>
  <si>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</si>
  <si>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</si>
  <si>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</si>
  <si>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</si>
  <si>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</si>
  <si>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</si>
  <si>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</si>
  <si>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</si>
  <si>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</si>
  <si>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</si>
  <si>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</si>
  <si>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</si>
  <si>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</si>
  <si>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</si>
  <si>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</si>
  <si>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</si>
  <si>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</si>
  <si>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</si>
  <si>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</si>
  <si>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</si>
  <si>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</si>
  <si>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</si>
  <si>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</si>
  <si>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</si>
  <si>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</si>
  <si>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</si>
  <si>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</si>
  <si>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</si>
  <si>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</si>
  <si>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</si>
  <si>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</si>
  <si>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</si>
  <si>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</si>
  <si>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</si>
  <si>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</si>
  <si>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</si>
  <si>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</si>
  <si>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</si>
  <si>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</si>
  <si>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</si>
  <si>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</si>
  <si>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</si>
  <si>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</si>
  <si>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</si>
  <si>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</si>
  <si>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</si>
  <si>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</si>
  <si>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</si>
  <si>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</si>
  <si>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</si>
  <si>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</si>
  <si>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</si>
  <si>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</si>
  <si>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</si>
  <si>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</si>
  <si>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</si>
  <si>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</si>
  <si>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</si>
  <si>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</si>
  <si>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</si>
  <si>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</si>
  <si>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</si>
  <si>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</si>
  <si>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</si>
  <si>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</si>
  <si>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</si>
  <si>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</si>
  <si>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</si>
  <si>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</si>
  <si>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</si>
  <si>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</si>
  <si>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</si>
  <si>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</si>
  <si>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</si>
  <si>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</si>
  <si>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</si>
  <si>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</si>
  <si>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</si>
  <si>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</si>
  <si>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</si>
  <si>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</si>
  <si>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</si>
  <si>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</si>
  <si>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</si>
  <si>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</si>
  <si>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</si>
  <si>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</si>
  <si>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</si>
  <si>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</si>
  <si>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</si>
  <si>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</si>
  <si>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</si>
  <si>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</si>
  <si>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</si>
  <si>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</si>
  <si>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</si>
  <si>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</si>
  <si>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</si>
  <si>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</si>
  <si>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</si>
  <si>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</si>
  <si>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</si>
  <si>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</si>
  <si>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</si>
  <si>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</si>
  <si>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</si>
  <si>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</si>
  <si>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</si>
  <si>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</si>
  <si>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</si>
  <si>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</si>
  <si>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</si>
  <si>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</si>
  <si>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</si>
  <si>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</si>
  <si>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</si>
  <si>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</si>
  <si>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</si>
  <si>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</si>
  <si>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</si>
  <si>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</si>
  <si>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</si>
  <si>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</si>
  <si>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</si>
  <si>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</si>
  <si>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</si>
  <si>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</si>
  <si>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</si>
  <si>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</si>
  <si>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</si>
  <si>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</si>
  <si>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</si>
  <si>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</si>
  <si>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</si>
  <si>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</si>
  <si>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</si>
  <si>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</si>
  <si>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</si>
  <si>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</si>
  <si>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</si>
  <si>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</si>
  <si>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</si>
  <si>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</si>
  <si>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</si>
  <si>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</si>
  <si>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</si>
  <si>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</si>
  <si>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</si>
  <si>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</si>
  <si>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</si>
  <si>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</si>
  <si>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</si>
  <si>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</si>
  <si>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</si>
  <si>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</si>
  <si>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</si>
  <si>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</si>
  <si>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</si>
  <si>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</si>
  <si>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</si>
  <si>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</si>
  <si>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</si>
  <si>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</si>
  <si>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</si>
  <si>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</si>
  <si>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</si>
  <si>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</si>
  <si>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</si>
  <si>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</si>
  <si>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</si>
  <si>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</si>
  <si>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</si>
  <si>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</si>
  <si>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</si>
  <si>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</si>
  <si>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</si>
  <si>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</si>
  <si>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</si>
  <si>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</si>
  <si>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</si>
  <si>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</si>
  <si>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</si>
  <si>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</si>
  <si>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</si>
  <si>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</si>
  <si>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</si>
  <si>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</si>
  <si>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</si>
  <si>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</si>
  <si>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</si>
  <si>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</si>
  <si>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</si>
  <si>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</si>
  <si>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</si>
  <si>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</si>
  <si>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</si>
  <si>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</si>
  <si>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</si>
  <si>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</si>
  <si>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</si>
  <si>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</si>
  <si>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</si>
  <si>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</si>
  <si>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</si>
  <si>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</si>
  <si>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</si>
  <si>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</si>
  <si>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</si>
  <si>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</si>
  <si>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</si>
  <si>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</si>
  <si>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</si>
  <si>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</si>
  <si>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</si>
  <si>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</si>
  <si>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</si>
  <si>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</si>
  <si>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</si>
  <si>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</si>
  <si>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</si>
  <si>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</si>
  <si>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</si>
  <si>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</si>
  <si>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</si>
  <si>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</si>
  <si>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</si>
  <si>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</si>
  <si>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</si>
  <si>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</si>
  <si>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</si>
  <si>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</si>
  <si>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</si>
  <si>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</si>
  <si>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</si>
  <si>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</si>
  <si>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</si>
  <si>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</si>
  <si>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</si>
  <si>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成新度</t>
  </si>
  <si>
    <t>直线</t>
    <phoneticPr fontId="3" type="noConversion"/>
  </si>
  <si>
    <t>综合</t>
    <phoneticPr fontId="3" type="noConversion"/>
  </si>
  <si>
    <t>利息：取LPR加浮动点数</t>
  </si>
  <si>
    <t>不临65条商业街</t>
  </si>
  <si>
    <t>与级别开发程度不一致</t>
  </si>
  <si>
    <t>通路</t>
  </si>
  <si>
    <t>通电</t>
  </si>
  <si>
    <t>通讯</t>
  </si>
  <si>
    <t>通下水</t>
  </si>
  <si>
    <t>通上水</t>
  </si>
  <si>
    <t>通热</t>
  </si>
  <si>
    <t>平整</t>
  </si>
  <si>
    <t>一般</t>
  </si>
  <si>
    <t>较好</t>
  </si>
  <si>
    <t>好</t>
  </si>
  <si>
    <t>未包含在土地购买价格中</t>
  </si>
  <si>
    <t>已包含在土地取得成本中</t>
  </si>
  <si>
    <t>单套模式</t>
  </si>
  <si>
    <t>售价</t>
  </si>
  <si>
    <t>育慧西里</t>
    <phoneticPr fontId="3" type="noConversion"/>
  </si>
  <si>
    <t>正常</t>
  </si>
  <si>
    <t>20-30</t>
    <phoneticPr fontId="30" type="noConversion"/>
  </si>
  <si>
    <t>30-40</t>
    <phoneticPr fontId="30" type="noConversion"/>
  </si>
  <si>
    <t>总价</t>
  </si>
  <si>
    <t>成本比率</t>
  </si>
  <si>
    <t>商业</t>
    <phoneticPr fontId="30" type="noConversion"/>
  </si>
  <si>
    <t>阳明广场</t>
    <phoneticPr fontId="3" type="noConversion"/>
  </si>
  <si>
    <t>30-40</t>
    <phoneticPr fontId="30" type="noConversion"/>
  </si>
  <si>
    <t>保利香槟花园</t>
    <phoneticPr fontId="3" type="noConversion"/>
  </si>
  <si>
    <t>情况4</t>
  </si>
  <si>
    <t>转让取得</t>
  </si>
  <si>
    <t>非个人房产</t>
  </si>
  <si>
    <t>购房发票</t>
  </si>
  <si>
    <t>2016年5月1日后购买</t>
  </si>
  <si>
    <t>办公楼</t>
  </si>
  <si>
    <t>办公</t>
    <phoneticPr fontId="7" type="noConversion"/>
  </si>
  <si>
    <t>容积率修正</t>
  </si>
  <si>
    <t>部分及房号</t>
    <phoneticPr fontId="134" type="noConversion"/>
  </si>
  <si>
    <t>3层2-8</t>
    <phoneticPr fontId="134" type="noConversion"/>
  </si>
  <si>
    <t>4层2-10</t>
    <phoneticPr fontId="134" type="noConversion"/>
  </si>
  <si>
    <t>5-6层2-12</t>
    <phoneticPr fontId="134" type="noConversion"/>
  </si>
  <si>
    <t>8层2-14</t>
    <phoneticPr fontId="134" type="noConversion"/>
  </si>
  <si>
    <t>B1层7-2</t>
    <phoneticPr fontId="134" type="noConversion"/>
  </si>
  <si>
    <t>B2层7-4</t>
    <phoneticPr fontId="134" type="noConversion"/>
  </si>
  <si>
    <t>B3层7-6</t>
    <phoneticPr fontId="134" type="noConversion"/>
  </si>
  <si>
    <t>建筑面积</t>
    <phoneticPr fontId="134" type="noConversion"/>
  </si>
  <si>
    <t>1层2-3</t>
    <phoneticPr fontId="134" type="noConversion"/>
  </si>
  <si>
    <t>2层2-6</t>
    <phoneticPr fontId="134" type="noConversion"/>
  </si>
  <si>
    <t>现状用途</t>
    <phoneticPr fontId="134" type="noConversion"/>
  </si>
  <si>
    <t>商业</t>
    <phoneticPr fontId="134" type="noConversion"/>
  </si>
  <si>
    <t>办公</t>
    <phoneticPr fontId="134" type="noConversion"/>
  </si>
  <si>
    <t>车库</t>
    <phoneticPr fontId="134" type="noConversion"/>
  </si>
  <si>
    <t>办公、库房</t>
    <phoneticPr fontId="134" type="noConversion"/>
  </si>
  <si>
    <t>地下</t>
  </si>
  <si>
    <t>收益法</t>
  </si>
  <si>
    <t>押一</t>
  </si>
  <si>
    <t>钢混</t>
  </si>
  <si>
    <t>非生产用房</t>
  </si>
  <si>
    <t>商务金融用地</t>
  </si>
  <si>
    <t>估价对象容积率</t>
  </si>
  <si>
    <t>中心城区</t>
  </si>
  <si>
    <t>全部缴纳</t>
  </si>
  <si>
    <t>租金</t>
    <phoneticPr fontId="134" type="noConversion"/>
  </si>
  <si>
    <t>成本法</t>
  </si>
  <si>
    <r>
      <t>2019</t>
    </r>
    <r>
      <rPr>
        <sz val="10"/>
        <color indexed="8"/>
        <rFont val="宋体"/>
        <family val="3"/>
        <charset val="134"/>
      </rPr>
      <t>年首佳</t>
    </r>
    <phoneticPr fontId="8" type="noConversion"/>
  </si>
  <si>
    <t>否</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</si>
  <si>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</si>
  <si>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</si>
  <si>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</si>
  <si>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</si>
  <si>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</si>
  <si>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</si>
  <si>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</si>
  <si>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</si>
  <si>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</si>
  <si>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</si>
  <si>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</si>
  <si>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</si>
  <si>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</si>
  <si>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</si>
  <si>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</si>
  <si>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</si>
  <si>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</si>
  <si>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</si>
  <si>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</si>
  <si>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</si>
  <si>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</si>
  <si>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</si>
  <si>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</si>
  <si>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</si>
  <si>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</si>
  <si>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</si>
  <si>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</si>
  <si>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</si>
  <si>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</si>
  <si>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</si>
  <si>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</si>
  <si>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</si>
  <si>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</si>
  <si>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</si>
  <si>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</si>
  <si>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</si>
  <si>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</si>
  <si>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</si>
  <si>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</si>
  <si>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</si>
  <si>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</si>
  <si>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</si>
  <si>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</si>
  <si>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</si>
  <si>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</si>
  <si>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</si>
  <si>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</si>
  <si>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</si>
  <si>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</si>
  <si>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</si>
  <si>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</si>
  <si>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</si>
  <si>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</si>
  <si>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</si>
  <si>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</si>
  <si>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</si>
  <si>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</si>
  <si>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</si>
  <si>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</si>
  <si>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</si>
  <si>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</si>
  <si>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</si>
  <si>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</si>
  <si>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</si>
  <si>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</si>
  <si>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</si>
  <si>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</si>
  <si>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</si>
  <si>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</si>
  <si>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</si>
  <si>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</si>
  <si>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中关村集成电路设计发展</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</si>
  <si>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</si>
  <si>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</si>
  <si>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</si>
  <si>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</si>
  <si>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</si>
  <si>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</si>
  <si>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</si>
  <si>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</si>
  <si>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</si>
  <si>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</si>
  <si>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</si>
  <si>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</si>
  <si>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</si>
  <si>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</si>
  <si>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</si>
  <si>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</si>
  <si>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</si>
  <si>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</si>
  <si>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</si>
  <si>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</si>
  <si>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</si>
  <si>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</si>
  <si>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</si>
  <si>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</si>
  <si>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</si>
  <si>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</si>
  <si>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</si>
  <si>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</si>
  <si>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</si>
  <si>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</si>
  <si>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</si>
  <si>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</si>
  <si>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</si>
  <si>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</si>
  <si>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</si>
  <si>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</si>
  <si>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</si>
  <si>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</si>
  <si>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</si>
  <si>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</si>
  <si>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</si>
  <si>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</si>
  <si>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</si>
  <si>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</si>
  <si>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</si>
  <si>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</si>
  <si>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</si>
  <si>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</si>
  <si>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</si>
  <si>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</si>
  <si>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西城区</t>
  </si>
  <si>
    <t>金融街控股</t>
  </si>
  <si>
    <t>项目模式</t>
  </si>
  <si>
    <t>富华大厦</t>
    <phoneticPr fontId="3" type="noConversion"/>
  </si>
  <si>
    <t>精装修</t>
  </si>
  <si>
    <t>普通装修</t>
  </si>
  <si>
    <t>简单装修</t>
  </si>
  <si>
    <t>毛坯</t>
  </si>
  <si>
    <t>甲级</t>
  </si>
  <si>
    <t>专业</t>
  </si>
  <si>
    <t>七通</t>
  </si>
  <si>
    <t>标准</t>
  </si>
  <si>
    <t>地下面积占比</t>
    <phoneticPr fontId="31" type="noConversion"/>
  </si>
  <si>
    <t>ACR 安狮资产</t>
  </si>
  <si>
    <t>平安人寿</t>
  </si>
  <si>
    <t>比较法-办公</t>
  </si>
  <si>
    <t>写字楼</t>
  </si>
  <si>
    <t>写字楼</t>
    <phoneticPr fontId="31" type="noConversion"/>
  </si>
  <si>
    <t>IC Park 2号楼</t>
    <phoneticPr fontId="134" type="noConversion"/>
  </si>
  <si>
    <t>声讯控股</t>
  </si>
  <si>
    <t>办公</t>
    <phoneticPr fontId="31" type="noConversion"/>
  </si>
  <si>
    <r>
      <t xml:space="preserve">         </t>
    </r>
    <r>
      <rPr>
        <b/>
        <u/>
        <sz val="16"/>
        <rFont val="宋体"/>
        <family val="3"/>
        <charset val="134"/>
      </rPr>
      <t>富华大厦项目部</t>
    </r>
    <r>
      <rPr>
        <b/>
        <u/>
        <sz val="16"/>
        <rFont val="Times New Roman"/>
        <family val="1"/>
      </rPr>
      <t xml:space="preserve">  </t>
    </r>
    <r>
      <rPr>
        <b/>
        <sz val="16"/>
        <rFont val="Times New Roman"/>
        <family val="1"/>
      </rPr>
      <t>2022</t>
    </r>
    <r>
      <rPr>
        <b/>
        <sz val="16"/>
        <rFont val="宋体"/>
        <family val="3"/>
        <charset val="134"/>
      </rPr>
      <t>年出租收入预算明细表</t>
    </r>
  </si>
  <si>
    <t>序号</t>
  </si>
  <si>
    <t>房间号</t>
  </si>
  <si>
    <t>客户名称</t>
  </si>
  <si>
    <t>租期</t>
  </si>
  <si>
    <r>
      <rPr>
        <sz val="9"/>
        <color indexed="8"/>
        <rFont val="宋体"/>
        <family val="3"/>
        <charset val="134"/>
      </rPr>
      <t>面积/m</t>
    </r>
    <r>
      <rPr>
        <vertAlign val="superscript"/>
        <sz val="9"/>
        <color indexed="8"/>
        <rFont val="宋体"/>
        <family val="3"/>
        <charset val="134"/>
      </rPr>
      <t>2</t>
    </r>
  </si>
  <si>
    <t>租金单价</t>
  </si>
  <si>
    <t>物业费单价</t>
  </si>
  <si>
    <t>付款期（月、季度、半年）</t>
  </si>
  <si>
    <t>租金--月</t>
  </si>
  <si>
    <t>物业费--月</t>
  </si>
  <si>
    <t>年付租金</t>
  </si>
  <si>
    <t>年付物业费</t>
  </si>
  <si>
    <t>租金物业费合计</t>
  </si>
  <si>
    <t xml:space="preserve">D-01B-C </t>
  </si>
  <si>
    <t>中信银行股份有限公司</t>
  </si>
  <si>
    <t>2021.06.1-2026.05.31</t>
  </si>
  <si>
    <t>半年</t>
  </si>
  <si>
    <t>D2B</t>
  </si>
  <si>
    <t>浙商证券股份有限公司北京朝阳门北大街证券营业部</t>
  </si>
  <si>
    <r>
      <t>2</t>
    </r>
    <r>
      <rPr>
        <sz val="10"/>
        <color indexed="8"/>
        <rFont val="宋体"/>
        <family val="3"/>
        <charset val="134"/>
      </rPr>
      <t>019.05.05--2024.05.04</t>
    </r>
  </si>
  <si>
    <t>月</t>
  </si>
  <si>
    <t>D-06A</t>
  </si>
  <si>
    <t>帕萨旺洛蒂格能源环境技术（北京）有限公司</t>
  </si>
  <si>
    <t>2022.07.01--2024.06.30</t>
  </si>
  <si>
    <t xml:space="preserve">D-B3-1 </t>
  </si>
  <si>
    <t>202206.15-2024.06.14</t>
  </si>
  <si>
    <t>D-B2-1</t>
  </si>
  <si>
    <t>中国电信股份有限公司北京分公司</t>
  </si>
  <si>
    <t>2019.5.8-2024.5.7</t>
  </si>
  <si>
    <t>年</t>
  </si>
  <si>
    <t>D-03A</t>
  </si>
  <si>
    <t>北京市东卫律师事务所 A</t>
  </si>
  <si>
    <t>2021.7.1-2024.6.30</t>
  </si>
  <si>
    <t>D-03B</t>
  </si>
  <si>
    <r>
      <t xml:space="preserve">北京市东卫律师事务所 </t>
    </r>
    <r>
      <rPr>
        <sz val="10"/>
        <rFont val="宋体"/>
        <family val="3"/>
        <charset val="134"/>
      </rPr>
      <t>B</t>
    </r>
  </si>
  <si>
    <t>D-03C</t>
  </si>
  <si>
    <t>北京市东卫律师事务所 C</t>
  </si>
  <si>
    <t>D-B3-9</t>
  </si>
  <si>
    <t xml:space="preserve">北京市东卫律师事务所 </t>
  </si>
  <si>
    <r>
      <t>2021</t>
    </r>
    <r>
      <rPr>
        <sz val="10"/>
        <color indexed="8"/>
        <rFont val="宋体"/>
        <family val="3"/>
        <charset val="134"/>
      </rPr>
      <t>.</t>
    </r>
    <r>
      <rPr>
        <sz val="10"/>
        <color indexed="8"/>
        <rFont val="宋体"/>
        <family val="3"/>
        <charset val="134"/>
      </rPr>
      <t>06</t>
    </r>
    <r>
      <rPr>
        <sz val="10"/>
        <color indexed="8"/>
        <rFont val="宋体"/>
        <family val="3"/>
        <charset val="134"/>
      </rPr>
      <t>.</t>
    </r>
    <r>
      <rPr>
        <sz val="10"/>
        <color indexed="8"/>
        <rFont val="宋体"/>
        <family val="3"/>
        <charset val="134"/>
      </rPr>
      <t>0</t>
    </r>
    <r>
      <rPr>
        <sz val="10"/>
        <color indexed="8"/>
        <rFont val="宋体"/>
        <family val="3"/>
        <charset val="134"/>
      </rPr>
      <t>1-20</t>
    </r>
    <r>
      <rPr>
        <sz val="10"/>
        <color indexed="8"/>
        <rFont val="宋体"/>
        <family val="3"/>
        <charset val="134"/>
      </rPr>
      <t>23.05.31</t>
    </r>
  </si>
  <si>
    <t>D-B3-10-11-12</t>
  </si>
  <si>
    <t>2021.8.1-2023.7.31</t>
  </si>
  <si>
    <t>D-05A</t>
  </si>
  <si>
    <t>2022.05.10-2027.05.09</t>
  </si>
  <si>
    <t>D-05B</t>
  </si>
  <si>
    <t>D-05D</t>
  </si>
  <si>
    <t>D6B</t>
  </si>
  <si>
    <t>北京市东卫律师事务所</t>
  </si>
  <si>
    <t>2021.05.15-2026.05.14</t>
  </si>
  <si>
    <t>D-6C</t>
  </si>
  <si>
    <t>北京市东卫律师事务所2024.6.1上调租金</t>
  </si>
  <si>
    <t>2022.06.01-2026.05.31</t>
  </si>
  <si>
    <t>D6D</t>
  </si>
  <si>
    <t>2019.12.1-2023.05.31</t>
  </si>
  <si>
    <t>DB2-2</t>
  </si>
  <si>
    <t>2022.04.15-2024.04.14</t>
  </si>
  <si>
    <t>D-01A</t>
  </si>
  <si>
    <t>北京罗松商贸有限公司(22年7月调租金）</t>
  </si>
  <si>
    <t>2020.7.1-2025.6.30</t>
  </si>
  <si>
    <t>D-6E</t>
  </si>
  <si>
    <t>北京东方睿泽投资管理有限公司22.9.30终止</t>
  </si>
  <si>
    <r>
      <t>2020</t>
    </r>
    <r>
      <rPr>
        <sz val="10"/>
        <color indexed="8"/>
        <rFont val="宋体"/>
        <family val="3"/>
        <charset val="134"/>
      </rPr>
      <t>.</t>
    </r>
    <r>
      <rPr>
        <sz val="10"/>
        <color indexed="8"/>
        <rFont val="宋体"/>
        <family val="3"/>
        <charset val="134"/>
      </rPr>
      <t>8</t>
    </r>
    <r>
      <rPr>
        <sz val="10"/>
        <color indexed="8"/>
        <rFont val="宋体"/>
        <family val="3"/>
        <charset val="134"/>
      </rPr>
      <t>.1-20</t>
    </r>
    <r>
      <rPr>
        <sz val="10"/>
        <color indexed="8"/>
        <rFont val="宋体"/>
        <family val="3"/>
        <charset val="134"/>
      </rPr>
      <t>22</t>
    </r>
    <r>
      <rPr>
        <sz val="10"/>
        <color indexed="8"/>
        <rFont val="宋体"/>
        <family val="3"/>
        <charset val="134"/>
      </rPr>
      <t>.7.31</t>
    </r>
    <r>
      <rPr>
        <sz val="10"/>
        <color indexed="8"/>
        <rFont val="宋体"/>
        <family val="3"/>
        <charset val="134"/>
      </rPr>
      <t>续租至22.9.30</t>
    </r>
    <r>
      <rPr>
        <sz val="10"/>
        <color indexed="8"/>
        <rFont val="宋体"/>
        <family val="3"/>
        <charset val="134"/>
      </rPr>
      <t>后终止</t>
    </r>
  </si>
  <si>
    <t>D2A-2</t>
  </si>
  <si>
    <t xml:space="preserve"> 北京科景凯新测试技术有限公司</t>
  </si>
  <si>
    <t>2020.1.1-2022.12.31</t>
  </si>
  <si>
    <t>D2A-1</t>
  </si>
  <si>
    <t xml:space="preserve"> 北京科景投资顾问有限公司（22.3.1起改为科景凯新）</t>
  </si>
  <si>
    <t>D2A-3</t>
  </si>
  <si>
    <t>中友律师事务所</t>
  </si>
  <si>
    <t>2020.01.01-2022.12.31</t>
  </si>
  <si>
    <t>D-2C</t>
  </si>
  <si>
    <t>2021.07.07-2023.12.31</t>
  </si>
  <si>
    <t>D-08A</t>
  </si>
  <si>
    <t>中科乐约健康科技（深圳）有限公司 (21年12月开始调租金）</t>
  </si>
  <si>
    <t>2019.12.1-2022.11.30</t>
  </si>
  <si>
    <t>D-08G</t>
  </si>
  <si>
    <t>乐约电子科技（上海）有限公司北京分公司(21年12月开始调租金）</t>
  </si>
  <si>
    <t>D-08I</t>
  </si>
  <si>
    <t>乐约电子科技（上海）有限公司  22年3月开始调租金</t>
  </si>
  <si>
    <t>2020.3.1-2022.11.30</t>
  </si>
  <si>
    <t>D-06F</t>
  </si>
  <si>
    <t>徕卡测量系统贸易（北京）有限公司</t>
  </si>
  <si>
    <t>2020.8.19-2025.8.18</t>
  </si>
  <si>
    <t>D-B3-5</t>
  </si>
  <si>
    <t>中保华安（上海）保安服务有限公司北京分公司</t>
  </si>
  <si>
    <t>2022.10.01--2024.09.30</t>
  </si>
  <si>
    <t>D2A-4</t>
  </si>
  <si>
    <t>北京博达汇金企业管理有限公司</t>
  </si>
  <si>
    <t>2020.06.01--2022.12.31</t>
  </si>
  <si>
    <t>D-2A-5</t>
  </si>
  <si>
    <t>北京中友永信企业管理有限公司</t>
  </si>
  <si>
    <t>D-04A北-2</t>
  </si>
  <si>
    <t>北京财富友邦国际教育科技有限公司</t>
  </si>
  <si>
    <t>2022.6.10--2024.06.09</t>
  </si>
  <si>
    <t>D-04A北1-2</t>
  </si>
  <si>
    <t>张曦--北京财富友邦国际教育科技有限公司</t>
  </si>
  <si>
    <t>D-04A北-3</t>
  </si>
  <si>
    <t>2022.06.10-2024.06.09</t>
  </si>
  <si>
    <r>
      <t>D-B3-1</t>
    </r>
    <r>
      <rPr>
        <sz val="10"/>
        <color indexed="8"/>
        <rFont val="宋体"/>
        <family val="3"/>
        <charset val="134"/>
      </rPr>
      <t>5</t>
    </r>
  </si>
  <si>
    <t>北京信达诚货运服务有限责任公司</t>
  </si>
  <si>
    <t>2021.08.01-2023.07.31</t>
  </si>
  <si>
    <t>D4C</t>
  </si>
  <si>
    <t>康戴里贸易（上海）有限公司北京分公司（24.9.15上调租金为4.9元）</t>
  </si>
  <si>
    <t>2022.9.15-2026.9.14</t>
  </si>
  <si>
    <t>库房</t>
  </si>
  <si>
    <t>D-B3-13</t>
  </si>
  <si>
    <r>
      <t>彪洋科技（北京）有限公司 ，</t>
    </r>
    <r>
      <rPr>
        <sz val="10"/>
        <color indexed="10"/>
        <rFont val="宋体"/>
        <family val="3"/>
        <charset val="134"/>
      </rPr>
      <t>22年9月30日提前退租</t>
    </r>
  </si>
  <si>
    <t>2021.01.01-2022.12.31</t>
  </si>
  <si>
    <t>4A南</t>
  </si>
  <si>
    <t>北京安吉瑞得矿业技术有限公司</t>
  </si>
  <si>
    <t>2021.11.7-2023.11.6</t>
  </si>
  <si>
    <t>季</t>
  </si>
  <si>
    <t>D4B-1</t>
  </si>
  <si>
    <t>北京希肯琵雅国际文化发展股份有限公司（24.3.15上调租金5%）</t>
  </si>
  <si>
    <t>2022.3.15-2026.3.14</t>
  </si>
  <si>
    <t>D4B-2</t>
  </si>
  <si>
    <t>仙童国际戏剧文化（北京）有限公司（24.3.15上调租金5%）</t>
  </si>
  <si>
    <t>D4B-3</t>
  </si>
  <si>
    <t>北京售放传媒广告有限公司（24.3.15上调租金5%）</t>
  </si>
  <si>
    <t>D4B-4</t>
  </si>
  <si>
    <t>北京希肯国际文化艺术有限公司（24.3.15上调租金5%）</t>
  </si>
  <si>
    <t>D4B-5</t>
  </si>
  <si>
    <t>北京致美堂文化传媒有限公司（24.3.15上调租金5%）</t>
  </si>
  <si>
    <t>集团租金合计</t>
  </si>
  <si>
    <t>D-B3-2-3</t>
  </si>
  <si>
    <t>D-B3-6、-8</t>
  </si>
  <si>
    <t xml:space="preserve">中和资产评估有限公司 </t>
  </si>
  <si>
    <t>D-B1</t>
  </si>
  <si>
    <t xml:space="preserve">北京富华名赫餐饮娱乐有限公司 </t>
  </si>
  <si>
    <t>2018.11.16-2023.11.15</t>
  </si>
  <si>
    <t>D2D</t>
  </si>
  <si>
    <t>北京印彩领航图文快印有限公司</t>
  </si>
  <si>
    <t>2018.12.06-2023.11.30</t>
  </si>
  <si>
    <t>D-05C</t>
  </si>
  <si>
    <t>上海华成知识产权代理有限公司22.2.1上调租金为6.28元</t>
  </si>
  <si>
    <t>2019.02.1--2024.01.31</t>
  </si>
  <si>
    <t>物业合计</t>
  </si>
  <si>
    <t>博瑞大厦</t>
    <phoneticPr fontId="134" type="noConversion"/>
  </si>
  <si>
    <t>办公</t>
    <phoneticPr fontId="134" type="noConversion"/>
  </si>
  <si>
    <t>朝阳区</t>
    <phoneticPr fontId="134" type="noConversion"/>
  </si>
  <si>
    <t>拍卖</t>
  </si>
  <si>
    <t>拍卖</t>
    <phoneticPr fontId="134" type="noConversion"/>
  </si>
  <si>
    <t>凯德中国</t>
    <phoneticPr fontId="134" type="noConversion"/>
  </si>
  <si>
    <t>北京特尔特物业发展有限公司</t>
    <phoneticPr fontId="134" type="noConversion"/>
  </si>
  <si>
    <t>德胜国际中心BE座</t>
    <phoneticPr fontId="134" type="noConversion"/>
  </si>
  <si>
    <t>拍卖</t>
    <phoneticPr fontId="31" type="noConversion"/>
  </si>
  <si>
    <t>凯龙瑞</t>
    <phoneticPr fontId="134" type="noConversion"/>
  </si>
  <si>
    <r>
      <t>地上4</t>
    </r>
    <r>
      <rPr>
        <sz val="10"/>
        <color theme="1"/>
        <rFont val="宋体"/>
        <family val="3"/>
        <charset val="134"/>
        <scheme val="minor"/>
      </rPr>
      <t>2层地下5层</t>
    </r>
    <phoneticPr fontId="134" type="noConversion"/>
  </si>
  <si>
    <t>办公</t>
    <phoneticPr fontId="134" type="noConversion"/>
  </si>
  <si>
    <t>远洋锐中心</t>
    <phoneticPr fontId="134" type="noConversion"/>
  </si>
  <si>
    <t>丰台区</t>
    <phoneticPr fontId="134" type="noConversion"/>
  </si>
  <si>
    <t>境内股权</t>
    <phoneticPr fontId="134" type="noConversion"/>
  </si>
  <si>
    <t>远洋集团</t>
    <phoneticPr fontId="134" type="noConversion"/>
  </si>
  <si>
    <t>中国平安人寿</t>
    <phoneticPr fontId="134" type="noConversion"/>
  </si>
  <si>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</si>
  <si>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观察</t>
    <phoneticPr fontId="3" type="noConversion"/>
  </si>
  <si>
    <t>非单一产权</t>
    <phoneticPr fontId="31" type="noConversion"/>
  </si>
  <si>
    <t>单一产权</t>
    <phoneticPr fontId="31" type="noConversion"/>
  </si>
  <si>
    <t>非单一产权</t>
    <phoneticPr fontId="31" type="noConversion"/>
  </si>
  <si>
    <r>
      <rPr>
        <sz val="11"/>
        <color indexed="8"/>
        <rFont val="宋体"/>
        <family val="3"/>
        <charset val="134"/>
      </rPr>
      <t>15</t>
    </r>
    <r>
      <rPr>
        <sz val="11"/>
        <color indexed="8"/>
        <rFont val="Arial"/>
        <family val="2"/>
      </rPr>
      <t>-20%</t>
    </r>
    <phoneticPr fontId="31" type="noConversion"/>
  </si>
  <si>
    <t>20-25%</t>
    <phoneticPr fontId="31" type="noConversion"/>
  </si>
  <si>
    <t>25-30%</t>
    <phoneticPr fontId="31" type="noConversion"/>
  </si>
  <si>
    <t>25-30%</t>
    <phoneticPr fontId="31" type="noConversion"/>
  </si>
  <si>
    <r>
      <t>30-35</t>
    </r>
    <r>
      <rPr>
        <sz val="11"/>
        <color indexed="8"/>
        <rFont val="宋体"/>
        <family val="3"/>
        <charset val="134"/>
      </rPr>
      <t>（含）</t>
    </r>
    <phoneticPr fontId="31" type="noConversion"/>
  </si>
  <si>
    <r>
      <t>20-25</t>
    </r>
    <r>
      <rPr>
        <sz val="11"/>
        <color indexed="8"/>
        <rFont val="宋体"/>
        <family val="3"/>
        <charset val="134"/>
      </rPr>
      <t>（含）</t>
    </r>
    <phoneticPr fontId="31" type="noConversion"/>
  </si>
  <si>
    <r>
      <t>35-40</t>
    </r>
    <r>
      <rPr>
        <sz val="11"/>
        <color indexed="8"/>
        <rFont val="宋体"/>
        <family val="3"/>
        <charset val="134"/>
      </rPr>
      <t>（含）</t>
    </r>
    <phoneticPr fontId="31" type="noConversion"/>
  </si>
  <si>
    <r>
      <t>25-30</t>
    </r>
    <r>
      <rPr>
        <sz val="11"/>
        <color indexed="8"/>
        <rFont val="宋体"/>
        <family val="3"/>
        <charset val="134"/>
      </rPr>
      <t>（含）</t>
    </r>
    <phoneticPr fontId="31" type="noConversion"/>
  </si>
  <si>
    <t>项目/楼宇产权单一性</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</si>
</sst>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0.00_-;\-* #,##0.00_-;_-* &quot;-&quot;_-;_-@_-"/>
    <numFmt numFmtId="198" formatCode="_-* #,##0_-;\-* #,##0_-;_-* &quot;-&quot;_-;_-@_-"/>
    <numFmt numFmtId="199" formatCode="#,##0.00_ "/>
    <numFmt numFmtId="200" formatCode="_-* #,##0.0_-;\-* #,##0.0_-;_-* &quot;-&quot;_-;_-@_-"/>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rgb="FF000000"/>
      <name val="宋体"/>
      <family val="3"/>
      <charset val="134"/>
    </font>
    <font>
      <sz val="11"/>
      <color theme="1"/>
      <name val="宋体"/>
      <family val="3"/>
      <charset val="134"/>
      <scheme val="minor"/>
    </font>
    <font>
      <b/>
      <u/>
      <sz val="16"/>
      <name val="Times New Roman"/>
      <family val="1"/>
    </font>
    <font>
      <b/>
      <u/>
      <sz val="16"/>
      <name val="宋体"/>
      <family val="3"/>
      <charset val="134"/>
    </font>
    <font>
      <b/>
      <sz val="16"/>
      <name val="Times New Roman"/>
      <family val="1"/>
    </font>
    <font>
      <vertAlign val="superscript"/>
      <sz val="9"/>
      <color indexed="8"/>
      <name val="宋体"/>
      <family val="3"/>
      <charset val="134"/>
    </font>
    <font>
      <sz val="12"/>
      <name val="宋体"/>
      <family val="3"/>
      <charset val="134"/>
      <scheme val="minor"/>
    </font>
    <font>
      <sz val="10"/>
      <name val="宋体"/>
      <family val="3"/>
      <charset val="134"/>
      <scheme val="minor"/>
    </font>
    <font>
      <sz val="10"/>
      <color rgb="FFFF0000"/>
      <name val="宋体"/>
      <family val="3"/>
      <charset val="134"/>
      <scheme val="minor"/>
    </font>
    <font>
      <sz val="11"/>
      <name val="宋体"/>
      <family val="3"/>
      <charset val="134"/>
      <scheme val="minor"/>
    </font>
    <font>
      <b/>
      <sz val="9"/>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CCFF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1" fontId="277" fillId="0" borderId="0" applyFont="0" applyFill="0" applyBorder="0" applyAlignment="0" applyProtection="0">
      <alignment vertical="center"/>
    </xf>
    <xf numFmtId="43" fontId="128" fillId="0" borderId="0" applyFont="0" applyFill="0" applyBorder="0" applyAlignment="0" applyProtection="0">
      <alignment vertical="center"/>
    </xf>
  </cellStyleXfs>
  <cellXfs count="40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07" fillId="0" borderId="0" xfId="0" applyFont="1">
      <alignment vertical="center"/>
    </xf>
    <xf numFmtId="0" fontId="44" fillId="0" borderId="13"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1" xfId="10" applyFont="1" applyFill="1" applyBorder="1" applyAlignment="1">
      <alignment horizontal="center" vertical="center" wrapText="1"/>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0" fontId="0" fillId="0" borderId="0" xfId="0" applyFill="1">
      <alignment vertical="center"/>
    </xf>
    <xf numFmtId="1" fontId="272" fillId="0" borderId="1" xfId="10" applyNumberFormat="1" applyFont="1" applyFill="1" applyBorder="1" applyAlignment="1">
      <alignment horizontal="center" vertical="center" shrinkToFit="1"/>
    </xf>
    <xf numFmtId="0" fontId="273" fillId="0" borderId="1" xfId="10" applyFont="1" applyFill="1" applyBorder="1" applyAlignment="1">
      <alignment horizontal="center" vertical="center" wrapText="1"/>
    </xf>
    <xf numFmtId="196" fontId="272" fillId="0" borderId="1" xfId="10" applyNumberFormat="1" applyFont="1" applyFill="1" applyBorder="1" applyAlignment="1">
      <alignment horizontal="center" vertical="center" shrinkToFit="1"/>
    </xf>
    <xf numFmtId="3" fontId="272" fillId="0" borderId="1" xfId="10" applyNumberFormat="1" applyFont="1" applyFill="1" applyBorder="1" applyAlignment="1">
      <alignment horizontal="center" vertical="center" shrinkToFit="1"/>
    </xf>
    <xf numFmtId="2" fontId="272" fillId="0" borderId="1" xfId="10" applyNumberFormat="1" applyFont="1" applyFill="1" applyBorder="1" applyAlignment="1">
      <alignment horizontal="center" vertical="center" shrinkToFit="1"/>
    </xf>
    <xf numFmtId="3" fontId="274" fillId="0" borderId="1" xfId="10" applyNumberFormat="1" applyFont="1" applyFill="1" applyBorder="1" applyAlignment="1">
      <alignment horizontal="center" vertical="center" shrinkToFit="1"/>
    </xf>
    <xf numFmtId="0" fontId="95" fillId="0" borderId="0" xfId="10" applyFill="1">
      <alignment vertical="center"/>
    </xf>
    <xf numFmtId="0" fontId="274" fillId="0" borderId="1" xfId="10" applyFont="1" applyFill="1" applyBorder="1" applyAlignment="1">
      <alignment horizontal="center" vertical="center" wrapText="1"/>
    </xf>
    <xf numFmtId="3" fontId="70" fillId="3" borderId="20" xfId="0" applyNumberFormat="1" applyFont="1" applyFill="1" applyBorder="1" applyAlignment="1" applyProtection="1">
      <alignment vertical="center" wrapText="1"/>
      <protection locked="0"/>
    </xf>
    <xf numFmtId="3" fontId="70" fillId="3" borderId="51" xfId="0" applyNumberFormat="1" applyFont="1" applyFill="1" applyBorder="1" applyAlignment="1" applyProtection="1">
      <alignment vertical="center" wrapText="1"/>
      <protection locked="0"/>
    </xf>
    <xf numFmtId="3" fontId="44" fillId="0" borderId="3" xfId="0" applyNumberFormat="1" applyFont="1" applyFill="1" applyBorder="1" applyAlignment="1" applyProtection="1">
      <alignment horizontal="center" vertical="center" wrapText="1"/>
      <protection locked="0"/>
    </xf>
    <xf numFmtId="3" fontId="44" fillId="0" borderId="23" xfId="0" applyNumberFormat="1" applyFont="1" applyFill="1" applyBorder="1" applyAlignment="1" applyProtection="1">
      <alignment horizontal="center" vertical="center" wrapText="1"/>
      <protection locked="0"/>
    </xf>
    <xf numFmtId="0" fontId="57" fillId="22" borderId="13" xfId="0" applyFont="1" applyFill="1" applyBorder="1" applyAlignment="1" applyProtection="1">
      <alignment horizontal="right" vertical="center"/>
    </xf>
    <xf numFmtId="0" fontId="98" fillId="23" borderId="24" xfId="0" applyFont="1" applyFill="1" applyBorder="1" applyAlignment="1" applyProtection="1">
      <alignment horizontal="center" vertical="center"/>
    </xf>
    <xf numFmtId="0" fontId="94" fillId="0" borderId="9" xfId="0" applyNumberFormat="1" applyFont="1" applyFill="1" applyBorder="1" applyAlignment="1" applyProtection="1">
      <alignment horizontal="center" vertical="center" wrapText="1"/>
      <protection locked="0"/>
    </xf>
    <xf numFmtId="0" fontId="246" fillId="0" borderId="1" xfId="0" applyFont="1" applyFill="1" applyBorder="1" applyAlignment="1">
      <alignment horizontal="center" vertical="center" wrapText="1"/>
    </xf>
    <xf numFmtId="0" fontId="257" fillId="0" borderId="1" xfId="0" applyFont="1" applyBorder="1" applyAlignment="1">
      <alignment horizontal="center" vertical="center" wrapText="1"/>
    </xf>
    <xf numFmtId="0" fontId="246" fillId="0" borderId="1" xfId="0" applyNumberFormat="1" applyFont="1" applyBorder="1" applyAlignment="1">
      <alignment horizontal="center" vertical="center" wrapText="1"/>
    </xf>
    <xf numFmtId="179" fontId="246" fillId="0" borderId="1" xfId="0" applyNumberFormat="1" applyFont="1" applyBorder="1" applyAlignment="1">
      <alignment vertical="center" wrapText="1"/>
    </xf>
    <xf numFmtId="179" fontId="246" fillId="0" borderId="1" xfId="0" applyNumberFormat="1" applyFont="1" applyBorder="1" applyAlignment="1">
      <alignment horizontal="center" vertical="center" wrapText="1"/>
    </xf>
    <xf numFmtId="197" fontId="134" fillId="0" borderId="1" xfId="19" applyNumberFormat="1" applyFont="1" applyFill="1" applyBorder="1" applyAlignment="1">
      <alignment horizontal="center" vertical="center" wrapText="1"/>
    </xf>
    <xf numFmtId="0" fontId="0" fillId="0" borderId="0" xfId="0" applyAlignment="1">
      <alignment vertical="center"/>
    </xf>
    <xf numFmtId="0" fontId="107" fillId="24" borderId="1" xfId="0" applyNumberFormat="1" applyFont="1" applyFill="1" applyBorder="1" applyAlignment="1">
      <alignment horizontal="center" vertical="center"/>
    </xf>
    <xf numFmtId="0" fontId="19" fillId="24" borderId="1" xfId="3" applyFont="1" applyFill="1" applyBorder="1" applyAlignment="1">
      <alignment vertical="center"/>
    </xf>
    <xf numFmtId="4" fontId="19" fillId="24" borderId="1" xfId="0" applyNumberFormat="1" applyFont="1" applyFill="1" applyBorder="1" applyAlignment="1"/>
    <xf numFmtId="4" fontId="19" fillId="24" borderId="1" xfId="0" applyNumberFormat="1" applyFont="1" applyFill="1" applyBorder="1" applyAlignment="1">
      <alignment shrinkToFit="1"/>
    </xf>
    <xf numFmtId="43" fontId="19" fillId="24" borderId="1" xfId="20" applyNumberFormat="1" applyFont="1" applyFill="1" applyBorder="1" applyAlignment="1">
      <alignment shrinkToFit="1"/>
    </xf>
    <xf numFmtId="43" fontId="282" fillId="24" borderId="1" xfId="20" applyNumberFormat="1" applyFont="1" applyFill="1" applyBorder="1" applyAlignment="1"/>
    <xf numFmtId="197" fontId="283" fillId="24" borderId="1" xfId="19" applyNumberFormat="1" applyFont="1" applyFill="1" applyBorder="1" applyAlignment="1">
      <alignment horizontal="center" vertical="center" shrinkToFit="1"/>
    </xf>
    <xf numFmtId="197" fontId="283" fillId="24" borderId="1" xfId="19" applyNumberFormat="1" applyFont="1" applyFill="1" applyBorder="1" applyAlignment="1">
      <alignment vertical="center" shrinkToFit="1"/>
    </xf>
    <xf numFmtId="0" fontId="107" fillId="24" borderId="0" xfId="0" applyFont="1" applyFill="1" applyAlignment="1">
      <alignment vertical="center"/>
    </xf>
    <xf numFmtId="3" fontId="122" fillId="24" borderId="1" xfId="0" applyNumberFormat="1" applyFont="1" applyFill="1" applyBorder="1" applyAlignment="1"/>
    <xf numFmtId="4" fontId="122" fillId="24" borderId="1" xfId="0" applyNumberFormat="1" applyFont="1" applyFill="1" applyBorder="1" applyAlignment="1">
      <alignment wrapText="1"/>
    </xf>
    <xf numFmtId="4" fontId="122" fillId="24" borderId="1" xfId="0" applyNumberFormat="1" applyFont="1" applyFill="1" applyBorder="1" applyAlignment="1">
      <alignment shrinkToFit="1"/>
    </xf>
    <xf numFmtId="43" fontId="122" fillId="24" borderId="1" xfId="20" applyNumberFormat="1" applyFont="1" applyFill="1" applyBorder="1" applyAlignment="1">
      <alignment shrinkToFit="1"/>
    </xf>
    <xf numFmtId="43" fontId="147" fillId="24" borderId="1" xfId="20" applyNumberFormat="1" applyFont="1" applyFill="1" applyBorder="1" applyAlignment="1"/>
    <xf numFmtId="198" fontId="107" fillId="24" borderId="1" xfId="19" applyNumberFormat="1" applyFont="1" applyFill="1" applyBorder="1" applyAlignment="1">
      <alignment horizontal="center" vertical="center" shrinkToFit="1"/>
    </xf>
    <xf numFmtId="197" fontId="107" fillId="24" borderId="1" xfId="19" applyNumberFormat="1" applyFont="1" applyFill="1" applyBorder="1" applyAlignment="1">
      <alignment horizontal="center" vertical="center" shrinkToFit="1"/>
    </xf>
    <xf numFmtId="0" fontId="283" fillId="0" borderId="1" xfId="0" applyNumberFormat="1" applyFont="1" applyFill="1" applyBorder="1" applyAlignment="1">
      <alignment horizontal="center" vertical="center"/>
    </xf>
    <xf numFmtId="0" fontId="19" fillId="0" borderId="1" xfId="3" applyFont="1" applyFill="1" applyBorder="1" applyAlignment="1">
      <alignment vertical="center"/>
    </xf>
    <xf numFmtId="4" fontId="19" fillId="0" borderId="1" xfId="0" applyNumberFormat="1" applyFont="1" applyFill="1" applyBorder="1" applyAlignment="1">
      <alignment wrapText="1"/>
    </xf>
    <xf numFmtId="4" fontId="19" fillId="0" borderId="1" xfId="0" applyNumberFormat="1" applyFont="1" applyFill="1" applyBorder="1" applyAlignment="1">
      <alignment shrinkToFit="1"/>
    </xf>
    <xf numFmtId="43" fontId="19" fillId="0" borderId="1" xfId="20" applyNumberFormat="1" applyFont="1" applyFill="1" applyBorder="1" applyAlignment="1">
      <alignment shrinkToFit="1"/>
    </xf>
    <xf numFmtId="43" fontId="282" fillId="0" borderId="1" xfId="20" applyNumberFormat="1" applyFont="1" applyFill="1" applyBorder="1" applyAlignment="1"/>
    <xf numFmtId="0" fontId="107" fillId="0" borderId="1" xfId="0" applyNumberFormat="1" applyFont="1" applyFill="1" applyBorder="1" applyAlignment="1">
      <alignment horizontal="center" vertical="center"/>
    </xf>
    <xf numFmtId="197" fontId="283" fillId="0" borderId="1" xfId="19" applyNumberFormat="1" applyFont="1" applyFill="1" applyBorder="1" applyAlignment="1">
      <alignment horizontal="center" vertical="center" shrinkToFit="1"/>
    </xf>
    <xf numFmtId="198" fontId="283" fillId="0" borderId="1" xfId="19" applyNumberFormat="1" applyFont="1" applyFill="1" applyBorder="1" applyAlignment="1">
      <alignment horizontal="center" vertical="center" shrinkToFit="1"/>
    </xf>
    <xf numFmtId="197" fontId="283" fillId="0" borderId="1" xfId="19" applyNumberFormat="1" applyFont="1" applyFill="1" applyBorder="1" applyAlignment="1">
      <alignment vertical="center" shrinkToFit="1"/>
    </xf>
    <xf numFmtId="0" fontId="107" fillId="0" borderId="0" xfId="0" applyFont="1" applyFill="1" applyAlignment="1">
      <alignment vertical="center"/>
    </xf>
    <xf numFmtId="0" fontId="122" fillId="0" borderId="1" xfId="3" applyFont="1" applyFill="1" applyBorder="1" applyAlignment="1">
      <alignment vertical="center"/>
    </xf>
    <xf numFmtId="179" fontId="107" fillId="0" borderId="1" xfId="0" applyNumberFormat="1" applyFont="1" applyFill="1" applyBorder="1" applyAlignment="1">
      <alignment vertical="center" shrinkToFit="1"/>
    </xf>
    <xf numFmtId="198" fontId="283" fillId="0" borderId="1" xfId="19" applyNumberFormat="1" applyFont="1" applyFill="1" applyBorder="1" applyAlignment="1">
      <alignment vertical="center"/>
    </xf>
    <xf numFmtId="0" fontId="107" fillId="0" borderId="1" xfId="0" applyFont="1" applyFill="1" applyBorder="1" applyAlignment="1">
      <alignment vertical="center"/>
    </xf>
    <xf numFmtId="0" fontId="107" fillId="0" borderId="1" xfId="0" applyFont="1" applyFill="1" applyBorder="1" applyAlignment="1">
      <alignment vertical="center" shrinkToFit="1"/>
    </xf>
    <xf numFmtId="197" fontId="283" fillId="22" borderId="1" xfId="19" applyNumberFormat="1" applyFont="1" applyFill="1" applyBorder="1" applyAlignment="1">
      <alignment vertical="center"/>
    </xf>
    <xf numFmtId="197" fontId="283" fillId="22" borderId="1" xfId="19" applyNumberFormat="1" applyFont="1" applyFill="1" applyBorder="1" applyAlignment="1">
      <alignment vertical="center" shrinkToFit="1"/>
    </xf>
    <xf numFmtId="0" fontId="19" fillId="0" borderId="1" xfId="3" applyFont="1" applyFill="1" applyBorder="1" applyAlignment="1">
      <alignment horizontal="center" vertical="center"/>
    </xf>
    <xf numFmtId="4" fontId="19" fillId="0" borderId="1" xfId="0" applyNumberFormat="1" applyFont="1" applyFill="1" applyBorder="1" applyAlignment="1">
      <alignment vertical="center"/>
    </xf>
    <xf numFmtId="199" fontId="107" fillId="0" borderId="1" xfId="19" applyNumberFormat="1" applyFont="1" applyFill="1" applyBorder="1" applyAlignment="1">
      <alignment vertical="center" shrinkToFit="1"/>
    </xf>
    <xf numFmtId="198" fontId="284" fillId="0" borderId="1" xfId="19" applyNumberFormat="1" applyFont="1" applyFill="1" applyBorder="1" applyAlignment="1">
      <alignment vertical="center" shrinkToFit="1"/>
    </xf>
    <xf numFmtId="0" fontId="19" fillId="0" borderId="1" xfId="0" applyFont="1" applyFill="1" applyBorder="1" applyAlignment="1">
      <alignment vertical="center" wrapText="1"/>
    </xf>
    <xf numFmtId="43" fontId="19" fillId="0" borderId="1" xfId="20" applyNumberFormat="1" applyFont="1" applyFill="1" applyBorder="1" applyAlignment="1">
      <alignment vertical="center" shrinkToFit="1"/>
    </xf>
    <xf numFmtId="0" fontId="96" fillId="0" borderId="0" xfId="0" applyFont="1" applyFill="1" applyAlignment="1">
      <alignment horizontal="center" vertical="center"/>
    </xf>
    <xf numFmtId="0" fontId="0" fillId="0" borderId="0" xfId="0" applyFill="1" applyAlignment="1">
      <alignment vertical="center"/>
    </xf>
    <xf numFmtId="0" fontId="285" fillId="0" borderId="0" xfId="0" applyFont="1" applyFill="1">
      <alignment vertical="center"/>
    </xf>
    <xf numFmtId="179" fontId="107" fillId="0" borderId="1" xfId="0" applyNumberFormat="1" applyFont="1" applyFill="1" applyBorder="1" applyAlignment="1">
      <alignment vertical="center"/>
    </xf>
    <xf numFmtId="43" fontId="282" fillId="0" borderId="1" xfId="20" applyNumberFormat="1" applyFont="1" applyFill="1" applyBorder="1" applyAlignment="1">
      <alignment vertical="center"/>
    </xf>
    <xf numFmtId="198" fontId="107" fillId="0" borderId="1" xfId="19" applyNumberFormat="1" applyFont="1" applyFill="1" applyBorder="1" applyAlignment="1">
      <alignment horizontal="center" vertical="center" shrinkToFit="1"/>
    </xf>
    <xf numFmtId="0" fontId="122" fillId="0" borderId="1" xfId="3" applyFont="1" applyFill="1" applyBorder="1" applyAlignment="1">
      <alignment vertical="center" shrinkToFit="1"/>
    </xf>
    <xf numFmtId="197" fontId="283" fillId="0" borderId="1" xfId="19" applyNumberFormat="1" applyFont="1" applyFill="1" applyBorder="1" applyAlignment="1">
      <alignment vertical="center"/>
    </xf>
    <xf numFmtId="0" fontId="107" fillId="0" borderId="1" xfId="0" applyFont="1" applyFill="1" applyBorder="1" applyAlignment="1">
      <alignment horizontal="left" vertical="center" shrinkToFit="1"/>
    </xf>
    <xf numFmtId="197" fontId="107" fillId="0" borderId="1" xfId="19" applyNumberFormat="1" applyFont="1" applyFill="1" applyBorder="1" applyAlignment="1">
      <alignment vertical="center" shrinkToFit="1"/>
    </xf>
    <xf numFmtId="199" fontId="107" fillId="0" borderId="1" xfId="19" applyNumberFormat="1" applyFont="1" applyFill="1" applyBorder="1" applyAlignment="1">
      <alignment horizontal="center" vertical="center" shrinkToFit="1"/>
    </xf>
    <xf numFmtId="197" fontId="107" fillId="0" borderId="1" xfId="19" applyNumberFormat="1" applyFont="1" applyFill="1" applyBorder="1" applyAlignment="1">
      <alignment horizontal="center" vertical="center" shrinkToFit="1"/>
    </xf>
    <xf numFmtId="43" fontId="122" fillId="0" borderId="1" xfId="20" applyNumberFormat="1" applyFont="1" applyFill="1" applyBorder="1" applyAlignment="1">
      <alignment vertical="center" shrinkToFit="1"/>
    </xf>
    <xf numFmtId="0" fontId="283" fillId="0" borderId="1" xfId="0" applyFont="1" applyFill="1" applyBorder="1" applyAlignment="1">
      <alignment vertical="center" shrinkToFit="1"/>
    </xf>
    <xf numFmtId="0" fontId="283" fillId="0" borderId="1" xfId="0" applyFont="1" applyFill="1" applyBorder="1" applyAlignment="1">
      <alignment horizontal="left" vertical="center" shrinkToFit="1"/>
    </xf>
    <xf numFmtId="179" fontId="283" fillId="0" borderId="1" xfId="0" applyNumberFormat="1" applyFont="1" applyFill="1" applyBorder="1" applyAlignment="1">
      <alignment vertical="center" shrinkToFit="1"/>
    </xf>
    <xf numFmtId="199" fontId="283" fillId="0" borderId="1" xfId="19" applyNumberFormat="1" applyFont="1" applyFill="1" applyBorder="1" applyAlignment="1">
      <alignment vertical="center"/>
    </xf>
    <xf numFmtId="0" fontId="283" fillId="0" borderId="0" xfId="0" applyFont="1" applyFill="1" applyAlignment="1">
      <alignment vertical="center"/>
    </xf>
    <xf numFmtId="4" fontId="19" fillId="0" borderId="1" xfId="0" applyNumberFormat="1" applyFont="1" applyFill="1" applyBorder="1" applyAlignment="1">
      <alignment vertical="center" wrapText="1"/>
    </xf>
    <xf numFmtId="4" fontId="19" fillId="0" borderId="1" xfId="0" applyNumberFormat="1" applyFont="1" applyFill="1" applyBorder="1" applyAlignment="1">
      <alignment horizontal="center" vertical="center" shrinkToFit="1"/>
    </xf>
    <xf numFmtId="199" fontId="284" fillId="0" borderId="1" xfId="19" applyNumberFormat="1" applyFont="1" applyFill="1" applyBorder="1" applyAlignment="1">
      <alignment vertical="center" shrinkToFit="1"/>
    </xf>
    <xf numFmtId="43" fontId="147" fillId="0" borderId="1" xfId="20" applyNumberFormat="1" applyFont="1" applyFill="1" applyBorder="1" applyAlignment="1">
      <alignment vertical="center"/>
    </xf>
    <xf numFmtId="4" fontId="19" fillId="0" borderId="1" xfId="0" applyNumberFormat="1" applyFont="1" applyFill="1" applyBorder="1" applyAlignment="1">
      <alignment vertical="center" shrinkToFit="1"/>
    </xf>
    <xf numFmtId="4" fontId="129" fillId="0" borderId="1" xfId="0" applyNumberFormat="1" applyFont="1" applyFill="1" applyBorder="1" applyAlignment="1">
      <alignment vertical="center" wrapText="1"/>
    </xf>
    <xf numFmtId="4" fontId="122" fillId="0" borderId="1" xfId="0" applyNumberFormat="1" applyFont="1" applyFill="1" applyBorder="1" applyAlignment="1">
      <alignment vertical="center" wrapText="1" shrinkToFit="1"/>
    </xf>
    <xf numFmtId="43" fontId="19" fillId="0" borderId="1" xfId="20" applyNumberFormat="1" applyFont="1" applyFill="1" applyBorder="1" applyAlignment="1">
      <alignment horizontal="right"/>
    </xf>
    <xf numFmtId="0" fontId="19" fillId="0" borderId="1" xfId="3" applyFont="1" applyFill="1" applyBorder="1" applyAlignment="1">
      <alignment vertical="center" wrapText="1"/>
    </xf>
    <xf numFmtId="43" fontId="19" fillId="0" borderId="1" xfId="20" applyNumberFormat="1" applyFont="1" applyFill="1" applyBorder="1" applyAlignment="1">
      <alignment vertical="center"/>
    </xf>
    <xf numFmtId="4" fontId="122" fillId="0" borderId="1" xfId="0" applyNumberFormat="1" applyFont="1" applyFill="1" applyBorder="1" applyAlignment="1">
      <alignment vertical="center" wrapText="1"/>
    </xf>
    <xf numFmtId="4" fontId="122" fillId="0" borderId="1" xfId="0" applyNumberFormat="1" applyFont="1" applyFill="1" applyBorder="1" applyAlignment="1">
      <alignment vertical="center"/>
    </xf>
    <xf numFmtId="198" fontId="283" fillId="0" borderId="1" xfId="19" applyNumberFormat="1" applyFont="1" applyFill="1" applyBorder="1" applyAlignment="1">
      <alignment vertical="center" shrinkToFit="1"/>
    </xf>
    <xf numFmtId="200" fontId="283" fillId="0" borderId="1" xfId="19" applyNumberFormat="1" applyFont="1" applyFill="1" applyBorder="1" applyAlignment="1">
      <alignment horizontal="center" vertical="center" shrinkToFit="1"/>
    </xf>
    <xf numFmtId="0" fontId="107" fillId="0" borderId="1" xfId="0" applyFont="1" applyFill="1" applyBorder="1" applyAlignment="1">
      <alignment vertical="center" wrapText="1"/>
    </xf>
    <xf numFmtId="43" fontId="282" fillId="0" borderId="1" xfId="20" applyNumberFormat="1" applyFont="1" applyFill="1" applyBorder="1" applyAlignment="1">
      <alignment vertical="center" shrinkToFit="1"/>
    </xf>
    <xf numFmtId="0" fontId="107" fillId="0" borderId="1" xfId="0" applyNumberFormat="1" applyFont="1" applyFill="1" applyBorder="1" applyAlignment="1">
      <alignment horizontal="center" vertical="center" shrinkToFit="1"/>
    </xf>
    <xf numFmtId="43" fontId="19" fillId="0" borderId="1" xfId="20" applyNumberFormat="1" applyFont="1" applyFill="1" applyBorder="1" applyAlignment="1"/>
    <xf numFmtId="4" fontId="122" fillId="0" borderId="1" xfId="0" applyNumberFormat="1" applyFont="1" applyFill="1" applyBorder="1" applyAlignment="1">
      <alignment wrapText="1"/>
    </xf>
    <xf numFmtId="0" fontId="107" fillId="22" borderId="1" xfId="0" applyNumberFormat="1" applyFont="1" applyFill="1" applyBorder="1" applyAlignment="1">
      <alignment horizontal="center" vertical="center"/>
    </xf>
    <xf numFmtId="0" fontId="19" fillId="22" borderId="1" xfId="3" applyFont="1" applyFill="1" applyBorder="1" applyAlignment="1">
      <alignment vertical="center"/>
    </xf>
    <xf numFmtId="4" fontId="19" fillId="22" borderId="1" xfId="0" applyNumberFormat="1" applyFont="1" applyFill="1" applyBorder="1" applyAlignment="1"/>
    <xf numFmtId="43" fontId="19" fillId="22" borderId="1" xfId="20" applyNumberFormat="1" applyFont="1" applyFill="1" applyBorder="1" applyAlignment="1"/>
    <xf numFmtId="43" fontId="282" fillId="22" borderId="1" xfId="20" applyNumberFormat="1" applyFont="1" applyFill="1" applyBorder="1" applyAlignment="1"/>
    <xf numFmtId="197" fontId="283" fillId="22" borderId="1" xfId="19" applyNumberFormat="1" applyFont="1" applyFill="1" applyBorder="1" applyAlignment="1">
      <alignment horizontal="center" vertical="center" shrinkToFit="1"/>
    </xf>
    <xf numFmtId="198" fontId="283" fillId="22" borderId="1" xfId="19" applyNumberFormat="1" applyFont="1" applyFill="1" applyBorder="1" applyAlignment="1">
      <alignment horizontal="center" vertical="center" shrinkToFit="1"/>
    </xf>
    <xf numFmtId="0" fontId="107" fillId="22" borderId="0" xfId="0" applyFont="1" applyFill="1" applyAlignment="1">
      <alignment vertical="center"/>
    </xf>
    <xf numFmtId="0" fontId="19" fillId="22" borderId="1" xfId="3" applyFont="1" applyFill="1" applyBorder="1" applyAlignment="1">
      <alignment vertical="center" shrinkToFit="1"/>
    </xf>
    <xf numFmtId="4" fontId="122" fillId="22" borderId="1" xfId="0" applyNumberFormat="1" applyFont="1" applyFill="1" applyBorder="1" applyAlignment="1">
      <alignment wrapText="1"/>
    </xf>
    <xf numFmtId="4" fontId="19" fillId="22" borderId="1" xfId="0" applyNumberFormat="1" applyFont="1" applyFill="1" applyBorder="1" applyAlignment="1">
      <alignment vertical="center"/>
    </xf>
    <xf numFmtId="43" fontId="19" fillId="22" borderId="1" xfId="20" applyNumberFormat="1" applyFont="1" applyFill="1" applyBorder="1" applyAlignment="1">
      <alignment vertical="center"/>
    </xf>
    <xf numFmtId="43" fontId="282" fillId="22" borderId="1" xfId="20" applyNumberFormat="1" applyFont="1" applyFill="1" applyBorder="1" applyAlignment="1">
      <alignment vertical="center"/>
    </xf>
    <xf numFmtId="199" fontId="283" fillId="22" borderId="1" xfId="19" applyNumberFormat="1" applyFont="1" applyFill="1" applyBorder="1" applyAlignment="1">
      <alignment horizontal="center" vertical="center" shrinkToFit="1"/>
    </xf>
    <xf numFmtId="0" fontId="19" fillId="0" borderId="1" xfId="3" applyFont="1" applyFill="1" applyBorder="1" applyAlignment="1">
      <alignment vertical="center" shrinkToFit="1"/>
    </xf>
    <xf numFmtId="199" fontId="283" fillId="0" borderId="1" xfId="19" applyNumberFormat="1" applyFont="1" applyFill="1" applyBorder="1" applyAlignment="1">
      <alignment horizontal="center" vertical="center" shrinkToFit="1"/>
    </xf>
    <xf numFmtId="0" fontId="122" fillId="8" borderId="1" xfId="3" applyFont="1" applyFill="1" applyBorder="1" applyAlignment="1">
      <alignment vertical="center"/>
    </xf>
    <xf numFmtId="4" fontId="122" fillId="0" borderId="1" xfId="0" applyNumberFormat="1" applyFont="1" applyFill="1" applyBorder="1" applyAlignment="1">
      <alignment vertical="center" shrinkToFit="1"/>
    </xf>
    <xf numFmtId="43" fontId="19" fillId="0" borderId="0" xfId="20" applyNumberFormat="1" applyFont="1" applyFill="1" applyBorder="1" applyAlignment="1">
      <alignment horizontal="right"/>
    </xf>
    <xf numFmtId="43" fontId="19" fillId="0" borderId="1" xfId="0" applyNumberFormat="1" applyFont="1" applyFill="1" applyBorder="1" applyAlignment="1">
      <alignment vertical="center" wrapText="1" shrinkToFit="1"/>
    </xf>
    <xf numFmtId="43" fontId="19" fillId="0" borderId="1" xfId="0" applyNumberFormat="1" applyFont="1" applyFill="1" applyBorder="1" applyAlignment="1">
      <alignment vertical="center" shrinkToFit="1"/>
    </xf>
    <xf numFmtId="4" fontId="19" fillId="0" borderId="1" xfId="0" applyNumberFormat="1" applyFont="1" applyFill="1" applyBorder="1" applyAlignment="1"/>
    <xf numFmtId="0" fontId="107" fillId="25" borderId="1" xfId="0" applyNumberFormat="1" applyFont="1" applyFill="1" applyBorder="1" applyAlignment="1">
      <alignment horizontal="center" vertical="center"/>
    </xf>
    <xf numFmtId="0" fontId="19" fillId="25" borderId="1" xfId="3" applyFont="1" applyFill="1" applyBorder="1" applyAlignment="1">
      <alignment vertical="center"/>
    </xf>
    <xf numFmtId="4" fontId="19" fillId="25" borderId="1" xfId="0" applyNumberFormat="1" applyFont="1" applyFill="1" applyBorder="1" applyAlignment="1"/>
    <xf numFmtId="43" fontId="19" fillId="25" borderId="1" xfId="20" applyNumberFormat="1" applyFont="1" applyFill="1" applyBorder="1" applyAlignment="1">
      <alignment shrinkToFit="1"/>
    </xf>
    <xf numFmtId="43" fontId="282" fillId="25" borderId="1" xfId="20" applyNumberFormat="1" applyFont="1" applyFill="1" applyBorder="1" applyAlignment="1"/>
    <xf numFmtId="197" fontId="283" fillId="25" borderId="1" xfId="19" applyNumberFormat="1" applyFont="1" applyFill="1" applyBorder="1" applyAlignment="1">
      <alignment horizontal="center" vertical="center" shrinkToFit="1"/>
    </xf>
    <xf numFmtId="198" fontId="283" fillId="25" borderId="1" xfId="19" applyNumberFormat="1" applyFont="1" applyFill="1" applyBorder="1" applyAlignment="1">
      <alignment horizontal="center" vertical="center" shrinkToFit="1"/>
    </xf>
    <xf numFmtId="0" fontId="107" fillId="25" borderId="0" xfId="0" applyFont="1" applyFill="1" applyAlignment="1">
      <alignment vertical="center"/>
    </xf>
    <xf numFmtId="0" fontId="107" fillId="9" borderId="1" xfId="0" applyNumberFormat="1" applyFont="1" applyFill="1" applyBorder="1" applyAlignment="1">
      <alignment horizontal="center" vertical="center"/>
    </xf>
    <xf numFmtId="0" fontId="19" fillId="9" borderId="1" xfId="3" applyFont="1" applyFill="1" applyBorder="1" applyAlignment="1">
      <alignment vertical="center"/>
    </xf>
    <xf numFmtId="4" fontId="19" fillId="9" borderId="1" xfId="0" applyNumberFormat="1" applyFont="1" applyFill="1" applyBorder="1" applyAlignment="1">
      <alignment vertical="center"/>
    </xf>
    <xf numFmtId="4" fontId="19" fillId="9" borderId="1" xfId="0" applyNumberFormat="1" applyFont="1" applyFill="1" applyBorder="1" applyAlignment="1"/>
    <xf numFmtId="43" fontId="19" fillId="9" borderId="1" xfId="20" applyNumberFormat="1" applyFont="1" applyFill="1" applyBorder="1" applyAlignment="1"/>
    <xf numFmtId="43" fontId="282" fillId="9" borderId="1" xfId="20" applyNumberFormat="1" applyFont="1" applyFill="1" applyBorder="1" applyAlignment="1"/>
    <xf numFmtId="197" fontId="283" fillId="9" borderId="1" xfId="19" applyNumberFormat="1" applyFont="1" applyFill="1" applyBorder="1" applyAlignment="1">
      <alignment horizontal="center" vertical="center" shrinkToFit="1"/>
    </xf>
    <xf numFmtId="198" fontId="283" fillId="9" borderId="1" xfId="19" applyNumberFormat="1" applyFont="1" applyFill="1" applyBorder="1" applyAlignment="1">
      <alignment horizontal="center" vertical="center" shrinkToFit="1"/>
    </xf>
    <xf numFmtId="197" fontId="283" fillId="9" borderId="1" xfId="19" applyNumberFormat="1" applyFont="1" applyFill="1" applyBorder="1" applyAlignment="1">
      <alignment vertical="center" shrinkToFit="1"/>
    </xf>
    <xf numFmtId="0" fontId="107" fillId="9" borderId="0" xfId="0" applyFont="1" applyFill="1" applyAlignment="1">
      <alignment vertical="center"/>
    </xf>
    <xf numFmtId="0" fontId="122" fillId="9" borderId="1" xfId="3" applyFont="1" applyFill="1" applyBorder="1" applyAlignment="1">
      <alignment vertical="center"/>
    </xf>
    <xf numFmtId="4" fontId="19" fillId="9" borderId="1" xfId="0" applyNumberFormat="1" applyFont="1" applyFill="1" applyBorder="1" applyAlignment="1">
      <alignment vertical="center" shrinkToFit="1"/>
    </xf>
    <xf numFmtId="43" fontId="19" fillId="9" borderId="1" xfId="20" applyNumberFormat="1" applyFont="1" applyFill="1" applyBorder="1" applyAlignment="1">
      <alignment shrinkToFit="1"/>
    </xf>
    <xf numFmtId="3" fontId="122" fillId="9" borderId="1" xfId="0" applyNumberFormat="1" applyFont="1" applyFill="1" applyBorder="1" applyAlignment="1"/>
    <xf numFmtId="4" fontId="122" fillId="9" borderId="1" xfId="0" applyNumberFormat="1" applyFont="1" applyFill="1" applyBorder="1" applyAlignment="1"/>
    <xf numFmtId="4" fontId="122" fillId="9" borderId="1" xfId="0" applyNumberFormat="1" applyFont="1" applyFill="1" applyBorder="1" applyAlignment="1">
      <alignment shrinkToFit="1"/>
    </xf>
    <xf numFmtId="43" fontId="122" fillId="9" borderId="1" xfId="20" applyNumberFormat="1" applyFont="1" applyFill="1" applyBorder="1" applyAlignment="1">
      <alignment shrinkToFit="1"/>
    </xf>
    <xf numFmtId="43" fontId="147" fillId="9" borderId="1" xfId="20" applyNumberFormat="1" applyFont="1" applyFill="1" applyBorder="1" applyAlignment="1"/>
    <xf numFmtId="197" fontId="107" fillId="9" borderId="1" xfId="19" applyNumberFormat="1" applyFont="1" applyFill="1" applyBorder="1" applyAlignment="1">
      <alignment horizontal="center" vertical="center" shrinkToFit="1"/>
    </xf>
    <xf numFmtId="4" fontId="19" fillId="9" borderId="1" xfId="0" applyNumberFormat="1" applyFont="1" applyFill="1" applyBorder="1" applyAlignment="1">
      <alignment vertical="center" wrapText="1"/>
    </xf>
    <xf numFmtId="4" fontId="19" fillId="9" borderId="1" xfId="0" applyNumberFormat="1" applyFont="1" applyFill="1" applyBorder="1" applyAlignment="1">
      <alignment shrinkToFit="1"/>
    </xf>
    <xf numFmtId="3" fontId="19" fillId="0" borderId="1" xfId="0" applyNumberFormat="1" applyFont="1" applyFill="1" applyBorder="1" applyAlignment="1"/>
    <xf numFmtId="3" fontId="19" fillId="25" borderId="1" xfId="0" applyNumberFormat="1" applyFont="1" applyFill="1" applyBorder="1" applyAlignment="1"/>
    <xf numFmtId="4" fontId="19" fillId="25" borderId="1" xfId="0" applyNumberFormat="1" applyFont="1" applyFill="1" applyBorder="1" applyAlignment="1">
      <alignment horizontal="center" vertical="center"/>
    </xf>
    <xf numFmtId="4" fontId="19" fillId="25" borderId="1" xfId="0" applyNumberFormat="1" applyFont="1" applyFill="1" applyBorder="1" applyAlignment="1">
      <alignment vertical="center"/>
    </xf>
    <xf numFmtId="43" fontId="19" fillId="25" borderId="1" xfId="20" applyNumberFormat="1" applyFont="1" applyFill="1" applyBorder="1" applyAlignment="1">
      <alignment vertical="center" shrinkToFit="1"/>
    </xf>
    <xf numFmtId="197" fontId="283" fillId="25" borderId="1" xfId="19" applyNumberFormat="1" applyFont="1" applyFill="1" applyBorder="1" applyAlignment="1">
      <alignment vertical="center" shrinkToFit="1"/>
    </xf>
    <xf numFmtId="1" fontId="273" fillId="0" borderId="1" xfId="10" applyNumberFormat="1" applyFont="1" applyFill="1" applyBorder="1" applyAlignment="1">
      <alignment horizontal="center" vertical="center" shrinkToFit="1"/>
    </xf>
    <xf numFmtId="2" fontId="273" fillId="0" borderId="1" xfId="10" applyNumberFormat="1" applyFont="1" applyFill="1" applyBorder="1" applyAlignment="1">
      <alignment horizontal="center" vertical="center" shrinkToFit="1"/>
    </xf>
    <xf numFmtId="3" fontId="273" fillId="0" borderId="1" xfId="10" applyNumberFormat="1" applyFont="1" applyFill="1" applyBorder="1" applyAlignment="1">
      <alignment horizontal="center" vertical="center" shrinkToFit="1"/>
    </xf>
    <xf numFmtId="0" fontId="285" fillId="0" borderId="0" xfId="10" applyFont="1" applyFill="1">
      <alignment vertical="center"/>
    </xf>
    <xf numFmtId="1" fontId="272" fillId="5" borderId="1" xfId="10" applyNumberFormat="1" applyFont="1" applyFill="1" applyBorder="1" applyAlignment="1">
      <alignment horizontal="center" vertical="center" shrinkToFit="1"/>
    </xf>
    <xf numFmtId="0" fontId="273" fillId="5" borderId="1" xfId="10" applyFont="1" applyFill="1" applyBorder="1" applyAlignment="1">
      <alignment horizontal="center" vertical="center" wrapText="1"/>
    </xf>
    <xf numFmtId="2" fontId="272" fillId="5" borderId="1" xfId="10" applyNumberFormat="1" applyFont="1" applyFill="1" applyBorder="1" applyAlignment="1">
      <alignment horizontal="center" vertical="center" shrinkToFit="1"/>
    </xf>
    <xf numFmtId="3" fontId="274" fillId="5" borderId="1" xfId="10" applyNumberFormat="1" applyFont="1" applyFill="1" applyBorder="1" applyAlignment="1">
      <alignment horizontal="center" vertical="center" shrinkToFit="1"/>
    </xf>
    <xf numFmtId="0" fontId="95" fillId="5" borderId="0" xfId="10" applyFill="1">
      <alignment vertical="center"/>
    </xf>
    <xf numFmtId="0" fontId="0" fillId="5" borderId="0" xfId="0" applyFill="1">
      <alignment vertical="center"/>
    </xf>
    <xf numFmtId="57" fontId="273" fillId="5" borderId="1" xfId="10" applyNumberFormat="1" applyFont="1" applyFill="1" applyBorder="1" applyAlignment="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274" fillId="5" borderId="1" xfId="10" applyFont="1" applyFill="1" applyBorder="1" applyAlignment="1">
      <alignment horizontal="center" vertical="center" wrapText="1"/>
    </xf>
    <xf numFmtId="196" fontId="273" fillId="0" borderId="1" xfId="10" applyNumberFormat="1" applyFont="1" applyFill="1" applyBorder="1" applyAlignment="1">
      <alignment horizontal="center" vertical="center" shrinkToFit="1"/>
    </xf>
    <xf numFmtId="0" fontId="285" fillId="5" borderId="0" xfId="0" applyFont="1" applyFill="1">
      <alignment vertical="center"/>
    </xf>
    <xf numFmtId="1" fontId="273" fillId="5" borderId="1" xfId="10" applyNumberFormat="1" applyFont="1" applyFill="1" applyBorder="1" applyAlignment="1">
      <alignment horizontal="center" vertical="center" shrinkToFit="1"/>
    </xf>
    <xf numFmtId="196" fontId="273" fillId="5" borderId="1" xfId="10" applyNumberFormat="1" applyFont="1" applyFill="1" applyBorder="1" applyAlignment="1">
      <alignment horizontal="center" vertical="center" shrinkToFit="1"/>
    </xf>
    <xf numFmtId="3" fontId="273" fillId="5" borderId="1" xfId="10" applyNumberFormat="1" applyFont="1" applyFill="1" applyBorder="1" applyAlignment="1">
      <alignment horizontal="center" vertical="center" shrinkToFit="1"/>
    </xf>
    <xf numFmtId="0" fontId="285" fillId="5" borderId="0" xfId="10" applyFont="1" applyFill="1">
      <alignment vertical="center"/>
    </xf>
    <xf numFmtId="57" fontId="273" fillId="0" borderId="1" xfId="10" applyNumberFormat="1" applyFont="1" applyFill="1" applyBorder="1" applyAlignment="1">
      <alignment horizontal="center" vertical="center" wrapText="1"/>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0" fontId="44" fillId="18" borderId="13" xfId="0" applyNumberFormat="1" applyFont="1" applyFill="1" applyBorder="1" applyAlignment="1" applyProtection="1">
      <alignment horizontal="center" vertical="center" wrapText="1"/>
      <protection locked="0"/>
    </xf>
    <xf numFmtId="0" fontId="51" fillId="18" borderId="78"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0" fontId="128" fillId="18" borderId="46" xfId="0" applyFont="1" applyFill="1" applyBorder="1" applyAlignment="1" applyProtection="1">
      <alignment horizontal="center" vertical="center" wrapText="1"/>
      <protection locked="0"/>
    </xf>
    <xf numFmtId="49" fontId="44" fillId="18" borderId="26" xfId="0" applyNumberFormat="1" applyFont="1" applyFill="1" applyBorder="1" applyAlignment="1" applyProtection="1">
      <alignment horizontal="center" vertical="center" wrapText="1"/>
      <protection locked="0"/>
    </xf>
    <xf numFmtId="176" fontId="44" fillId="18" borderId="23" xfId="0" applyNumberFormat="1" applyFont="1" applyFill="1" applyBorder="1" applyAlignment="1" applyProtection="1">
      <alignment horizontal="center" vertical="center" wrapText="1"/>
      <protection locked="0"/>
    </xf>
    <xf numFmtId="176" fontId="44" fillId="18" borderId="3" xfId="0" applyNumberFormat="1" applyFont="1" applyFill="1" applyBorder="1" applyAlignment="1" applyProtection="1">
      <alignment horizontal="center" vertical="center" wrapText="1"/>
      <protection locked="0"/>
    </xf>
    <xf numFmtId="0" fontId="44" fillId="18" borderId="44" xfId="0" applyFont="1" applyFill="1" applyBorder="1" applyAlignment="1" applyProtection="1">
      <alignment horizontal="center" vertical="center" wrapText="1"/>
      <protection locked="0"/>
    </xf>
    <xf numFmtId="0" fontId="128" fillId="18" borderId="44" xfId="0" applyFont="1" applyFill="1" applyBorder="1" applyAlignment="1" applyProtection="1">
      <alignment horizontal="center" vertical="center" wrapText="1"/>
      <protection locked="0"/>
    </xf>
    <xf numFmtId="176" fontId="44" fillId="18" borderId="24"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8" fillId="0" borderId="0" xfId="0" applyFont="1" applyFill="1" applyBorder="1" applyAlignment="1">
      <alignment horizontal="center" vertical="center"/>
    </xf>
    <xf numFmtId="0" fontId="280" fillId="0" borderId="0" xfId="0" applyFont="1" applyFill="1" applyBorder="1" applyAlignment="1">
      <alignment horizontal="center" vertical="center"/>
    </xf>
    <xf numFmtId="4" fontId="19" fillId="0" borderId="1" xfId="0" applyNumberFormat="1" applyFont="1" applyFill="1" applyBorder="1" applyAlignment="1">
      <alignment horizontal="center" vertical="center" shrinkToFit="1"/>
    </xf>
    <xf numFmtId="0" fontId="107" fillId="0" borderId="13" xfId="0" applyNumberFormat="1" applyFont="1" applyFill="1" applyBorder="1" applyAlignment="1">
      <alignment horizontal="center" vertical="center"/>
    </xf>
    <xf numFmtId="0" fontId="0" fillId="0" borderId="2" xfId="0" applyFill="1" applyBorder="1" applyAlignment="1">
      <alignment horizontal="center" vertical="center"/>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0]" xfId="19" builtinId="6"/>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估价对象为北京市房地产，为所有。根据《国有土地使用证》[]，估价对象（分摊）出让国有建设用地使用权面积为1066.21平方米，建筑面积为12000.23平方米。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估价对象为北京市房地产,属开发建设的，该项目尚在开发建设中。根据《国有土地使用证》[]，估价对象（分摊）出让国有建设用地使用权面积为1066.21平方米，规划建筑面积为12000.23平方米。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2023年1月11日（评估专业人员实地查勘之日）</v>
      </c>
    </row>
    <row r="13" spans="1:2" s="1200" customFormat="1">
      <c r="A13" s="1198" t="s">
        <v>529</v>
      </c>
      <c r="B13" s="1199" t="str">
        <f>'预评函-1'!A18</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本次评估采用的主估价方法为成本法和比较法。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44307</v>
      </c>
    </row>
    <row r="21" spans="1:2" s="1200" customFormat="1">
      <c r="A21" s="1198" t="s">
        <v>537</v>
      </c>
      <c r="B21" s="1199">
        <f ca="1">'预评函-2'!D7</f>
        <v>36922</v>
      </c>
    </row>
    <row r="22" spans="1:2" s="1200" customFormat="1">
      <c r="A22" s="1198" t="s">
        <v>538</v>
      </c>
      <c r="B22" s="1199" t="str">
        <f ca="1">'预评函-2'!D6</f>
        <v>肆亿肆仟叁佰零柒万元整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44307</v>
      </c>
    </row>
    <row r="31" spans="1:2" s="1200" customFormat="1">
      <c r="A31" s="1198" t="s">
        <v>576</v>
      </c>
      <c r="B31" s="1199">
        <f ca="1">'预评函-2'!D15</f>
        <v>36922</v>
      </c>
    </row>
    <row r="32" spans="1:2" s="1200" customFormat="1">
      <c r="A32" s="1198" t="s">
        <v>543</v>
      </c>
      <c r="B32" s="1199" t="str">
        <f ca="1">'预评函-2'!D14</f>
        <v>肆亿肆仟叁佰零柒万元整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12000.23</v>
      </c>
    </row>
    <row r="44" spans="1:2" s="1200" customFormat="1">
      <c r="A44" s="1198" t="s">
        <v>575</v>
      </c>
      <c r="B44" s="1199" t="str">
        <f>'预评函-3'!C2</f>
        <v>(分摊)土地面积</v>
      </c>
    </row>
    <row r="45" spans="1:2" s="1200" customFormat="1">
      <c r="A45" s="1198" t="s">
        <v>547</v>
      </c>
      <c r="B45" s="1199">
        <f>'预评函-3'!C4</f>
        <v>1066.21</v>
      </c>
    </row>
    <row r="46" spans="1:2" s="1200" customFormat="1">
      <c r="A46" s="1198" t="s">
        <v>573</v>
      </c>
      <c r="B46" s="1199" t="str">
        <f>'预评函-3'!D2</f>
        <v>出让国有建设用地使用权价值</v>
      </c>
    </row>
    <row r="47" spans="1:2" s="1200" customFormat="1">
      <c r="A47" s="1198" t="s">
        <v>548</v>
      </c>
      <c r="B47" s="1199">
        <f ca="1">'预评函-3'!D4</f>
        <v>36996</v>
      </c>
    </row>
    <row r="48" spans="1:2" s="1200" customFormat="1">
      <c r="A48" s="1198" t="s">
        <v>549</v>
      </c>
      <c r="B48" s="1199">
        <f ca="1">'预评函-3'!E4</f>
        <v>30830</v>
      </c>
    </row>
    <row r="49" spans="1:2" s="1200" customFormat="1">
      <c r="A49" s="1198" t="s">
        <v>550</v>
      </c>
      <c r="B49" s="1199" t="str">
        <f ca="1">'预评函-3'!D5</f>
        <v>叁亿陆仟玖佰玖拾陆万元整</v>
      </c>
    </row>
    <row r="50" spans="1:2" s="1200" customFormat="1">
      <c r="A50" s="1198" t="s">
        <v>574</v>
      </c>
      <c r="B50" s="1199" t="str">
        <f>'预评函-3'!F2</f>
        <v>在建建筑物价值</v>
      </c>
    </row>
    <row r="51" spans="1:2" s="1200" customFormat="1">
      <c r="A51" s="1198" t="s">
        <v>551</v>
      </c>
      <c r="B51" s="1199">
        <f ca="1">'预评函-3'!F4</f>
        <v>7311</v>
      </c>
    </row>
    <row r="52" spans="1:2" s="1200" customFormat="1">
      <c r="A52" s="1198" t="s">
        <v>552</v>
      </c>
      <c r="B52" s="1199">
        <f ca="1">'预评函-3'!G4</f>
        <v>6092</v>
      </c>
    </row>
    <row r="53" spans="1:2" s="1200" customFormat="1">
      <c r="A53" s="1198" t="s">
        <v>580</v>
      </c>
      <c r="B53" s="1199" t="str">
        <f ca="1">'预评函-3'!F5</f>
        <v>柒仟叁佰壹拾壹万元整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3358</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3344</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3345</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3346</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3347</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3348</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3349</v>
      </c>
    </row>
    <row r="8" spans="1:23">
      <c r="A8" s="1543" t="s">
        <v>1026</v>
      </c>
      <c r="B8" s="1543" t="s">
        <v>1027</v>
      </c>
      <c r="C8" s="1544" t="s">
        <v>319</v>
      </c>
      <c r="F8" s="1545" t="s">
        <v>1028</v>
      </c>
      <c r="H8" s="1545" t="s">
        <v>2580</v>
      </c>
      <c r="I8" s="1545" t="s">
        <v>3350</v>
      </c>
    </row>
    <row r="9" spans="1:23">
      <c r="A9" s="1543" t="s">
        <v>1029</v>
      </c>
      <c r="B9" s="1543" t="s">
        <v>1030</v>
      </c>
      <c r="C9" s="1544" t="s">
        <v>320</v>
      </c>
      <c r="F9" s="1545" t="s">
        <v>1031</v>
      </c>
      <c r="H9" s="1545"/>
      <c r="I9" s="1548" t="s">
        <v>3351</v>
      </c>
    </row>
    <row r="10" spans="1:23">
      <c r="A10" s="1543" t="s">
        <v>1032</v>
      </c>
      <c r="B10" s="1543" t="s">
        <v>1033</v>
      </c>
      <c r="C10" s="1544" t="s">
        <v>321</v>
      </c>
      <c r="F10" s="1545" t="s">
        <v>2581</v>
      </c>
      <c r="I10" s="1548" t="s">
        <v>3352</v>
      </c>
    </row>
    <row r="11" spans="1:23">
      <c r="A11" s="1543" t="s">
        <v>1034</v>
      </c>
      <c r="B11" s="1543" t="s">
        <v>1035</v>
      </c>
      <c r="C11" s="1544" t="s">
        <v>322</v>
      </c>
      <c r="F11" s="1545" t="s">
        <v>13</v>
      </c>
      <c r="I11" s="1548" t="s">
        <v>3353</v>
      </c>
    </row>
    <row r="12" spans="1:23">
      <c r="A12" s="1543" t="s">
        <v>1036</v>
      </c>
      <c r="B12" s="1543" t="s">
        <v>1037</v>
      </c>
      <c r="C12" s="1544" t="s">
        <v>323</v>
      </c>
      <c r="I12" s="1548" t="s">
        <v>3354</v>
      </c>
    </row>
    <row r="13" spans="1:23">
      <c r="A13" s="1543" t="s">
        <v>1038</v>
      </c>
      <c r="B13" s="1543" t="s">
        <v>1039</v>
      </c>
      <c r="C13" s="1544" t="s">
        <v>324</v>
      </c>
      <c r="I13" s="1548" t="s">
        <v>3355</v>
      </c>
    </row>
    <row r="14" spans="1:23">
      <c r="A14" s="1543" t="s">
        <v>1040</v>
      </c>
      <c r="B14" s="1543" t="s">
        <v>1041</v>
      </c>
      <c r="C14" s="1545" t="s">
        <v>13</v>
      </c>
      <c r="I14" s="1548" t="s">
        <v>3356</v>
      </c>
    </row>
    <row r="15" spans="1:23">
      <c r="A15" s="1543" t="s">
        <v>1042</v>
      </c>
      <c r="B15" s="1543" t="s">
        <v>1043</v>
      </c>
      <c r="C15" s="1544"/>
      <c r="I15" s="1548" t="s">
        <v>3357</v>
      </c>
    </row>
    <row r="16" spans="1:23">
      <c r="A16" s="1543" t="s">
        <v>1044</v>
      </c>
      <c r="B16" s="1543" t="s">
        <v>312</v>
      </c>
      <c r="C16" s="1544"/>
    </row>
    <row r="17" spans="1:3">
      <c r="A17" s="1543" t="s">
        <v>1045</v>
      </c>
      <c r="B17" s="1543" t="s">
        <v>2293</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69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96"/>
      <c r="B54" s="1551" t="s">
        <v>385</v>
      </c>
      <c r="C54" s="1548" t="s">
        <v>583</v>
      </c>
    </row>
    <row r="55" spans="1:4">
      <c r="A55" s="3696"/>
      <c r="B55" s="1551" t="s">
        <v>386</v>
      </c>
      <c r="C55" s="1548" t="s">
        <v>584</v>
      </c>
    </row>
    <row r="56" spans="1:4">
      <c r="A56" s="3696"/>
      <c r="B56" s="1551" t="s">
        <v>387</v>
      </c>
      <c r="C56" s="1548" t="s">
        <v>588</v>
      </c>
    </row>
    <row r="57" spans="1:4">
      <c r="A57" s="369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D7" zoomScale="80" zoomScaleNormal="80" workbookViewId="0">
      <selection activeCell="H25" sqref="H25"/>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5" t="s">
        <v>2596</v>
      </c>
      <c r="J1" s="3224"/>
      <c r="K1" s="3224"/>
      <c r="L1" s="3224"/>
      <c r="M1" s="3224"/>
      <c r="N1" s="3436"/>
      <c r="O1" s="3436"/>
      <c r="P1" s="3436"/>
      <c r="Q1" s="3436"/>
      <c r="R1" s="3436"/>
    </row>
    <row r="2" spans="1:18">
      <c r="A2" s="3014"/>
      <c r="B2" s="3015"/>
      <c r="C2" s="3015"/>
      <c r="D2" s="3015"/>
      <c r="E2" s="3015"/>
      <c r="F2" s="3016"/>
      <c r="I2" s="3697" t="s">
        <v>2583</v>
      </c>
      <c r="J2" s="3697"/>
      <c r="K2" s="3697"/>
      <c r="L2" s="3697"/>
      <c r="M2" s="3697"/>
      <c r="N2" s="3697"/>
      <c r="O2" s="3697"/>
      <c r="P2" s="3697"/>
      <c r="Q2" s="3697"/>
      <c r="R2" s="3697"/>
    </row>
    <row r="3" spans="1:18">
      <c r="A3" s="3017" t="s">
        <v>2504</v>
      </c>
      <c r="B3" s="3018">
        <f>项目基本情况!D3</f>
        <v>44937</v>
      </c>
      <c r="C3" s="3020"/>
      <c r="D3" s="3020"/>
      <c r="E3" s="3020"/>
      <c r="F3" s="3016"/>
      <c r="I3" s="3437"/>
      <c r="J3" s="3437" t="s">
        <v>2587</v>
      </c>
      <c r="K3" s="3437" t="s">
        <v>2588</v>
      </c>
      <c r="L3" s="3437" t="s">
        <v>2589</v>
      </c>
      <c r="M3" s="3437" t="s">
        <v>2590</v>
      </c>
      <c r="N3" s="3438" t="s">
        <v>2591</v>
      </c>
      <c r="O3" s="3438" t="s">
        <v>2592</v>
      </c>
      <c r="P3" s="3438" t="s">
        <v>2593</v>
      </c>
      <c r="Q3" s="3438" t="s">
        <v>2594</v>
      </c>
      <c r="R3" s="3438" t="s">
        <v>2595</v>
      </c>
    </row>
    <row r="4" spans="1:18">
      <c r="A4" s="3017" t="s">
        <v>2505</v>
      </c>
      <c r="B4" s="3020" t="s">
        <v>2506</v>
      </c>
      <c r="C4" s="3020" t="s">
        <v>2507</v>
      </c>
      <c r="D4" s="3020" t="s">
        <v>2508</v>
      </c>
      <c r="E4" s="3020" t="s">
        <v>2509</v>
      </c>
      <c r="F4" s="3016"/>
      <c r="I4" s="3437" t="s">
        <v>2584</v>
      </c>
      <c r="J4" s="3437">
        <v>80</v>
      </c>
      <c r="K4" s="3437">
        <v>70</v>
      </c>
      <c r="L4" s="3437">
        <v>20</v>
      </c>
      <c r="M4" s="3437">
        <v>30</v>
      </c>
      <c r="N4" s="3020">
        <v>45</v>
      </c>
      <c r="O4" s="3020">
        <v>60</v>
      </c>
      <c r="P4" s="3020">
        <v>50</v>
      </c>
      <c r="Q4" s="3020">
        <v>20</v>
      </c>
      <c r="R4" s="3020">
        <v>375</v>
      </c>
    </row>
    <row r="5" spans="1:18">
      <c r="A5" s="3021">
        <v>40</v>
      </c>
      <c r="B5" s="3018">
        <v>46375</v>
      </c>
      <c r="C5" s="3020">
        <f>ROUNDDOWN(MIN((B5-B3)/365,A5),2)</f>
        <v>3.93</v>
      </c>
      <c r="D5" s="3022">
        <f>IF(ISERROR(ROUND(POWER(1+E5,A5-C5)*(POWER(1+E5,C5)-1)/(POWER(1+E5,A5)-1),3)),0,ROUND(POWER(1+E5,A5-C5)*(POWER(1+E5,C5)-1)/(POWER(1+E5,A5)-1),4))</f>
        <v>0.1804</v>
      </c>
      <c r="E5" s="3023">
        <v>0.04</v>
      </c>
      <c r="F5" s="3016"/>
      <c r="I5" s="3437" t="s">
        <v>2585</v>
      </c>
      <c r="J5" s="3437">
        <v>70</v>
      </c>
      <c r="K5" s="3437">
        <v>60</v>
      </c>
      <c r="L5" s="3437">
        <v>15</v>
      </c>
      <c r="M5" s="3437">
        <v>25</v>
      </c>
      <c r="N5" s="3020">
        <v>40</v>
      </c>
      <c r="O5" s="3020">
        <v>50</v>
      </c>
      <c r="P5" s="3020">
        <v>40</v>
      </c>
      <c r="Q5" s="3020">
        <v>15</v>
      </c>
      <c r="R5" s="3020">
        <v>315</v>
      </c>
    </row>
    <row r="6" spans="1:18">
      <c r="A6" s="3021">
        <v>50</v>
      </c>
      <c r="B6" s="3018">
        <v>50028</v>
      </c>
      <c r="C6" s="3020">
        <f>ROUNDDOWN(MIN((B6-B3)/365,A6),2)</f>
        <v>13.94</v>
      </c>
      <c r="D6" s="3022">
        <f>IF(ISERROR(ROUND(POWER(1+E6,A6-C6)*(POWER(1+E6,C6)-1)/(POWER(1+E6,A6)-1),3)),0,ROUND(POWER(1+E6,A6-C6)*(POWER(1+E6,C6)-1)/(POWER(1+E6,A6)-1),4))</f>
        <v>0.49009999999999998</v>
      </c>
      <c r="E6" s="3023">
        <v>0.04</v>
      </c>
      <c r="F6" s="3016"/>
      <c r="I6" s="3437" t="s">
        <v>2586</v>
      </c>
      <c r="J6" s="3437">
        <v>60</v>
      </c>
      <c r="K6" s="3437">
        <v>50</v>
      </c>
      <c r="L6" s="3437">
        <v>10</v>
      </c>
      <c r="M6" s="3437">
        <v>20</v>
      </c>
      <c r="N6" s="3020">
        <v>35</v>
      </c>
      <c r="O6" s="3020">
        <v>40</v>
      </c>
      <c r="P6" s="3020">
        <v>30</v>
      </c>
      <c r="Q6" s="3020">
        <v>10</v>
      </c>
      <c r="R6" s="3020">
        <v>255</v>
      </c>
    </row>
    <row r="7" spans="1:18">
      <c r="A7" s="3021">
        <v>70</v>
      </c>
      <c r="B7" s="3018">
        <v>57333</v>
      </c>
      <c r="C7" s="3020">
        <f>ROUNDDOWN(MIN((B7-B3)/365,A7),2)</f>
        <v>33.96</v>
      </c>
      <c r="D7" s="3022">
        <f>IF(ISERROR(ROUND(POWER(1+E7,A7-C7)*(POWER(1+E7,C7)-1)/(POWER(1+E7,A7)-1),3)),0,ROUND(POWER(1+E7,A7-C7)*(POWER(1+E7,C7)-1)/(POWER(1+E7,A7)-1),4))</f>
        <v>0.78649999999999998</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50</v>
      </c>
      <c r="C22" s="3035">
        <v>20</v>
      </c>
      <c r="D22" s="3036">
        <v>0.05</v>
      </c>
      <c r="E22" s="3033">
        <f>ROUND(POWER(1+D22,B22-C22)*(POWER(1+D22,C22)-1)/(POWER(1+D22,B22)-1),3)</f>
        <v>0.68300000000000005</v>
      </c>
      <c r="F22" s="3036">
        <v>0.5</v>
      </c>
      <c r="G22" s="3034">
        <f>ROUND(100*(1-(1-E22)*F22),1)</f>
        <v>84.2</v>
      </c>
      <c r="I22" s="3055">
        <v>10</v>
      </c>
      <c r="J22" s="3055">
        <v>65.400000000000006</v>
      </c>
      <c r="K22" s="3055">
        <f>J22-J21</f>
        <v>11.200000000000003</v>
      </c>
    </row>
    <row r="23" spans="1:13">
      <c r="A23" s="3032" t="s">
        <v>2530</v>
      </c>
      <c r="B23" s="3035">
        <v>50</v>
      </c>
      <c r="C23" s="3035">
        <v>33</v>
      </c>
      <c r="D23" s="3036">
        <v>0.05</v>
      </c>
      <c r="E23" s="3033">
        <f t="shared" ref="E23:E25" si="0">ROUND(POWER(1+D23,B23-C23)*(POWER(1+D23,C23)-1)/(POWER(1+D23,B23)-1),3)</f>
        <v>0.877</v>
      </c>
      <c r="F23" s="3036">
        <f>F22</f>
        <v>0.5</v>
      </c>
      <c r="G23" s="3034">
        <f t="shared" ref="G23:G25" si="1">ROUND(100*(1-(1-E23)*F23),1)</f>
        <v>93.9</v>
      </c>
      <c r="I23" s="3055">
        <v>15</v>
      </c>
      <c r="J23" s="3055">
        <v>74.099999999999994</v>
      </c>
      <c r="K23" s="3055">
        <f t="shared" ref="K23:K30" si="2">J23-J22</f>
        <v>8.6999999999999886</v>
      </c>
      <c r="L23" s="3055" t="s">
        <v>2570</v>
      </c>
      <c r="M23" s="3055" t="s">
        <v>2571</v>
      </c>
    </row>
    <row r="24" spans="1:13">
      <c r="A24" s="3032" t="s">
        <v>2531</v>
      </c>
      <c r="B24" s="3035">
        <v>50</v>
      </c>
      <c r="C24" s="3035">
        <v>34</v>
      </c>
      <c r="D24" s="3036">
        <v>0.05</v>
      </c>
      <c r="E24" s="3033">
        <f t="shared" si="0"/>
        <v>0.88700000000000001</v>
      </c>
      <c r="F24" s="3036">
        <f>F23</f>
        <v>0.5</v>
      </c>
      <c r="G24" s="3034">
        <f t="shared" si="1"/>
        <v>94.4</v>
      </c>
      <c r="I24" s="3055">
        <v>20</v>
      </c>
      <c r="J24" s="3055">
        <v>81</v>
      </c>
      <c r="K24" s="3055">
        <f t="shared" si="2"/>
        <v>6.9000000000000057</v>
      </c>
      <c r="L24" s="3055" t="s">
        <v>2569</v>
      </c>
      <c r="M24" s="3055">
        <v>10</v>
      </c>
    </row>
    <row r="25" spans="1:13">
      <c r="A25" s="3032" t="s">
        <v>2532</v>
      </c>
      <c r="B25" s="3035">
        <v>50</v>
      </c>
      <c r="C25" s="3035">
        <v>37</v>
      </c>
      <c r="D25" s="3036">
        <v>0.05</v>
      </c>
      <c r="E25" s="3033">
        <f t="shared" si="0"/>
        <v>0.91500000000000004</v>
      </c>
      <c r="F25" s="3036">
        <f>F24</f>
        <v>0.5</v>
      </c>
      <c r="G25" s="3034">
        <f t="shared" si="1"/>
        <v>95.8</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4" sqref="E4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2168</v>
      </c>
      <c r="B1" s="3706" t="str">
        <f>IF(B10="北京市","北京市",C10)&amp;F10&amp;IF(结果表!G1="在建","出让国有建设用地使用权及在建建筑物",IF(结果表!G1="土地","出让国有建设用地使用权",))&amp;B9&amp;"预评估"</f>
        <v>北京市房地产抵押价值预评估</v>
      </c>
      <c r="C1" s="3707"/>
      <c r="D1" s="3707"/>
      <c r="E1" s="3707"/>
      <c r="F1" s="3707"/>
      <c r="G1" s="3707"/>
      <c r="H1" s="3707"/>
      <c r="I1" s="3708"/>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2169</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0" t="s">
        <v>2170</v>
      </c>
      <c r="B3" s="2370">
        <v>44937</v>
      </c>
      <c r="C3" s="2371" t="s">
        <v>2171</v>
      </c>
      <c r="D3" s="2370">
        <f>B3</f>
        <v>44937</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3373</v>
      </c>
      <c r="C8" s="2387"/>
      <c r="D8" s="3709" t="s">
        <v>2177</v>
      </c>
      <c r="E8" s="2388" t="s">
        <v>3374</v>
      </c>
      <c r="F8" s="2389"/>
      <c r="G8" s="2660"/>
      <c r="H8" s="2660"/>
      <c r="I8" s="2660"/>
      <c r="J8" s="2436"/>
      <c r="K8" s="2611"/>
      <c r="L8" s="2610"/>
      <c r="M8" s="2610"/>
      <c r="N8" s="2436"/>
      <c r="O8" s="2447"/>
      <c r="P8" s="2436"/>
      <c r="Q8" s="2436"/>
      <c r="R8" s="2436"/>
    </row>
    <row r="9" spans="1:30" ht="13.5" thickBot="1">
      <c r="A9" s="2390" t="s">
        <v>2178</v>
      </c>
      <c r="B9" s="2391" t="s">
        <v>3374</v>
      </c>
      <c r="C9" s="2392"/>
      <c r="D9" s="3710"/>
      <c r="E9" s="2391" t="s">
        <v>43</v>
      </c>
      <c r="F9" s="2393"/>
      <c r="G9" s="2662"/>
      <c r="H9" s="2662"/>
      <c r="I9" s="2662"/>
      <c r="J9" s="2436"/>
      <c r="K9" s="2613"/>
      <c r="L9" s="2610"/>
      <c r="M9" s="2610"/>
      <c r="N9" s="2436"/>
      <c r="O9" s="2447"/>
      <c r="P9" s="2436"/>
      <c r="Q9" s="2436"/>
      <c r="R9" s="2436"/>
    </row>
    <row r="10" spans="1:30" ht="13.5" thickTop="1">
      <c r="A10" s="2394" t="s">
        <v>2179</v>
      </c>
      <c r="B10" s="2395" t="s">
        <v>3375</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3376</v>
      </c>
      <c r="C11" s="2400"/>
      <c r="D11" s="2401"/>
      <c r="E11" s="2367"/>
      <c r="F11" s="2367"/>
      <c r="G11" s="2367"/>
      <c r="H11" s="2367"/>
      <c r="I11" s="2367"/>
      <c r="J11" s="3058"/>
      <c r="K11" s="3057"/>
      <c r="L11" s="2610"/>
      <c r="M11" s="2610"/>
      <c r="N11" s="2436"/>
      <c r="O11" s="2447"/>
      <c r="P11" s="2436"/>
      <c r="Q11" s="2436"/>
      <c r="R11" s="2436"/>
    </row>
    <row r="12" spans="1:30">
      <c r="A12" s="2402" t="s">
        <v>2182</v>
      </c>
      <c r="B12" s="321"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2"/>
    </row>
    <row r="13" spans="1:30">
      <c r="A13" s="3421" t="s">
        <v>3340</v>
      </c>
      <c r="B13" s="2404" t="s">
        <v>2190</v>
      </c>
      <c r="C13" s="853">
        <v>59915</v>
      </c>
      <c r="D13" s="853"/>
      <c r="E13" s="853">
        <v>52610</v>
      </c>
      <c r="F13" s="853">
        <v>52610</v>
      </c>
      <c r="G13" s="853"/>
      <c r="H13" s="853"/>
      <c r="I13" s="853"/>
      <c r="J13" s="3059"/>
      <c r="K13" s="2610"/>
      <c r="L13" s="2610"/>
      <c r="M13" s="2436"/>
      <c r="N13" s="2447"/>
      <c r="O13" s="2436"/>
      <c r="P13" s="2436"/>
      <c r="Q13" s="2436"/>
      <c r="AD13" s="1742"/>
    </row>
    <row r="14" spans="1:30">
      <c r="A14" s="1078"/>
      <c r="B14" s="2404" t="s">
        <v>2191</v>
      </c>
      <c r="C14" s="2405">
        <v>70</v>
      </c>
      <c r="D14" s="2405"/>
      <c r="E14" s="2405">
        <v>50</v>
      </c>
      <c r="F14" s="2405">
        <v>50</v>
      </c>
      <c r="G14" s="2405"/>
      <c r="H14" s="2405"/>
      <c r="I14" s="2405"/>
      <c r="J14" s="3060"/>
      <c r="K14" s="2610"/>
      <c r="L14" s="2610"/>
      <c r="M14" s="2436"/>
      <c r="N14" s="2447"/>
      <c r="O14" s="2436"/>
      <c r="P14" s="2436"/>
      <c r="Q14" s="2436"/>
      <c r="AD14" s="1742"/>
    </row>
    <row r="15" spans="1:30">
      <c r="A15" s="318"/>
      <c r="B15" s="2406" t="s">
        <v>2192</v>
      </c>
      <c r="C15" s="2407">
        <f>IF(A13="出让",IF(C13="","",ROUNDDOWN(MIN((C13-$D$3)/365,C14),2)),C14)</f>
        <v>41.03</v>
      </c>
      <c r="D15" s="2407" t="str">
        <f>IF(A13="出让",IF(D13="","",ROUNDDOWN(MIN((D13-$D$3)/365,D14),2)),D14)</f>
        <v/>
      </c>
      <c r="E15" s="2407">
        <f>IF(A13="出让",IF(E13="","",ROUNDDOWN(MIN((E13-$D$3)/365,E14),2)),E14)</f>
        <v>21.02</v>
      </c>
      <c r="F15" s="2407">
        <f>IF(A13="出让",IF(F13="","",ROUNDDOWN(MIN((F13-$D$3)/365,F14),2)),F14)</f>
        <v>21.02</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2193</v>
      </c>
      <c r="B16" s="3716"/>
      <c r="C16" s="3717"/>
      <c r="D16" s="3718"/>
      <c r="E16" s="2410" t="s">
        <v>2194</v>
      </c>
      <c r="F16" s="3719"/>
      <c r="G16" s="3720"/>
      <c r="H16" s="3720"/>
      <c r="I16" s="3721"/>
      <c r="J16" s="2436"/>
      <c r="K16" s="2614"/>
      <c r="L16" s="2448"/>
      <c r="M16" s="2448"/>
      <c r="N16" s="2506"/>
      <c r="O16" s="2448"/>
      <c r="P16" s="2506"/>
      <c r="Q16" s="2436"/>
      <c r="R16" s="2436"/>
    </row>
    <row r="17" spans="1:28">
      <c r="A17" s="311" t="s">
        <v>2195</v>
      </c>
      <c r="B17" s="300" t="s">
        <v>2196</v>
      </c>
      <c r="C17" s="8">
        <f>'数据-汇总表'!E3</f>
        <v>12000.23</v>
      </c>
      <c r="D17" s="2319" t="s">
        <v>2197</v>
      </c>
      <c r="E17" s="3722" t="s">
        <v>2198</v>
      </c>
      <c r="F17" s="3723"/>
      <c r="G17" s="3723"/>
      <c r="H17" s="3723"/>
      <c r="I17" s="3724"/>
      <c r="J17" s="2436"/>
      <c r="K17" s="2615"/>
      <c r="L17" s="2448"/>
      <c r="M17" s="2448"/>
      <c r="N17" s="2506"/>
      <c r="O17" s="2448"/>
      <c r="P17" s="2506"/>
      <c r="Q17" s="2436"/>
      <c r="R17" s="2436"/>
      <c r="S17" s="2436"/>
      <c r="T17" s="2436"/>
      <c r="U17" s="2436"/>
      <c r="V17" s="2436"/>
    </row>
    <row r="18" spans="1:28" ht="24.75" thickBot="1">
      <c r="A18" s="2411" t="s">
        <v>2199</v>
      </c>
      <c r="B18" s="1087" t="s">
        <v>2200</v>
      </c>
      <c r="C18" s="2412">
        <f>'数据-汇总表'!D3</f>
        <v>1066.21</v>
      </c>
      <c r="D18" s="1089" t="s">
        <v>2201</v>
      </c>
      <c r="E18" s="3725" t="s">
        <v>2202</v>
      </c>
      <c r="F18" s="3726"/>
      <c r="G18" s="3726"/>
      <c r="H18" s="3726"/>
      <c r="I18" s="3727"/>
      <c r="J18" s="2436"/>
      <c r="K18" s="2615"/>
      <c r="L18" s="2448"/>
      <c r="M18" s="2448"/>
      <c r="N18" s="2506"/>
      <c r="O18" s="2448"/>
      <c r="P18" s="2506"/>
      <c r="Q18" s="2436"/>
      <c r="R18" s="2436"/>
      <c r="S18" s="2436"/>
      <c r="T18" s="2436"/>
      <c r="U18" s="2436"/>
      <c r="V18" s="2436"/>
    </row>
    <row r="19" spans="1:28" ht="37.5" thickTop="1" thickBot="1">
      <c r="A19" s="325" t="s">
        <v>1055</v>
      </c>
      <c r="B19" s="305" t="s">
        <v>2203</v>
      </c>
      <c r="C19" s="1560"/>
      <c r="D19" s="1561" t="s">
        <v>2204</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2205</v>
      </c>
      <c r="B20" s="3712" t="s">
        <v>2206</v>
      </c>
      <c r="C20" s="3713"/>
      <c r="D20" s="3714" t="s">
        <v>2207</v>
      </c>
      <c r="E20" s="3715"/>
      <c r="F20" s="2644" t="s">
        <v>1056</v>
      </c>
      <c r="G20" s="2661"/>
      <c r="H20" s="2661"/>
      <c r="I20" s="2661"/>
      <c r="J20" s="2436"/>
      <c r="K20" s="3711" t="s">
        <v>2208</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2209</v>
      </c>
      <c r="C21" s="2631" t="s">
        <v>1057</v>
      </c>
      <c r="D21" s="1565" t="s">
        <v>2210</v>
      </c>
      <c r="E21" s="2632" t="s">
        <v>1057</v>
      </c>
      <c r="F21" s="2645"/>
      <c r="G21" s="2661"/>
      <c r="H21" s="2661"/>
      <c r="I21" s="2661"/>
      <c r="J21" s="2436"/>
      <c r="K21" s="3711"/>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2211</v>
      </c>
      <c r="C22" s="2631" t="s">
        <v>1058</v>
      </c>
      <c r="D22" s="2660"/>
      <c r="E22" s="2660"/>
      <c r="F22" s="2660"/>
      <c r="G22" s="2661"/>
      <c r="H22" s="2661"/>
      <c r="I22" s="2661"/>
      <c r="J22" s="2436"/>
      <c r="K22" s="3711"/>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99" t="s">
        <v>2214</v>
      </c>
      <c r="B27" s="318"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99"/>
      <c r="B28" s="300"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99"/>
      <c r="B29" s="300"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700"/>
      <c r="B30" s="300" t="s">
        <v>2218</v>
      </c>
      <c r="C30" s="3701"/>
      <c r="D30" s="3702"/>
      <c r="E30" s="2661"/>
      <c r="F30" s="2661"/>
      <c r="G30" s="2661"/>
      <c r="H30" s="2661"/>
      <c r="I30" s="2661"/>
      <c r="J30" s="2436"/>
      <c r="K30" s="2613"/>
      <c r="L30" s="2610"/>
      <c r="M30" s="2610"/>
      <c r="N30" s="2436"/>
      <c r="O30" s="2447"/>
      <c r="P30" s="2436"/>
      <c r="Q30" s="2436"/>
      <c r="R30" s="2436"/>
      <c r="S30" s="2436"/>
      <c r="T30" s="2436"/>
      <c r="U30" s="2436"/>
      <c r="V30" s="2436"/>
    </row>
    <row r="31" spans="1:28">
      <c r="A31" s="3703" t="s">
        <v>2219</v>
      </c>
      <c r="B31" s="2419"/>
      <c r="C31" s="2320" t="str">
        <f>IF(B31="现房","成新及维护状况正常否",IF(B31="在建","工程状态是否正常",IF(B31="土地","是否闲置","-")))</f>
        <v>-</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704"/>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704"/>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0" t="s">
        <v>2220</v>
      </c>
      <c r="B34" s="2023"/>
      <c r="C34" s="2023"/>
      <c r="D34" s="2023"/>
      <c r="E34" s="2023"/>
      <c r="F34" s="2023"/>
      <c r="G34" s="2023"/>
      <c r="H34" s="2023"/>
      <c r="I34" s="2661"/>
      <c r="J34" s="2436"/>
      <c r="K34" s="2424">
        <f>COUNTIF(B34:H34,"——")</f>
        <v>0</v>
      </c>
      <c r="L34" s="321" t="s">
        <v>2221</v>
      </c>
      <c r="M34" s="321" t="s">
        <v>2222</v>
      </c>
      <c r="N34" s="321" t="s">
        <v>2223</v>
      </c>
      <c r="O34" s="321" t="s">
        <v>2224</v>
      </c>
      <c r="P34" s="321" t="s">
        <v>2225</v>
      </c>
      <c r="Q34" s="321" t="s">
        <v>2226</v>
      </c>
      <c r="R34" s="321" t="s">
        <v>2227</v>
      </c>
      <c r="S34" s="3698" t="s">
        <v>2228</v>
      </c>
      <c r="T34" s="2425" t="str">
        <f>NUMBERSTRING(7-K34,1)&amp;"通"</f>
        <v>七通</v>
      </c>
      <c r="U34" s="2436"/>
      <c r="V34" s="2436"/>
    </row>
    <row r="35" spans="1:30">
      <c r="A35" s="2426"/>
      <c r="B35" s="3705" t="s">
        <v>2229</v>
      </c>
      <c r="C35" s="3705"/>
      <c r="D35" s="3705"/>
      <c r="E35" s="3705"/>
      <c r="F35" s="662">
        <f>C10</f>
        <v>0</v>
      </c>
      <c r="G35" s="2661"/>
      <c r="H35" s="2661"/>
      <c r="I35" s="2661"/>
      <c r="J35" s="2436"/>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698"/>
      <c r="T35" s="327" t="str">
        <f>IF(T34="一通",L35,IF(T34="二通",M35,IF(T34="三通",N35,IF(T34="四通",O35,IF(T34="五通",P35,IF(T34="六通",Q35,R35))))))</f>
        <v>、、、、、、</v>
      </c>
      <c r="U35" s="2436"/>
      <c r="V35" s="2436"/>
    </row>
    <row r="36" spans="1:30">
      <c r="A36" s="2427"/>
      <c r="B36" s="662" t="s">
        <v>2185</v>
      </c>
      <c r="C36" s="662" t="s">
        <v>2186</v>
      </c>
      <c r="D36" s="662" t="s">
        <v>2184</v>
      </c>
      <c r="E36" s="662"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t="s">
        <v>184</v>
      </c>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t="s">
        <v>235</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2233</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1"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1066.21</v>
      </c>
      <c r="B3" s="11">
        <f>IF(C3="否",G5-AT5,G5)</f>
        <v>12000.23</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12000.23</v>
      </c>
      <c r="H5" s="13">
        <f t="shared" ref="H5:AT5" si="0">SUM(H13:H656)</f>
        <v>12000.23</v>
      </c>
      <c r="I5" s="13">
        <f t="shared" si="0"/>
        <v>9775.8700000000008</v>
      </c>
      <c r="J5" s="13">
        <f t="shared" si="0"/>
        <v>0</v>
      </c>
      <c r="K5" s="13">
        <f t="shared" si="0"/>
        <v>2224.3599999999997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12000.23</v>
      </c>
      <c r="BA5" s="15">
        <f t="shared" si="1"/>
        <v>12000.23</v>
      </c>
      <c r="BB5" s="15">
        <f t="shared" si="1"/>
        <v>9775.8700000000008</v>
      </c>
      <c r="BC5" s="15">
        <f t="shared" si="1"/>
        <v>2224.3599999999997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1066.21</v>
      </c>
      <c r="F6" s="13" t="s">
        <v>0</v>
      </c>
      <c r="G6" s="13" t="s">
        <v>1</v>
      </c>
      <c r="H6" s="17">
        <f>SUMIF(I$12:AB$12,"总值",I6:AB6)</f>
        <v>1066.21</v>
      </c>
      <c r="I6" s="13">
        <f t="shared" ref="I6:AB6" si="2">ROUND($A$3*I5/$B$3,2)</f>
        <v>868.58</v>
      </c>
      <c r="J6" s="13">
        <f t="shared" si="2"/>
        <v>0</v>
      </c>
      <c r="K6" s="13">
        <f t="shared" si="2"/>
        <v>197.63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1066.21</v>
      </c>
      <c r="AZ6" s="13" t="s">
        <v>2</v>
      </c>
      <c r="BA6" s="13">
        <f>ROUND($AY$6*BA5/$AZ$5,2)</f>
        <v>1066.21</v>
      </c>
      <c r="BB6" s="13">
        <f>ROUND($AY$6*BB5/$AZ$5,2)</f>
        <v>868.58</v>
      </c>
      <c r="BC6" s="13">
        <f t="shared" ref="BC6:BH6" si="4">ROUND($AY$6*BC5/$AZ$5,2)</f>
        <v>197.63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3378</v>
      </c>
      <c r="J9" s="806"/>
      <c r="K9" s="1600" t="s">
        <v>3433</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t="s">
        <v>21</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3414</v>
      </c>
      <c r="J11" s="1612"/>
      <c r="K11" s="1611" t="s">
        <v>3414</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办公</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t="str">
        <f>I11</f>
        <v>办公楼</v>
      </c>
      <c r="BC12" s="1621" t="str">
        <f>K11</f>
        <v>办公楼</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3377</v>
      </c>
      <c r="E13" s="13">
        <f>IF($C$3="是",ROUND($A$3*G13/$B$3,2),ROUND($A$3*(G13-AT13)/$B$3,2))</f>
        <v>1066.21</v>
      </c>
      <c r="F13" s="29"/>
      <c r="G13" s="30">
        <f>H13+AC13+AT13</f>
        <v>12000.23</v>
      </c>
      <c r="H13" s="17">
        <f>SUMIF(I$12:AB$12,"总值",I13:AB13)</f>
        <v>12000.23</v>
      </c>
      <c r="I13" s="1623">
        <f>SUM(面积明细!C3:C8)</f>
        <v>9775.8700000000008</v>
      </c>
      <c r="J13" s="1623"/>
      <c r="K13" s="1623">
        <f>SUM(面积明细!C9:C11)</f>
        <v>2224.3599999999997</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1066.21</v>
      </c>
      <c r="AZ13" s="13">
        <f>BA13+BL13</f>
        <v>12000.23</v>
      </c>
      <c r="BA13" s="13">
        <f>SUM(BB13:BK13)</f>
        <v>12000.23</v>
      </c>
      <c r="BB13" s="13">
        <f>IF($D13="是",I13-J13,0)</f>
        <v>9775.8700000000008</v>
      </c>
      <c r="BC13" s="13">
        <f>IF($D13="是",K13-L13,0)</f>
        <v>2224.3599999999997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43" sqref="G4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737" t="s">
        <v>1131</v>
      </c>
      <c r="B2" s="3737"/>
      <c r="C2" s="3737"/>
      <c r="D2" s="793" t="s">
        <v>1107</v>
      </c>
      <c r="E2" s="1636" t="s">
        <v>1108</v>
      </c>
      <c r="F2" s="2656"/>
      <c r="G2" s="2647"/>
      <c r="H2" s="2648"/>
      <c r="I2" s="2322" t="s">
        <v>1132</v>
      </c>
      <c r="J2" s="2656"/>
      <c r="K2" s="2656"/>
      <c r="L2" s="2656"/>
      <c r="M2" s="2656"/>
      <c r="N2" s="2658"/>
      <c r="O2" s="2656"/>
      <c r="P2" s="2656"/>
    </row>
    <row r="3" spans="1:16" ht="15.75" thickBot="1">
      <c r="A3" s="3738" t="s">
        <v>1105</v>
      </c>
      <c r="B3" s="3738"/>
      <c r="C3" s="3738"/>
      <c r="D3" s="43">
        <f>'数据-基础表'!AY6</f>
        <v>1066.21</v>
      </c>
      <c r="E3" s="43">
        <f>'数据-基础表'!AZ5</f>
        <v>12000.23</v>
      </c>
      <c r="F3" s="2656"/>
      <c r="G3" s="1142"/>
      <c r="H3" s="1023" t="s">
        <v>1106</v>
      </c>
      <c r="I3" s="852">
        <f>ROUND('数据-基础表'!B3/'数据-基础表'!A3,2)</f>
        <v>11.26</v>
      </c>
      <c r="J3" s="2656"/>
      <c r="K3" s="2656"/>
      <c r="L3" s="2656"/>
      <c r="M3" s="2656"/>
      <c r="N3" s="2658"/>
      <c r="O3" s="2656"/>
      <c r="P3" s="2656"/>
    </row>
    <row r="4" spans="1:16" ht="15">
      <c r="A4" s="3739"/>
      <c r="B4" s="3740"/>
      <c r="C4" s="3741"/>
      <c r="D4" s="1638" t="s">
        <v>1107</v>
      </c>
      <c r="E4" s="1639" t="s">
        <v>1108</v>
      </c>
      <c r="F4" s="2656"/>
      <c r="G4" s="2649" t="s">
        <v>1133</v>
      </c>
      <c r="H4" s="1023" t="s">
        <v>1113</v>
      </c>
      <c r="I4" s="852">
        <f>ROUND(SUMIF('数据-基础表'!I9:AS9,"地上",'数据-基础表'!I5:AS5)/'数据-基础表'!A3,2)</f>
        <v>9.17</v>
      </c>
      <c r="J4" s="2656"/>
      <c r="K4" s="2656"/>
      <c r="L4" s="2656"/>
      <c r="M4" s="2656"/>
      <c r="N4" s="2658"/>
      <c r="O4" s="2656"/>
      <c r="P4" s="2656"/>
    </row>
    <row r="5" spans="1:16">
      <c r="A5" s="44" t="s">
        <v>1109</v>
      </c>
      <c r="B5" s="3742" t="s">
        <v>1110</v>
      </c>
      <c r="C5" s="3742"/>
      <c r="D5" s="45">
        <f>ROUND($D$3*E5/$E$3,2)</f>
        <v>0</v>
      </c>
      <c r="E5" s="46">
        <f>SUMIF('数据-基础表'!$11:$11,"住宅",'数据-基础表'!$5:$5)</f>
        <v>0</v>
      </c>
      <c r="F5" s="2656"/>
      <c r="G5" s="1142"/>
      <c r="H5" s="1023" t="s">
        <v>1106</v>
      </c>
      <c r="I5" s="852">
        <f>ROUND(E31/D31,2)</f>
        <v>11.26</v>
      </c>
      <c r="J5" s="2656"/>
      <c r="K5" s="2656"/>
      <c r="L5" s="2656"/>
      <c r="M5" s="2656"/>
      <c r="N5" s="2656"/>
      <c r="O5" s="2656"/>
      <c r="P5" s="2656"/>
    </row>
    <row r="6" spans="1:16" ht="15" thickBot="1">
      <c r="A6" s="1641"/>
      <c r="B6" s="3742" t="s">
        <v>1111</v>
      </c>
      <c r="C6" s="3742"/>
      <c r="D6" s="45">
        <f>ROUND($D$3*E6/$E$3,2)</f>
        <v>1066.21</v>
      </c>
      <c r="E6" s="46">
        <f>E3-E5</f>
        <v>12000.23</v>
      </c>
      <c r="F6" s="2656"/>
      <c r="G6" s="2650" t="s">
        <v>1112</v>
      </c>
      <c r="H6" s="1143" t="s">
        <v>1113</v>
      </c>
      <c r="I6" s="2651">
        <f>ROUND(F31/D31,2)</f>
        <v>9.17</v>
      </c>
      <c r="J6" s="2656"/>
      <c r="K6" s="2656"/>
      <c r="L6" s="2656"/>
      <c r="M6" s="2656"/>
      <c r="N6" s="2656"/>
      <c r="O6" s="2656"/>
      <c r="P6" s="2656"/>
    </row>
    <row r="7" spans="1:16" ht="15.75" thickBot="1">
      <c r="A7" s="3734"/>
      <c r="B7" s="3735"/>
      <c r="C7" s="3736"/>
      <c r="D7" s="1638" t="s">
        <v>1107</v>
      </c>
      <c r="E7" s="1642"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868.58</v>
      </c>
      <c r="E8" s="48">
        <f>SUMIF('数据-基础表'!BB10:BK10,"地上",'数据-基础表'!BB5:BK5)</f>
        <v>9775.8700000000008</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197.63</v>
      </c>
      <c r="E11" s="48">
        <f>SUMPRODUCT(('数据-基础表'!BB10:BK10="地下")*('数据-基础表'!BB11:BK11="办公")*('数据-基础表'!BB5:BK5))+'数据-基础表'!BP5</f>
        <v>2224.3599999999997</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1066.21</v>
      </c>
      <c r="E16" s="50">
        <f>SUM(E8:E15)</f>
        <v>12000.23</v>
      </c>
      <c r="F16" s="2656"/>
      <c r="G16" s="2657"/>
      <c r="H16" s="1645" t="s">
        <v>1135</v>
      </c>
      <c r="I16" s="1646"/>
      <c r="J16" s="1136"/>
      <c r="K16" s="3731" t="s">
        <v>1135</v>
      </c>
      <c r="L16" s="3732"/>
      <c r="M16" s="3732"/>
      <c r="N16" s="3732"/>
      <c r="O16" s="3732"/>
      <c r="P16" s="3733"/>
    </row>
    <row r="17" spans="1:19" ht="15">
      <c r="A17" s="1647" t="s">
        <v>1136</v>
      </c>
      <c r="B17" s="1648" t="s">
        <v>1137</v>
      </c>
      <c r="C17" s="1649" t="s">
        <v>1138</v>
      </c>
      <c r="D17" s="1650" t="s">
        <v>1126</v>
      </c>
      <c r="E17" s="1651" t="s">
        <v>1127</v>
      </c>
      <c r="F17" s="1652"/>
      <c r="G17" s="1653"/>
      <c r="H17" s="1654" t="s">
        <v>1139</v>
      </c>
      <c r="I17" s="1655" t="s">
        <v>1124</v>
      </c>
      <c r="J17" s="1136"/>
      <c r="K17" s="3728" t="s">
        <v>1140</v>
      </c>
      <c r="L17" s="3729"/>
      <c r="M17" s="3730"/>
      <c r="N17" s="3728" t="s">
        <v>1141</v>
      </c>
      <c r="O17" s="3729"/>
      <c r="P17" s="3730"/>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5" t="s">
        <v>3415</v>
      </c>
      <c r="D19" s="45">
        <f>ROUND($D$3*E19/$E$3,2)</f>
        <v>1066.21</v>
      </c>
      <c r="E19" s="53">
        <f t="shared" ref="E19:E26" si="1">SUM(F19:G19)</f>
        <v>12000.23</v>
      </c>
      <c r="F19" s="2792">
        <f>'数据-基础表'!I5</f>
        <v>9775.8700000000008</v>
      </c>
      <c r="G19" s="2793">
        <f>'数据-基础表'!K5</f>
        <v>2224.3599999999997</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1066.21</v>
      </c>
      <c r="S19" s="1024">
        <f t="shared" si="5"/>
        <v>12000.23</v>
      </c>
    </row>
    <row r="20" spans="1:19">
      <c r="A20" s="1667"/>
      <c r="B20" s="47" t="s">
        <v>1153</v>
      </c>
      <c r="C20" s="3415"/>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5"/>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6"/>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6"/>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6"/>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6"/>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1066.21</v>
      </c>
      <c r="E27" s="1138">
        <f>IF(SUM(E19:E26)='数据-基础表'!BA5,SUM(E19:E26),IF(F27="地上面积有误","面积有误","地下面积有误"))</f>
        <v>12000.23</v>
      </c>
      <c r="F27" s="1137">
        <f>IF(SUM(F19:F26)=E8,SUM(F19:F26),"地上面积有误")</f>
        <v>9775.8700000000008</v>
      </c>
      <c r="G27" s="1139">
        <f>SUM(G19:G26)</f>
        <v>2224.3599999999997</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1066.21</v>
      </c>
      <c r="S27" s="1023">
        <f>IF(SUM(S19:S26)=$E$3,SUM(S19:S26),SUM(S19:S26)&amp;"误差"&amp;ROUND(SUM(S19:S26)-E3,2))</f>
        <v>12000.23</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1158</v>
      </c>
      <c r="D31" s="673">
        <f>D27+D30</f>
        <v>1066.21</v>
      </c>
      <c r="E31" s="673">
        <f>E27+E30</f>
        <v>12000.23</v>
      </c>
      <c r="F31" s="674">
        <f>F27+F30</f>
        <v>9775.8700000000008</v>
      </c>
      <c r="G31" s="675">
        <f>G27+G30</f>
        <v>2224.3599999999997</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6">
      <c r="D33" s="1675"/>
    </row>
    <row r="36" spans="4:6">
      <c r="F36" s="1635">
        <f>G31/E31</f>
        <v>0.18535978060420508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14"/>
  <sheetViews>
    <sheetView topLeftCell="A2" workbookViewId="0">
      <selection activeCell="H32" sqref="H32"/>
    </sheetView>
  </sheetViews>
  <sheetFormatPr defaultColWidth="9" defaultRowHeight="12"/>
  <cols>
    <col min="1" max="16384" width="9" style="3448"/>
  </cols>
  <sheetData>
    <row r="2" spans="2:7">
      <c r="B2" s="3448" t="s">
        <v>3417</v>
      </c>
      <c r="C2" s="3448" t="s">
        <v>3425</v>
      </c>
      <c r="D2" s="3448" t="s">
        <v>3428</v>
      </c>
      <c r="E2" s="3448" t="s">
        <v>3442</v>
      </c>
    </row>
    <row r="3" spans="2:7">
      <c r="B3" s="3448" t="s">
        <v>3426</v>
      </c>
      <c r="C3" s="3448">
        <v>1470.73</v>
      </c>
      <c r="D3" s="3448" t="s">
        <v>3429</v>
      </c>
      <c r="E3" s="3448">
        <v>11</v>
      </c>
      <c r="G3" s="3448">
        <v>55000</v>
      </c>
    </row>
    <row r="4" spans="2:7">
      <c r="B4" s="3448" t="s">
        <v>3427</v>
      </c>
      <c r="C4" s="3448">
        <v>1433.88</v>
      </c>
      <c r="D4" s="3448" t="s">
        <v>3430</v>
      </c>
      <c r="E4" s="3448">
        <v>6</v>
      </c>
      <c r="G4" s="3448">
        <v>35000</v>
      </c>
    </row>
    <row r="5" spans="2:7">
      <c r="B5" s="3448" t="s">
        <v>3418</v>
      </c>
      <c r="C5" s="3448">
        <v>1603.4</v>
      </c>
      <c r="D5" s="3448" t="s">
        <v>3430</v>
      </c>
      <c r="E5" s="3448">
        <f>E4</f>
        <v>6</v>
      </c>
      <c r="G5" s="3448">
        <f>G4</f>
        <v>35000</v>
      </c>
    </row>
    <row r="6" spans="2:7">
      <c r="B6" s="3448" t="s">
        <v>3419</v>
      </c>
      <c r="C6" s="3448">
        <v>1368.47</v>
      </c>
      <c r="D6" s="3448" t="s">
        <v>3430</v>
      </c>
      <c r="E6" s="3448">
        <f t="shared" ref="E6:E8" si="0">E5</f>
        <v>6</v>
      </c>
      <c r="G6" s="3448">
        <f>G5</f>
        <v>35000</v>
      </c>
    </row>
    <row r="7" spans="2:7">
      <c r="B7" s="3448" t="s">
        <v>3420</v>
      </c>
      <c r="C7" s="3448">
        <v>3105.94</v>
      </c>
      <c r="D7" s="3448" t="s">
        <v>3430</v>
      </c>
      <c r="E7" s="3448">
        <f t="shared" si="0"/>
        <v>6</v>
      </c>
      <c r="G7" s="3448">
        <f t="shared" ref="G7:G8" si="1">G6</f>
        <v>35000</v>
      </c>
    </row>
    <row r="8" spans="2:7">
      <c r="B8" s="3448" t="s">
        <v>3421</v>
      </c>
      <c r="C8" s="3448">
        <v>793.45</v>
      </c>
      <c r="D8" s="3448" t="s">
        <v>3430</v>
      </c>
      <c r="E8" s="3448">
        <f t="shared" si="0"/>
        <v>6</v>
      </c>
      <c r="G8" s="3448">
        <f t="shared" si="1"/>
        <v>35000</v>
      </c>
    </row>
    <row r="9" spans="2:7">
      <c r="B9" s="3448" t="s">
        <v>3422</v>
      </c>
      <c r="C9" s="3448">
        <v>826.61</v>
      </c>
      <c r="D9" s="3448" t="s">
        <v>3429</v>
      </c>
      <c r="E9" s="3448">
        <v>5</v>
      </c>
      <c r="G9" s="3448">
        <v>20000</v>
      </c>
    </row>
    <row r="10" spans="2:7">
      <c r="B10" s="3448" t="s">
        <v>3423</v>
      </c>
      <c r="C10" s="3448">
        <v>917.51</v>
      </c>
      <c r="D10" s="3448" t="s">
        <v>3431</v>
      </c>
      <c r="E10" s="3448">
        <v>0.8</v>
      </c>
      <c r="G10" s="3448">
        <v>8000</v>
      </c>
    </row>
    <row r="11" spans="2:7">
      <c r="B11" s="3448" t="s">
        <v>3424</v>
      </c>
      <c r="C11" s="3448">
        <v>480.24</v>
      </c>
      <c r="D11" s="3448" t="s">
        <v>3432</v>
      </c>
      <c r="E11" s="3448">
        <v>2</v>
      </c>
      <c r="G11" s="3448">
        <v>15000</v>
      </c>
    </row>
    <row r="12" spans="2:7">
      <c r="C12" s="3448">
        <f>SUM(C3:C11)</f>
        <v>12000.230000000001</v>
      </c>
      <c r="E12" s="3448">
        <f>ROUND((C3*E3+C4*E4+C5*E5+C6*E6+C7*E7+C8*E8+C9*E9+C10*E10+C11*E11)/C12,1)</f>
        <v>6</v>
      </c>
      <c r="G12" s="3448">
        <f>(C3*G3+C4*G4+C5*G5+C6*G6+C7*G7+C8*G8+C9*G9+C10*G10+C11*G11)/C12</f>
        <v>33553.184397299046</v>
      </c>
    </row>
    <row r="13" spans="2:7">
      <c r="E13" s="3448">
        <f>E12/E3</f>
        <v>0.54545454545454541</v>
      </c>
      <c r="G13" s="3448">
        <f>G12*'数据-汇总表'!E3/10000</f>
        <v>40264.592999999993</v>
      </c>
    </row>
    <row r="14" spans="2:7">
      <c r="E14" s="3448">
        <f ca="1">结果表!G20/面积明细!E13</f>
        <v>67690.333333333343</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O27" sqref="O27:O2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44937</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3379</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IF(B6="","",SUMIF(项目基本情况!C$12:H$12,C6,项目基本情况!C$13:H$13))</f>
        <v>52610</v>
      </c>
      <c r="F6" s="64">
        <f>SUMIF(项目基本情况!C$12:I$12,C6,项目基本情况!C$15:I$15)</f>
        <v>21.02</v>
      </c>
      <c r="G6" s="65">
        <f>IF(ISERROR(ROUND(POWER(1+H6,D6-F6)*(POWER(1+H6,F6)-1)/(POWER(1+H6,D6)-1),3)),0,ROUND(POWER(1+H6,D6-F6)*(POWER(1+H6,F6)-1)/(POWER(1+H6,D6)-1),3))</f>
        <v>0.70299999999999996</v>
      </c>
      <c r="H6" s="729">
        <v>0.05</v>
      </c>
      <c r="I6" s="729">
        <v>5.5E-2</v>
      </c>
      <c r="J6" s="66">
        <v>7.0000000000000007E-2</v>
      </c>
      <c r="K6" s="1027">
        <f>SUMIF('数据-汇总表'!C$19:C$33,A6,'数据-汇总表'!E$19:E$33)</f>
        <v>12000.23</v>
      </c>
      <c r="L6" s="3639">
        <v>4800</v>
      </c>
      <c r="M6" s="67">
        <f t="shared" ref="M6:M14" si="0">ROUND(K6*L6/10000,0)</f>
        <v>5760</v>
      </c>
      <c r="N6" s="728">
        <f>N20</f>
        <v>0.73</v>
      </c>
      <c r="O6" s="67" t="str">
        <f>IF($N$5="成新度","——",ROUND(M6*N6,0))</f>
        <v>——</v>
      </c>
      <c r="P6" s="68" t="str">
        <f>IF($N$5="成新度","——",M6-O6)</f>
        <v>——</v>
      </c>
      <c r="Q6" s="3648">
        <v>0.2</v>
      </c>
      <c r="R6" s="69">
        <f ca="1">SUMIF('数据-汇总表'!C$19:C$33,A6,'数据-汇总表'!R$19:R$27)</f>
        <v>1066.21</v>
      </c>
      <c r="S6" s="51">
        <f>IF('数据-汇总表'!$I$17="按面积比例",SUMIF('数据-汇总表'!C$19:C$33,A6,'数据-汇总表'!K$19:K$33),SUMIF('数据-汇总表'!C$19:C$33,A6,'数据-汇总表'!N$19:N$33))</f>
        <v>0</v>
      </c>
      <c r="T6" s="1169">
        <f>ROUND($L$14*S6/10000,0)</f>
        <v>0</v>
      </c>
      <c r="U6" s="3426">
        <f>面积明细!E12</f>
        <v>6</v>
      </c>
      <c r="V6" s="70">
        <v>0.03</v>
      </c>
      <c r="W6" s="70">
        <v>0.1</v>
      </c>
      <c r="X6" s="1037"/>
      <c r="Y6" s="71">
        <v>0.1</v>
      </c>
      <c r="Z6" s="72"/>
      <c r="AA6" s="66"/>
      <c r="AB6" s="66"/>
      <c r="AC6" s="1037"/>
      <c r="AD6" s="73"/>
      <c r="AE6" s="1038">
        <f ca="1">IF(AN6="",0,SUMIF(INDIRECT("'"&amp;AN6&amp;"'"&amp;"!E:E"),$AE$5,INDIRECT("'"&amp;AN6&amp;"'"&amp;"!F:F")))</f>
        <v>21.02</v>
      </c>
      <c r="AF6" s="1345"/>
      <c r="AG6" s="136">
        <f>IF(AF6="",0,AE6-AF6)</f>
        <v>0</v>
      </c>
      <c r="AH6" s="74"/>
      <c r="AI6" s="76">
        <v>365</v>
      </c>
      <c r="AJ6" s="77"/>
      <c r="AK6" s="78">
        <v>0.01</v>
      </c>
      <c r="AL6" s="79">
        <v>1.5E-3</v>
      </c>
      <c r="AM6" s="80">
        <v>0.01</v>
      </c>
      <c r="AN6" s="1712" t="s">
        <v>3434</v>
      </c>
      <c r="AO6" s="52">
        <f ca="1">SUMIF(INDIRECT("'"&amp;AN6&amp;"'"&amp;"!A:A"),"总价",INDIRECT("'"&amp;AN6&amp;"'"&amp;"!B:B"))</f>
        <v>30155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6"/>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IF(B8="","",SUMIF(项目基本情况!C$12:H$12,C8,项目基本情况!C$13:H$13))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7"/>
      <c r="V8" s="732"/>
      <c r="W8" s="732"/>
      <c r="X8" s="1037"/>
      <c r="Y8" s="71"/>
      <c r="Z8" s="72"/>
      <c r="AA8" s="66"/>
      <c r="AB8" s="66"/>
      <c r="AC8" s="1037"/>
      <c r="AD8" s="73"/>
      <c r="AE8" s="1038">
        <f t="shared" ca="1" si="6"/>
        <v>0</v>
      </c>
      <c r="AF8" s="1345"/>
      <c r="AG8" s="136">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IF(B9="","",SUMIF(项目基本情况!C$12:H$12,C9,项目基本情况!C$13:H$13))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6"/>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IF(B10="","",SUMIF(项目基本情况!C$12:H$12,C10,项目基本情况!C$13:H$13))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6"/>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IF(B11="","",SUMIF(项目基本情况!C$12:H$12,C11,项目基本情况!C$13:H$13))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6"/>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6"/>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8"/>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6"/>
      <c r="AH14" s="1038"/>
      <c r="AI14" s="1354"/>
      <c r="AJ14" s="701"/>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6"/>
      <c r="AH15" s="1038"/>
      <c r="AI15" s="1354"/>
      <c r="AJ15" s="701"/>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0.70299999999999996</v>
      </c>
      <c r="H16" s="90">
        <f>ROUND(SUMPRODUCT(H6:H13,K6:K13)/SUMPRODUCT((H6:H13&gt;0)*(K6:K13)),3)</f>
        <v>0.05</v>
      </c>
      <c r="I16" s="91"/>
      <c r="J16" s="91"/>
      <c r="K16" s="92">
        <f>SUM(K6:K15)</f>
        <v>12000.23</v>
      </c>
      <c r="L16" s="93">
        <f>ROUND(M16*10000/SUM(K6:K14),0)</f>
        <v>4800</v>
      </c>
      <c r="M16" s="93">
        <f>SUM(M6:M14)</f>
        <v>5760</v>
      </c>
      <c r="N16" s="94">
        <f>ROUND(SUMPRODUCT(M6:M14,N6:N14)/M16,3)</f>
        <v>0.73</v>
      </c>
      <c r="O16" s="93">
        <f>SUM(O6:O14)</f>
        <v>0</v>
      </c>
      <c r="P16" s="93">
        <f>SUM(P6:P14)</f>
        <v>0</v>
      </c>
      <c r="Q16" s="95">
        <f>ROUND(SUMPRODUCT(Q6:Q13,K6:K13)/SUMPRODUCT((Q6:Q13&gt;0)*(K6:K13)),2)</f>
        <v>0.2</v>
      </c>
      <c r="R16" s="1031">
        <f ca="1">SUM(R6:R13)</f>
        <v>1066.21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446" t="s">
        <v>3380</v>
      </c>
      <c r="N18" s="2668">
        <f>ROUND(1-(2023-1995)/60,2)</f>
        <v>0.53</v>
      </c>
      <c r="O18" s="2668">
        <v>0.4</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v>0</v>
      </c>
      <c r="C19" s="2796" t="s">
        <v>2305</v>
      </c>
      <c r="D19" s="2673"/>
      <c r="E19" s="2670"/>
      <c r="F19" s="2670"/>
      <c r="G19" s="2670"/>
      <c r="H19" s="2670"/>
      <c r="I19" s="2670"/>
      <c r="J19" s="2670"/>
      <c r="K19" s="2669"/>
      <c r="L19" s="2669"/>
      <c r="M19" s="3446" t="s">
        <v>3745</v>
      </c>
      <c r="N19" s="3640">
        <v>0.86</v>
      </c>
      <c r="O19" s="2668">
        <v>0.6</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3655">
        <v>2.5</v>
      </c>
      <c r="C20" s="2797" t="s">
        <v>2303</v>
      </c>
      <c r="D20" s="2673"/>
      <c r="E20" s="2670"/>
      <c r="F20" s="2670"/>
      <c r="G20" s="2670"/>
      <c r="H20" s="2670"/>
      <c r="I20" s="2670"/>
      <c r="J20" s="2670"/>
      <c r="K20" s="2669"/>
      <c r="L20" s="2669"/>
      <c r="M20" s="3446" t="s">
        <v>3381</v>
      </c>
      <c r="N20" s="2668">
        <f>ROUND(N18*O18+N19*O19,2)</f>
        <v>0.73</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3655">
        <v>2.5</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4">
        <f>B19+B20</f>
        <v>2.5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4">
        <f>B19+B21</f>
        <v>2.5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5">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6"/>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09">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1">
        <f ca="1">成本法!C10</f>
        <v>240</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0">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3645">
        <v>0.05</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2">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09">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3">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3646">
        <v>0.03</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3647">
        <v>0.03</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5">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3382</v>
      </c>
      <c r="B40" s="1075">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4">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5">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6">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7">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5">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5">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18"/>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19">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5">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0">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1">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2">
        <f>SUMIF(A54:A63,B53,B54:B63)</f>
        <v>18</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296</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3"/>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743" t="s">
        <v>2286</v>
      </c>
      <c r="B1" s="3744"/>
      <c r="C1" s="3744"/>
      <c r="D1" s="3744"/>
      <c r="E1" s="3744"/>
      <c r="F1" s="3744"/>
      <c r="G1" s="374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6"/>
      <c r="I2" s="796"/>
      <c r="J2" s="796"/>
      <c r="K2" s="796"/>
      <c r="L2" s="796"/>
      <c r="M2" s="796"/>
      <c r="N2" s="796"/>
      <c r="O2" s="796"/>
      <c r="P2" s="796"/>
      <c r="Q2" s="796"/>
      <c r="R2" s="796"/>
    </row>
    <row r="3" spans="1:29" ht="48">
      <c r="A3" s="2438" t="s">
        <v>2283</v>
      </c>
      <c r="B3" s="2460" t="s">
        <v>2252</v>
      </c>
      <c r="C3" s="2461" t="s">
        <v>2284</v>
      </c>
      <c r="D3" s="2462"/>
      <c r="E3" s="2439" t="s">
        <v>2283</v>
      </c>
      <c r="F3" s="2463" t="s">
        <v>2253</v>
      </c>
      <c r="G3" s="2464" t="s">
        <v>2285</v>
      </c>
      <c r="H3" s="796"/>
      <c r="I3" s="796"/>
      <c r="J3" s="796"/>
      <c r="K3" s="796"/>
      <c r="L3" s="796"/>
      <c r="M3" s="796"/>
      <c r="N3" s="796"/>
      <c r="O3" s="796"/>
      <c r="P3" s="796"/>
      <c r="Q3" s="796"/>
      <c r="R3" s="796"/>
    </row>
    <row r="4" spans="1:29" ht="36.75">
      <c r="A4" s="2439"/>
      <c r="B4" s="321" t="s">
        <v>2254</v>
      </c>
      <c r="C4" s="2465" t="s">
        <v>2255</v>
      </c>
      <c r="D4" s="2462"/>
      <c r="E4" s="2466"/>
      <c r="F4" s="1370" t="s">
        <v>2256</v>
      </c>
      <c r="G4" s="2467" t="s">
        <v>2257</v>
      </c>
      <c r="H4" s="796"/>
      <c r="I4" s="796"/>
      <c r="J4" s="796"/>
      <c r="K4" s="796"/>
      <c r="L4" s="796"/>
      <c r="M4" s="796"/>
      <c r="N4" s="796"/>
      <c r="O4" s="796"/>
      <c r="P4" s="796"/>
      <c r="Q4" s="796"/>
      <c r="R4" s="796"/>
    </row>
    <row r="5" spans="1:29" ht="36.75">
      <c r="A5" s="2439"/>
      <c r="B5" s="321" t="s">
        <v>2258</v>
      </c>
      <c r="C5" s="2465" t="s">
        <v>2259</v>
      </c>
      <c r="D5" s="2462"/>
      <c r="E5" s="2466"/>
      <c r="F5" s="321" t="s">
        <v>2260</v>
      </c>
      <c r="G5" s="2467" t="s">
        <v>2261</v>
      </c>
      <c r="H5" s="796"/>
      <c r="I5" s="796"/>
      <c r="J5" s="796"/>
      <c r="K5" s="796"/>
      <c r="L5" s="796"/>
      <c r="M5" s="796"/>
      <c r="N5" s="796"/>
      <c r="O5" s="796"/>
      <c r="P5" s="796"/>
      <c r="Q5" s="796"/>
      <c r="R5" s="796"/>
    </row>
    <row r="6" spans="1:29" ht="36">
      <c r="A6" s="2439"/>
      <c r="B6" s="321" t="s">
        <v>2262</v>
      </c>
      <c r="C6" s="2467" t="s">
        <v>2257</v>
      </c>
      <c r="D6" s="2462"/>
      <c r="E6" s="2466"/>
      <c r="F6" s="321" t="s">
        <v>2263</v>
      </c>
      <c r="G6" s="2467" t="s">
        <v>2264</v>
      </c>
      <c r="H6" s="796"/>
      <c r="I6" s="796"/>
      <c r="J6" s="796"/>
      <c r="K6" s="796"/>
      <c r="L6" s="796"/>
      <c r="M6" s="796"/>
      <c r="N6" s="796"/>
      <c r="O6" s="796"/>
      <c r="P6" s="796"/>
      <c r="Q6" s="796"/>
      <c r="R6" s="796"/>
    </row>
    <row r="7" spans="1:29" ht="24.75" thickBot="1">
      <c r="A7" s="2439"/>
      <c r="B7" s="321" t="s">
        <v>2260</v>
      </c>
      <c r="C7" s="2467" t="s">
        <v>2261</v>
      </c>
      <c r="D7" s="2468"/>
      <c r="E7" s="2469"/>
      <c r="F7" s="2470" t="s">
        <v>2265</v>
      </c>
      <c r="G7" s="2471" t="s">
        <v>2266</v>
      </c>
      <c r="H7" s="796"/>
      <c r="I7" s="796"/>
      <c r="J7" s="796"/>
      <c r="K7" s="796"/>
      <c r="L7" s="796"/>
      <c r="M7" s="796"/>
      <c r="N7" s="796"/>
      <c r="O7" s="796"/>
      <c r="P7" s="796"/>
      <c r="Q7" s="796"/>
      <c r="R7" s="796"/>
    </row>
    <row r="8" spans="1:29">
      <c r="A8" s="2439"/>
      <c r="B8" s="321" t="s">
        <v>2263</v>
      </c>
      <c r="C8" s="2467" t="s">
        <v>2264</v>
      </c>
      <c r="D8" s="2468"/>
      <c r="E8" s="2468"/>
      <c r="F8" s="2472"/>
      <c r="G8" s="2472"/>
      <c r="H8" s="796"/>
      <c r="I8" s="796"/>
      <c r="J8" s="796"/>
      <c r="K8" s="796"/>
      <c r="L8" s="796"/>
      <c r="M8" s="796"/>
      <c r="N8" s="796"/>
      <c r="O8" s="796"/>
      <c r="P8" s="796"/>
      <c r="Q8" s="796"/>
      <c r="R8" s="796"/>
    </row>
    <row r="9" spans="1:29" ht="24">
      <c r="A9" s="2439"/>
      <c r="B9" s="321" t="s">
        <v>2267</v>
      </c>
      <c r="C9" s="2465" t="s">
        <v>2268</v>
      </c>
      <c r="D9" s="2462"/>
      <c r="E9" s="2468"/>
      <c r="F9" s="2472"/>
      <c r="G9" s="2472"/>
      <c r="H9" s="796"/>
      <c r="I9" s="796"/>
      <c r="J9" s="796"/>
      <c r="K9" s="796"/>
      <c r="L9" s="796"/>
      <c r="M9" s="796"/>
      <c r="N9" s="796"/>
      <c r="O9" s="796"/>
      <c r="P9" s="796"/>
      <c r="Q9" s="796"/>
      <c r="R9" s="796"/>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1"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1" t="s">
        <v>2263</v>
      </c>
      <c r="G20" s="2500" t="str">
        <f>G6</f>
        <v>估价对象所在区域基础设施水平</v>
      </c>
    </row>
    <row r="21" spans="1:18" ht="25.5">
      <c r="A21" s="2443"/>
      <c r="B21" s="321" t="s">
        <v>2260</v>
      </c>
      <c r="C21" s="2500" t="str">
        <f>C7</f>
        <v>估价对象所在区域公共配套设施齐备情况</v>
      </c>
      <c r="D21" s="2462"/>
      <c r="E21" s="2444"/>
      <c r="F21" s="2499" t="s">
        <v>2278</v>
      </c>
      <c r="G21" s="2502"/>
    </row>
    <row r="22" spans="1:18" ht="13.5" customHeight="1">
      <c r="A22" s="2443"/>
      <c r="B22" s="321" t="s">
        <v>2263</v>
      </c>
      <c r="C22" s="2500" t="str">
        <f>C8</f>
        <v>估价对象所在区域基础设施水平</v>
      </c>
      <c r="D22" s="2462"/>
      <c r="E22" s="2444"/>
      <c r="F22" s="2499" t="s">
        <v>2269</v>
      </c>
      <c r="G22" s="2501"/>
    </row>
    <row r="23" spans="1:18" s="796" customFormat="1" ht="15" thickBot="1">
      <c r="A23" s="2443"/>
      <c r="B23" s="2499" t="s">
        <v>2278</v>
      </c>
      <c r="C23" s="2502"/>
      <c r="D23" s="1738"/>
      <c r="E23" s="2445"/>
      <c r="F23" s="2503" t="s">
        <v>2279</v>
      </c>
      <c r="G23" s="2504"/>
      <c r="H23" s="2488"/>
      <c r="I23" s="2489"/>
      <c r="J23" s="2488"/>
      <c r="K23" s="2488"/>
      <c r="L23" s="2489"/>
      <c r="M23" s="2488"/>
      <c r="N23" s="2488"/>
      <c r="O23" s="2489"/>
      <c r="P23" s="2488"/>
      <c r="Q23" s="2488"/>
      <c r="R23" s="2490"/>
    </row>
    <row r="24" spans="1:18" s="796" customFormat="1" ht="15" thickBot="1">
      <c r="A24" s="2446"/>
      <c r="B24" s="2503" t="s">
        <v>2280</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12000.23</v>
      </c>
      <c r="C1" s="2683"/>
      <c r="D1" s="2683"/>
      <c r="E1" s="2683"/>
      <c r="F1" s="2683"/>
      <c r="G1" s="2684"/>
      <c r="H1" s="2685"/>
      <c r="I1" s="2685"/>
      <c r="J1" s="2685"/>
      <c r="K1" s="2685"/>
    </row>
    <row r="2" spans="1:11" ht="16.5">
      <c r="A2" s="2509" t="s">
        <v>653</v>
      </c>
      <c r="B2" s="2509">
        <f>SUM(C14:C23)</f>
        <v>1066.21</v>
      </c>
      <c r="C2" s="2683"/>
      <c r="D2" s="2683"/>
      <c r="E2" s="2683"/>
      <c r="F2" s="2683"/>
      <c r="G2" s="2684"/>
      <c r="H2" s="2685"/>
      <c r="I2" s="2685"/>
      <c r="J2" s="2685"/>
      <c r="K2" s="2685"/>
    </row>
    <row r="3" spans="1:11" ht="16.5">
      <c r="A3" s="2509" t="s">
        <v>662</v>
      </c>
      <c r="B3" s="2511">
        <f>项目基本情况!D3</f>
        <v>44937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44307</v>
      </c>
      <c r="C5" s="2509">
        <f ca="1">IF(B5=D14,结果表!H102,ROUND(B5*10000/$B$1,0))</f>
        <v>36922</v>
      </c>
      <c r="D5" s="2509">
        <f ca="1">ROUND(B5*10000/$B$2,0)</f>
        <v>415556</v>
      </c>
      <c r="E5" s="2683"/>
      <c r="F5" s="2684"/>
      <c r="G5" s="2684"/>
      <c r="H5" s="2685"/>
      <c r="I5" s="2685"/>
      <c r="J5" s="2685"/>
      <c r="K5" s="2685"/>
    </row>
    <row r="6" spans="1:11" ht="16.5">
      <c r="A6" s="2509" t="s">
        <v>656</v>
      </c>
      <c r="B6" s="2509">
        <f ca="1">SUM(G14:G23)</f>
        <v>44307</v>
      </c>
      <c r="C6" s="2509">
        <f ca="1">IF(B6=G14,结果表!H108,ROUND(B6*10000/$B$1,0))</f>
        <v>36922</v>
      </c>
      <c r="D6" s="2509">
        <f ca="1">ROUND(B6*10000/$B$2,0)</f>
        <v>415556</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3365</v>
      </c>
      <c r="D10" s="2509" t="s">
        <v>3366</v>
      </c>
      <c r="E10" s="3439"/>
      <c r="F10" s="3443" t="s">
        <v>3367</v>
      </c>
      <c r="G10" s="3440"/>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12000.23</v>
      </c>
      <c r="C14" s="2515">
        <f>结果表!C118</f>
        <v>1066.21</v>
      </c>
      <c r="D14" s="2515">
        <f ca="1">结果表!H118</f>
        <v>44307</v>
      </c>
      <c r="E14" s="2515">
        <f ca="1">ROUND(D14*10000/B14,0)</f>
        <v>36922</v>
      </c>
      <c r="F14" s="2515">
        <f ca="1">ROUND(D14*10000/C14,0)</f>
        <v>415556</v>
      </c>
      <c r="G14" s="2515">
        <f ca="1">结果表!H118</f>
        <v>44307</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0" zoomScaleNormal="100" zoomScaleSheetLayoutView="80" zoomScalePageLayoutView="80" workbookViewId="0">
      <selection activeCell="I34" sqref="I34"/>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779" t="str">
        <f>项目基本情况!S2</f>
        <v>北京市房地产</v>
      </c>
      <c r="B2" s="3780"/>
      <c r="C2" s="3780"/>
      <c r="D2" s="3780"/>
      <c r="E2" s="3780"/>
      <c r="F2" s="3780"/>
      <c r="G2" s="3780"/>
      <c r="H2" s="3780"/>
      <c r="I2" s="3781"/>
    </row>
    <row r="3" spans="1:12" ht="12.75">
      <c r="A3" s="3783" t="s">
        <v>1264</v>
      </c>
      <c r="B3" s="3784"/>
      <c r="C3" s="3784"/>
      <c r="D3" s="3784"/>
      <c r="E3" s="3784"/>
      <c r="F3" s="3784"/>
      <c r="G3" s="3784"/>
      <c r="H3" s="3784"/>
      <c r="I3" s="3784"/>
    </row>
    <row r="4" spans="1:12" ht="14.25">
      <c r="A4" s="1751" t="s">
        <v>1265</v>
      </c>
      <c r="B4" s="1752" t="s">
        <v>1266</v>
      </c>
      <c r="C4" s="1753" t="s">
        <v>3443</v>
      </c>
      <c r="D4" s="1753" t="s">
        <v>3583</v>
      </c>
      <c r="E4" s="3785" t="s">
        <v>1267</v>
      </c>
      <c r="F4" s="3786"/>
      <c r="G4" s="3786"/>
      <c r="H4" s="3786"/>
      <c r="I4" s="3787"/>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比较法</v>
      </c>
    </row>
    <row r="5" spans="1:12" ht="12.75">
      <c r="A5" s="3759" t="s">
        <v>1268</v>
      </c>
      <c r="B5" s="3746">
        <v>25</v>
      </c>
      <c r="C5" s="3762"/>
      <c r="D5" s="3782"/>
      <c r="E5" s="129" t="s">
        <v>1269</v>
      </c>
      <c r="F5" s="1754"/>
      <c r="G5" s="1754"/>
      <c r="H5" s="1754"/>
      <c r="I5" s="1370"/>
    </row>
    <row r="6" spans="1:12" ht="12.75">
      <c r="A6" s="3759"/>
      <c r="B6" s="3746"/>
      <c r="C6" s="3763"/>
      <c r="D6" s="3782"/>
      <c r="E6" s="129" t="s">
        <v>1270</v>
      </c>
      <c r="F6" s="1754"/>
      <c r="G6" s="1754"/>
      <c r="H6" s="1754"/>
      <c r="I6" s="1370"/>
    </row>
    <row r="7" spans="1:12" ht="12.75">
      <c r="A7" s="3759"/>
      <c r="B7" s="3746"/>
      <c r="C7" s="3764"/>
      <c r="D7" s="3782"/>
      <c r="E7" s="129" t="s">
        <v>1271</v>
      </c>
      <c r="F7" s="1754"/>
      <c r="G7" s="1754"/>
      <c r="H7" s="1754"/>
      <c r="I7" s="1370"/>
    </row>
    <row r="8" spans="1:12" ht="12.75">
      <c r="A8" s="3759" t="s">
        <v>1272</v>
      </c>
      <c r="B8" s="3746">
        <v>15</v>
      </c>
      <c r="C8" s="3762"/>
      <c r="D8" s="3782"/>
      <c r="E8" s="129" t="s">
        <v>1273</v>
      </c>
      <c r="F8" s="1754"/>
      <c r="G8" s="1754"/>
      <c r="H8" s="1754"/>
      <c r="I8" s="1370"/>
    </row>
    <row r="9" spans="1:12" ht="12.75">
      <c r="A9" s="3759"/>
      <c r="B9" s="3746"/>
      <c r="C9" s="3764"/>
      <c r="D9" s="3782"/>
      <c r="E9" s="129" t="s">
        <v>1274</v>
      </c>
      <c r="F9" s="1754"/>
      <c r="G9" s="1754"/>
      <c r="H9" s="1754"/>
      <c r="I9" s="1370"/>
    </row>
    <row r="10" spans="1:12" ht="12.75">
      <c r="A10" s="3759" t="s">
        <v>1275</v>
      </c>
      <c r="B10" s="3746">
        <v>15</v>
      </c>
      <c r="C10" s="3762"/>
      <c r="D10" s="3782"/>
      <c r="E10" s="129" t="s">
        <v>1276</v>
      </c>
      <c r="F10" s="1754"/>
      <c r="G10" s="1754"/>
      <c r="H10" s="1754"/>
      <c r="I10" s="1370"/>
    </row>
    <row r="11" spans="1:12" ht="12.75">
      <c r="A11" s="3759"/>
      <c r="B11" s="3746"/>
      <c r="C11" s="3764"/>
      <c r="D11" s="3782"/>
      <c r="E11" s="129" t="s">
        <v>1277</v>
      </c>
      <c r="F11" s="1754"/>
      <c r="G11" s="1754"/>
      <c r="H11" s="1754"/>
      <c r="I11" s="1370"/>
    </row>
    <row r="12" spans="1:12" ht="12.75">
      <c r="A12" s="3759" t="s">
        <v>1278</v>
      </c>
      <c r="B12" s="3746">
        <v>15</v>
      </c>
      <c r="C12" s="3762"/>
      <c r="D12" s="3782"/>
      <c r="E12" s="129" t="s">
        <v>1279</v>
      </c>
      <c r="F12" s="1754"/>
      <c r="G12" s="1754"/>
      <c r="H12" s="1754"/>
      <c r="I12" s="1370"/>
    </row>
    <row r="13" spans="1:12" ht="12.75">
      <c r="A13" s="3759"/>
      <c r="B13" s="3746"/>
      <c r="C13" s="3764"/>
      <c r="D13" s="3782"/>
      <c r="E13" s="129" t="s">
        <v>1280</v>
      </c>
      <c r="F13" s="1754"/>
      <c r="G13" s="1754"/>
      <c r="H13" s="1754"/>
      <c r="I13" s="1370"/>
    </row>
    <row r="14" spans="1:12" ht="12.75">
      <c r="A14" s="3759" t="s">
        <v>1281</v>
      </c>
      <c r="B14" s="3746">
        <v>30</v>
      </c>
      <c r="C14" s="3762">
        <v>5</v>
      </c>
      <c r="D14" s="3782">
        <v>5</v>
      </c>
      <c r="E14" s="129" t="s">
        <v>1282</v>
      </c>
      <c r="F14" s="1754"/>
      <c r="G14" s="1754"/>
      <c r="H14" s="1754"/>
      <c r="I14" s="1370"/>
    </row>
    <row r="15" spans="1:12" ht="12.75">
      <c r="A15" s="3759"/>
      <c r="B15" s="3746"/>
      <c r="C15" s="3763"/>
      <c r="D15" s="3782"/>
      <c r="E15" s="129" t="s">
        <v>1283</v>
      </c>
      <c r="F15" s="1754"/>
      <c r="G15" s="1754"/>
      <c r="H15" s="1754"/>
      <c r="I15" s="1370"/>
    </row>
    <row r="16" spans="1:12" ht="12.75">
      <c r="A16" s="3759"/>
      <c r="B16" s="3746"/>
      <c r="C16" s="3764"/>
      <c r="D16" s="3782"/>
      <c r="E16" s="129" t="s">
        <v>1284</v>
      </c>
      <c r="F16" s="1754"/>
      <c r="G16" s="1754"/>
      <c r="H16" s="1754"/>
      <c r="I16" s="1370"/>
    </row>
    <row r="17" spans="1:36" ht="15">
      <c r="A17" s="1755" t="s">
        <v>1285</v>
      </c>
      <c r="B17" s="56"/>
      <c r="C17" s="130">
        <f>SUM(C5:C16)</f>
        <v>5</v>
      </c>
      <c r="D17" s="130">
        <f>SUM(D5:D16)</f>
        <v>5</v>
      </c>
      <c r="E17" s="127"/>
      <c r="F17" s="127"/>
      <c r="G17" s="127"/>
      <c r="H17" s="127"/>
      <c r="I17" s="127"/>
      <c r="K17" s="300"/>
      <c r="L17" s="300" t="s">
        <v>1286</v>
      </c>
      <c r="M17" s="300" t="s">
        <v>1287</v>
      </c>
    </row>
    <row r="18" spans="1:36" ht="31.9" customHeight="1" thickBot="1">
      <c r="A18" s="1756" t="s">
        <v>1288</v>
      </c>
      <c r="B18" s="1757"/>
      <c r="C18" s="131">
        <f>ROUND(C17/SUM(C17:D17),2)</f>
        <v>0.5</v>
      </c>
      <c r="D18" s="131">
        <f>1-C18</f>
        <v>0.5</v>
      </c>
      <c r="E18" s="3769" t="s">
        <v>2131</v>
      </c>
      <c r="F18" s="3770"/>
      <c r="G18" s="3770"/>
      <c r="H18" s="3770"/>
      <c r="I18" s="3770"/>
      <c r="J18" s="127" t="s">
        <v>3444</v>
      </c>
      <c r="K18" s="300" t="s">
        <v>1289</v>
      </c>
      <c r="L18" s="300">
        <f>IF(C1="",'数据-汇总表'!E3,SUMIF(项目类型,C1,'数据-汇总表'!E17:E26)+SUMIF(项目类型,C1,'数据-汇总表'!I17:I26))</f>
        <v>12000.23</v>
      </c>
      <c r="M18" s="300">
        <f>IF(C1="",'数据-汇总表'!E3,SUMIF(项目类型,C1,'数据-汇总表'!E17:E26))</f>
        <v>12000.23</v>
      </c>
    </row>
    <row r="19" spans="1:36" ht="15">
      <c r="A19" s="1758" t="s">
        <v>1290</v>
      </c>
      <c r="B19" s="1759" t="s">
        <v>1291</v>
      </c>
      <c r="C19" s="132">
        <f ca="1">SUMIF(INDIRECT("'"&amp;C4&amp;"'"&amp;"!A:A"),结果表!B19,INDIRECT("'"&amp;C4&amp;"'"&amp;"!B:B"))</f>
        <v>40084</v>
      </c>
      <c r="D19" s="133">
        <f ca="1">SUMIF(INDIRECT("'"&amp;D4&amp;"'"&amp;"!A:A"),结果表!B19,INDIRECT("'"&amp;D4&amp;"'"&amp;"!B:B"))</f>
        <v>48530</v>
      </c>
      <c r="E19" s="1758" t="s">
        <v>1292</v>
      </c>
      <c r="F19" s="1759" t="s">
        <v>1291</v>
      </c>
      <c r="G19" s="134">
        <f ca="1">ROUND(C19*$C$18+D19*$D$18,0)</f>
        <v>44307</v>
      </c>
      <c r="H19" s="1760" t="s">
        <v>1293</v>
      </c>
      <c r="I19" s="127"/>
      <c r="J19" s="722">
        <v>41649</v>
      </c>
      <c r="K19" s="300" t="s">
        <v>1294</v>
      </c>
      <c r="L19" s="300">
        <f>IF(C1="",'数据-汇总表'!D3,SUMIF(项目类型,C1,'数据-汇总表'!D17:D26)+SUMIF(项目类型,C1,'数据-汇总表'!H17:H27))</f>
        <v>1066.21</v>
      </c>
      <c r="M19" s="300">
        <f>IF(C1="",'数据-汇总表'!D3,SUMIF(项目类型,C1,'数据-汇总表'!D17:D26))</f>
        <v>1066.21</v>
      </c>
    </row>
    <row r="20" spans="1:36" ht="15">
      <c r="A20" s="1761"/>
      <c r="B20" s="1023" t="s">
        <v>1295</v>
      </c>
      <c r="C20" s="135">
        <f ca="1">SUMIF(INDIRECT("'"&amp;C4&amp;"'"&amp;"!A:A"),结果表!B20,INDIRECT("'"&amp;C4&amp;"'"&amp;"!B:B"))</f>
        <v>33403</v>
      </c>
      <c r="D20" s="3476">
        <f>'比较法-办公'!F3</f>
        <v>40441</v>
      </c>
      <c r="E20" s="1761"/>
      <c r="F20" s="1023" t="s">
        <v>1295</v>
      </c>
      <c r="G20" s="137">
        <f ca="1">ROUND(C20*$C$18+D20*$D$18,0)</f>
        <v>36922</v>
      </c>
      <c r="H20" s="805" t="s">
        <v>1296</v>
      </c>
      <c r="I20" s="127"/>
      <c r="J20" s="722">
        <v>34707</v>
      </c>
    </row>
    <row r="21" spans="1:36" ht="15" customHeight="1" thickBot="1">
      <c r="A21" s="825"/>
      <c r="B21" s="1762" t="s">
        <v>1297</v>
      </c>
      <c r="C21" s="716">
        <f ca="1">ROUND(C19*10000/L19,0)</f>
        <v>375948</v>
      </c>
      <c r="D21" s="717">
        <f ca="1">ROUND(D19*10000/L19,0)</f>
        <v>455164</v>
      </c>
      <c r="E21" s="825"/>
      <c r="F21" s="1762" t="s">
        <v>1297</v>
      </c>
      <c r="G21" s="138">
        <f ca="1">ROUND(G19*10000/L19,0)</f>
        <v>415556</v>
      </c>
      <c r="H21" s="1763" t="s">
        <v>1296</v>
      </c>
      <c r="I21" s="127"/>
    </row>
    <row r="22" spans="1:36" ht="15" thickBot="1">
      <c r="A22" s="1685" t="s">
        <v>1298</v>
      </c>
      <c r="B22" s="1764"/>
      <c r="C22" s="1765"/>
      <c r="D22" s="718">
        <f ca="1">IF(C19&lt;D19,D19/C19-1,C19/D19-1)</f>
        <v>0.21070751422013778</v>
      </c>
      <c r="E22" s="127"/>
      <c r="F22" s="127"/>
      <c r="G22" s="127"/>
      <c r="H22" s="127"/>
      <c r="I22" s="127"/>
    </row>
    <row r="23" spans="1:36" ht="13.5" thickBot="1">
      <c r="A23" s="1744"/>
      <c r="B23" s="1744"/>
      <c r="C23" s="1744"/>
      <c r="D23" s="1744"/>
      <c r="E23" s="127"/>
      <c r="F23" s="127"/>
      <c r="G23" s="127"/>
      <c r="H23" s="127"/>
      <c r="I23" s="127"/>
    </row>
    <row r="24" spans="1:36" ht="14.25">
      <c r="A24" s="3753" t="s">
        <v>1299</v>
      </c>
      <c r="B24" s="1759" t="s">
        <v>1291</v>
      </c>
      <c r="C24" s="134">
        <f>IF(B30=0,0,D30)</f>
        <v>0</v>
      </c>
      <c r="D24" s="1766"/>
      <c r="E24" s="127"/>
      <c r="F24" s="127"/>
      <c r="G24" s="127"/>
      <c r="H24" s="127"/>
      <c r="I24" s="127"/>
    </row>
    <row r="25" spans="1:36" ht="14.25">
      <c r="A25" s="3754"/>
      <c r="B25" s="1023" t="s">
        <v>1295</v>
      </c>
      <c r="C25" s="139">
        <f>IF(B30=0,0,C30)</f>
        <v>0</v>
      </c>
      <c r="D25" s="1767"/>
      <c r="E25" s="127"/>
      <c r="F25" s="127"/>
      <c r="G25" s="127"/>
      <c r="H25" s="127"/>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2132</v>
      </c>
      <c r="F30" s="127"/>
      <c r="G30" s="127"/>
      <c r="H30" s="127"/>
      <c r="I30" s="127"/>
    </row>
    <row r="31" spans="1:36" s="2306" customFormat="1" ht="26.45"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44307</v>
      </c>
      <c r="D32" s="1772" t="s">
        <v>3403</v>
      </c>
      <c r="E32" s="127"/>
      <c r="F32" s="127"/>
      <c r="G32" s="127"/>
      <c r="H32" s="127"/>
      <c r="I32" s="127"/>
    </row>
    <row r="33" spans="1:15" ht="15">
      <c r="A33" s="783" t="s">
        <v>1306</v>
      </c>
      <c r="B33" s="1773"/>
      <c r="C33" s="1774" t="s">
        <v>3404</v>
      </c>
      <c r="D33" s="1775" t="s">
        <v>3443</v>
      </c>
      <c r="E33" s="1776" t="s">
        <v>1307</v>
      </c>
      <c r="F33" s="1777" t="str">
        <f>IF(D32="楼面单价","取值（单价）","取值（总价）")</f>
        <v>取值（总价）</v>
      </c>
      <c r="G33" s="127"/>
      <c r="H33" s="127"/>
      <c r="I33" s="127"/>
    </row>
    <row r="34" spans="1:15" ht="15">
      <c r="A34" s="1778"/>
      <c r="B34" s="1779" t="s">
        <v>1308</v>
      </c>
      <c r="C34" s="146">
        <f ca="1">IF(C33="自定义",F34,C32-C35)</f>
        <v>36996</v>
      </c>
      <c r="D34" s="858">
        <f ca="1">IF(C33="自定义",ROUND(C34/C32,3),IF(C33="收益比率",SUMIF(INDIRECT("'"&amp;D33&amp;"'"&amp;"!b:b"),"土地收益比率",INDIRECT("'"&amp;D33&amp;"'"&amp;"!c:c")),SUMIF(INDIRECT("'"&amp;D33&amp;"'"&amp;"!b:b"),"土地成本比率",INDIRECT("'"&amp;D33&amp;"'"&amp;"!c:c"))))</f>
        <v>0.83499999999999996</v>
      </c>
      <c r="E34" s="1780" t="s">
        <v>1309</v>
      </c>
      <c r="F34" s="1327"/>
      <c r="G34" s="127"/>
      <c r="H34" s="127"/>
      <c r="I34" s="127"/>
    </row>
    <row r="35" spans="1:15" ht="15.75" thickBot="1">
      <c r="A35" s="1781"/>
      <c r="B35" s="1782" t="s">
        <v>1310</v>
      </c>
      <c r="C35" s="1167">
        <f ca="1">IF(C33="自定义",F35,ROUND(C32*D35,0))</f>
        <v>7311</v>
      </c>
      <c r="D35" s="1168">
        <f ca="1">IF(C33="自定义",ROUND(C35/C32,3),IF(C33="收益比率",SUMIF(INDIRECT("'"&amp;D33&amp;"'"&amp;"!b:b"),"建筑物收益比率",INDIRECT("'"&amp;D33&amp;"'"&amp;"!c:c")),SUMIF(INDIRECT("'"&amp;D33&amp;"'"&amp;"!b:b"),"建筑物成本比率",INDIRECT("'"&amp;D33&amp;"'"&amp;"!c:c"))))</f>
        <v>0.16500000000000001</v>
      </c>
      <c r="E35" s="1783" t="s">
        <v>1311</v>
      </c>
      <c r="F35" s="152"/>
      <c r="G35" s="127"/>
      <c r="H35" s="127"/>
      <c r="I35" s="127"/>
    </row>
    <row r="36" spans="1:15" ht="15.75" thickBot="1">
      <c r="A36" s="3773" t="s">
        <v>1312</v>
      </c>
      <c r="B36" s="1784" t="s">
        <v>1313</v>
      </c>
      <c r="C36" s="143"/>
      <c r="D36" s="1785"/>
      <c r="E36" s="1786"/>
      <c r="F36" s="1787"/>
      <c r="G36" s="127"/>
      <c r="H36" s="127"/>
      <c r="I36" s="127"/>
    </row>
    <row r="37" spans="1:15" ht="15.75" thickBot="1">
      <c r="A37" s="3774"/>
      <c r="B37" s="1671" t="s">
        <v>1314</v>
      </c>
      <c r="C37" s="145"/>
      <c r="D37" s="1136"/>
      <c r="E37" s="1136"/>
      <c r="F37" s="1787"/>
      <c r="G37" s="127"/>
      <c r="H37" s="127"/>
      <c r="I37" s="127"/>
    </row>
    <row r="38" spans="1:15" ht="15.75" thickBot="1">
      <c r="A38" s="3775"/>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750" t="s">
        <v>1326</v>
      </c>
      <c r="B45" s="3751"/>
      <c r="C45" s="3752"/>
      <c r="D45" s="153">
        <f ca="1">ROUND(H101*F45,0)</f>
        <v>44307</v>
      </c>
      <c r="E45" s="154" t="s">
        <v>1327</v>
      </c>
      <c r="F45" s="155">
        <v>1</v>
      </c>
      <c r="G45" s="156" t="s">
        <v>1328</v>
      </c>
      <c r="H45" s="127"/>
      <c r="I45" s="127"/>
      <c r="J45" s="3828" t="s">
        <v>1329</v>
      </c>
      <c r="K45" s="3828"/>
      <c r="L45" s="3828"/>
      <c r="M45" s="3828"/>
      <c r="N45" s="3828"/>
      <c r="O45" s="3828"/>
    </row>
    <row r="46" spans="1:15" ht="14.25" customHeight="1">
      <c r="A46" s="3747" t="s">
        <v>1330</v>
      </c>
      <c r="B46" s="3748"/>
      <c r="C46" s="3748"/>
      <c r="D46" s="3748"/>
      <c r="E46" s="3748"/>
      <c r="F46" s="3748"/>
      <c r="G46" s="3749"/>
      <c r="H46" s="1803"/>
      <c r="I46" s="157"/>
      <c r="J46" s="2520">
        <v>1</v>
      </c>
      <c r="K46" s="3809" t="s">
        <v>1331</v>
      </c>
      <c r="L46" s="3809"/>
      <c r="M46" s="3829"/>
      <c r="N46" s="3829"/>
      <c r="O46" s="3829"/>
    </row>
    <row r="47" spans="1:15" ht="12" customHeight="1">
      <c r="A47" s="158" t="s">
        <v>1332</v>
      </c>
      <c r="B47" s="159"/>
      <c r="C47" s="160"/>
      <c r="D47" s="1084" t="s">
        <v>1333</v>
      </c>
      <c r="E47" s="300" t="s">
        <v>1334</v>
      </c>
      <c r="F47" s="161" t="s">
        <v>1335</v>
      </c>
      <c r="G47" s="2543" t="s">
        <v>1336</v>
      </c>
      <c r="H47" s="2544"/>
      <c r="I47" s="157"/>
      <c r="J47" s="2520">
        <v>2</v>
      </c>
      <c r="K47" s="3809" t="s">
        <v>1337</v>
      </c>
      <c r="L47" s="3809"/>
      <c r="M47" s="3830">
        <f>'数据-取费表'!B2</f>
        <v>44937</v>
      </c>
      <c r="N47" s="3830"/>
      <c r="O47" s="3830"/>
    </row>
    <row r="48" spans="1:15" ht="25.5">
      <c r="A48" s="3778" t="s">
        <v>1338</v>
      </c>
      <c r="B48" s="3761"/>
      <c r="C48" s="3761"/>
      <c r="D48" s="2321">
        <f ca="1">IF(H48="情况1",0,IF(H48="情况2",D52,IF(H48="情况3",D53,IF(H48="情况4",D54))))</f>
        <v>900</v>
      </c>
      <c r="E48" s="2331" t="str">
        <f>IF(H48="情况4","(销售额-原购置价)×税（费）率","销售额×税（费）率")</f>
        <v>(销售额-原购置价)×税（费）率</v>
      </c>
      <c r="F48" s="2545">
        <f>IF(H48="情况1","免征",'数据-取费表'!B41)</f>
        <v>5.6000000000000001E-2</v>
      </c>
      <c r="G48" s="2546" t="s">
        <v>1339</v>
      </c>
      <c r="H48" s="2547" t="s">
        <v>3409</v>
      </c>
      <c r="I48" s="1803"/>
      <c r="J48" s="2520">
        <v>3</v>
      </c>
      <c r="K48" s="3809" t="s">
        <v>1340</v>
      </c>
      <c r="L48" s="3809"/>
      <c r="M48" s="3831">
        <f ca="1">H101</f>
        <v>44307</v>
      </c>
      <c r="N48" s="3831"/>
      <c r="O48" s="3831"/>
    </row>
    <row r="49" spans="1:35" ht="25.5" customHeight="1">
      <c r="A49" s="2330" t="s">
        <v>1341</v>
      </c>
      <c r="B49" s="3745" t="s">
        <v>1342</v>
      </c>
      <c r="C49" s="3745"/>
      <c r="D49" s="1587">
        <v>0</v>
      </c>
      <c r="E49" s="322" t="s">
        <v>1343</v>
      </c>
      <c r="F49" s="2421" t="s">
        <v>28</v>
      </c>
      <c r="G49" s="3815"/>
      <c r="H49" s="2307" t="s">
        <v>2134</v>
      </c>
      <c r="I49" s="2308"/>
      <c r="J49" s="2520">
        <v>4</v>
      </c>
      <c r="K49" s="3809" t="str">
        <f>IF(项目基本情况!E8="房地产抵押价值","房地产抵押价值","抵押担保权已注销时的房地产抵押价值")</f>
        <v>房地产抵押价值</v>
      </c>
      <c r="L49" s="3809"/>
      <c r="M49" s="3831">
        <f ca="1">IF(项目基本情况!E8="房地产抵押价值",H107,H109)</f>
        <v>44307</v>
      </c>
      <c r="N49" s="3831"/>
      <c r="O49" s="3831"/>
    </row>
    <row r="50" spans="1:35" ht="25.5" customHeight="1">
      <c r="A50" s="2548"/>
      <c r="B50" s="3745" t="s">
        <v>1344</v>
      </c>
      <c r="C50" s="3745"/>
      <c r="D50" s="2549"/>
      <c r="E50" s="330"/>
      <c r="F50" s="2421"/>
      <c r="G50" s="3816"/>
      <c r="H50" s="2309" t="s">
        <v>2135</v>
      </c>
      <c r="I50" s="2308"/>
      <c r="J50" s="3828" t="s">
        <v>1345</v>
      </c>
      <c r="K50" s="3828"/>
      <c r="L50" s="3828"/>
      <c r="M50" s="3828"/>
      <c r="N50" s="3828"/>
      <c r="O50" s="3828"/>
    </row>
    <row r="51" spans="1:35" ht="20.45" customHeight="1">
      <c r="A51" s="2550"/>
      <c r="B51" s="3745" t="s">
        <v>1346</v>
      </c>
      <c r="C51" s="3745"/>
      <c r="D51" s="1084"/>
      <c r="E51" s="325"/>
      <c r="F51" s="2421"/>
      <c r="G51" s="3817"/>
      <c r="H51" s="2309" t="s">
        <v>2136</v>
      </c>
      <c r="I51" s="2308"/>
      <c r="J51" s="2521" t="s">
        <v>1347</v>
      </c>
      <c r="K51" s="3809" t="s">
        <v>1348</v>
      </c>
      <c r="L51" s="3809"/>
      <c r="M51" s="2521" t="s">
        <v>1349</v>
      </c>
      <c r="N51" s="2521" t="s">
        <v>1350</v>
      </c>
      <c r="O51" s="2521" t="s">
        <v>1351</v>
      </c>
    </row>
    <row r="52" spans="1:35" ht="24" customHeight="1">
      <c r="A52" s="2332" t="s">
        <v>1352</v>
      </c>
      <c r="B52" s="3745" t="s">
        <v>1353</v>
      </c>
      <c r="C52" s="3745"/>
      <c r="D52" s="1084">
        <f ca="1">ROUND(D45*'数据-取费表'!B41/(1+'数据-取费表'!C42),0)</f>
        <v>2363</v>
      </c>
      <c r="E52" s="2331" t="s">
        <v>1354</v>
      </c>
      <c r="F52" s="2551">
        <f>'数据-取费表'!B41</f>
        <v>5.6000000000000001E-2</v>
      </c>
      <c r="G52" s="2552"/>
      <c r="H52" s="2541"/>
      <c r="I52" s="1804"/>
      <c r="J52" s="2520">
        <v>1</v>
      </c>
      <c r="K52" s="3810" t="s">
        <v>1355</v>
      </c>
      <c r="L52" s="3810"/>
      <c r="M52" s="2522">
        <f ca="1">D48</f>
        <v>900</v>
      </c>
      <c r="N52" s="2520" t="str">
        <f>E48</f>
        <v>(销售额-原购置价)×税（费）率</v>
      </c>
      <c r="O52" s="2523">
        <f>F48</f>
        <v>5.6000000000000001E-2</v>
      </c>
    </row>
    <row r="53" spans="1:35" ht="12" customHeight="1">
      <c r="A53" s="2332" t="s">
        <v>1356</v>
      </c>
      <c r="B53" s="3771" t="s">
        <v>2291</v>
      </c>
      <c r="C53" s="3772"/>
      <c r="D53" s="1084">
        <f ca="1">ROUND(D45*'数据-取费表'!B41/(1+'数据-取费表'!C42),0)</f>
        <v>2363</v>
      </c>
      <c r="E53" s="2331" t="s">
        <v>1354</v>
      </c>
      <c r="F53" s="2551">
        <f>'数据-取费表'!B41</f>
        <v>5.6000000000000001E-2</v>
      </c>
      <c r="G53" s="2552"/>
      <c r="H53" s="2541"/>
      <c r="I53" s="1804"/>
      <c r="J53" s="2520">
        <v>2</v>
      </c>
      <c r="K53" s="3810" t="s">
        <v>1357</v>
      </c>
      <c r="L53" s="3810"/>
      <c r="M53" s="2522">
        <f t="shared" ref="M53:O54" ca="1" si="0">D55</f>
        <v>22</v>
      </c>
      <c r="N53" s="2520" t="str">
        <f t="shared" si="0"/>
        <v>销售额×税（费）率</v>
      </c>
      <c r="O53" s="2523">
        <f t="shared" si="0"/>
        <v>5.0000000000000001E-4</v>
      </c>
    </row>
    <row r="54" spans="1:35" ht="12" customHeight="1">
      <c r="A54" s="2332" t="s">
        <v>1358</v>
      </c>
      <c r="B54" s="3771" t="s">
        <v>2292</v>
      </c>
      <c r="C54" s="3772"/>
      <c r="D54" s="1084">
        <f ca="1">C68</f>
        <v>900</v>
      </c>
      <c r="E54" s="325" t="s">
        <v>1359</v>
      </c>
      <c r="F54" s="2551">
        <f>'数据-取费表'!B41</f>
        <v>5.6000000000000001E-2</v>
      </c>
      <c r="G54" s="2552"/>
      <c r="H54" s="2553"/>
      <c r="I54" s="1804"/>
      <c r="J54" s="2520">
        <v>3</v>
      </c>
      <c r="K54" s="3810" t="s">
        <v>1360</v>
      </c>
      <c r="L54" s="3810"/>
      <c r="M54" s="2522">
        <f t="shared" ca="1" si="0"/>
        <v>3716</v>
      </c>
      <c r="N54" s="2520" t="str">
        <f t="shared" si="0"/>
        <v>增值额×税（费）率</v>
      </c>
      <c r="O54" s="2524" t="str">
        <f t="shared" si="0"/>
        <v>——</v>
      </c>
    </row>
    <row r="55" spans="1:35" ht="24" customHeight="1">
      <c r="A55" s="3760" t="s">
        <v>1361</v>
      </c>
      <c r="B55" s="3761"/>
      <c r="C55" s="3761"/>
      <c r="D55" s="2321">
        <f ca="1">IF(H55="个人住宅",0,ROUND(D45*I55,0))</f>
        <v>22</v>
      </c>
      <c r="E55" s="2331" t="s">
        <v>1362</v>
      </c>
      <c r="F55" s="2551">
        <f>IF(H55="正常",I55,"免征")</f>
        <v>5.0000000000000001E-4</v>
      </c>
      <c r="G55" s="2552"/>
      <c r="H55" s="2547" t="s">
        <v>3400</v>
      </c>
      <c r="I55" s="163">
        <f>'数据-取费表'!B49</f>
        <v>5.0000000000000001E-4</v>
      </c>
      <c r="J55" s="2520" t="str">
        <f>IF(H59="非个人房产","",4)</f>
        <v/>
      </c>
      <c r="K55" s="3810" t="str">
        <f>IF(H59="非个人房产","——","个人所得税")</f>
        <v>——</v>
      </c>
      <c r="L55" s="3810"/>
      <c r="M55" s="2525" t="str">
        <f>D59</f>
        <v>——</v>
      </c>
      <c r="N55" s="2037" t="str">
        <f>E59</f>
        <v>——</v>
      </c>
      <c r="O55" s="2526" t="str">
        <f>F59</f>
        <v>——</v>
      </c>
    </row>
    <row r="56" spans="1:35" ht="24.75">
      <c r="A56" s="3760" t="s">
        <v>1363</v>
      </c>
      <c r="B56" s="3761"/>
      <c r="C56" s="3761"/>
      <c r="D56" s="2321">
        <f ca="1">IF(H56="个人住宅",D57,D58)</f>
        <v>3716</v>
      </c>
      <c r="E56" s="2331" t="s">
        <v>1364</v>
      </c>
      <c r="F56" s="2551" t="str">
        <f>IF(H56="正常",F58,"免征")</f>
        <v>——</v>
      </c>
      <c r="G56" s="2554" t="s">
        <v>1365</v>
      </c>
      <c r="H56" s="2555" t="s">
        <v>3400</v>
      </c>
      <c r="I56" s="1805"/>
      <c r="J56" s="2520" t="str">
        <f>IF(项目基本情况!K6="上海银行",IF(J55="",4,J55+1),"")</f>
        <v/>
      </c>
      <c r="K56" s="3833" t="str">
        <f>IF(项目基本情况!K6="上海银行","其他处置费用","")</f>
        <v/>
      </c>
      <c r="L56" s="3834"/>
      <c r="M56" s="2522" t="str">
        <f>IF(项目基本情况!K6="上海银行",M69,"")</f>
        <v/>
      </c>
      <c r="N56" s="3833" t="str">
        <f>IF(项目基本情况!K6="上海银行","包含处置中涉及的律师、诉讼、拍卖、评估等费用","")</f>
        <v/>
      </c>
      <c r="O56" s="3836"/>
    </row>
    <row r="57" spans="1:35" ht="12.75">
      <c r="A57" s="2332" t="s">
        <v>1341</v>
      </c>
      <c r="B57" s="3771" t="s">
        <v>1366</v>
      </c>
      <c r="C57" s="3772"/>
      <c r="D57" s="1587">
        <v>0</v>
      </c>
      <c r="E57" s="322" t="s">
        <v>1343</v>
      </c>
      <c r="F57" s="300"/>
      <c r="G57" s="2552"/>
      <c r="H57" s="2556"/>
      <c r="I57" s="1805"/>
      <c r="J57" s="3810">
        <f>IF(AND(J55="",J56=""),4,IF(项目基本情况!K6="上海银行",结果表!J56+1,结果表!J55+1))</f>
        <v>4</v>
      </c>
      <c r="K57" s="3810" t="s">
        <v>1367</v>
      </c>
      <c r="L57" s="2527" t="s">
        <v>1368</v>
      </c>
      <c r="M57" s="2528"/>
      <c r="N57" s="2529">
        <f ca="1">SUMIF(M52:M56,"&lt;9e307")</f>
        <v>4638</v>
      </c>
      <c r="O57" s="2530"/>
      <c r="P57" s="2687">
        <f ca="1">N57/M49</f>
        <v>0.10467871893831675</v>
      </c>
    </row>
    <row r="58" spans="1:35" ht="24.75">
      <c r="A58" s="2332" t="s">
        <v>1352</v>
      </c>
      <c r="B58" s="3771" t="s">
        <v>1369</v>
      </c>
      <c r="C58" s="3745"/>
      <c r="D58" s="2321">
        <f ca="1">IF(H58="转让取得",C81,C97)</f>
        <v>3716</v>
      </c>
      <c r="E58" s="2331" t="s">
        <v>1364</v>
      </c>
      <c r="F58" s="300" t="s">
        <v>28</v>
      </c>
      <c r="G58" s="2552"/>
      <c r="H58" s="2555" t="s">
        <v>3410</v>
      </c>
      <c r="I58" s="1805"/>
      <c r="J58" s="3810"/>
      <c r="K58" s="3810"/>
      <c r="L58" s="2527" t="s">
        <v>1370</v>
      </c>
      <c r="M58" s="2531"/>
      <c r="N58" s="2532" t="str">
        <f ca="1">NUMBERSTRING(INT(N57*10000),2)&amp;"元整"</f>
        <v>肆仟陆佰叁拾捌万元整</v>
      </c>
      <c r="O58" s="2533"/>
    </row>
    <row r="59" spans="1:35" ht="24.75" thickBot="1">
      <c r="A59" s="3813" t="s">
        <v>1371</v>
      </c>
      <c r="B59" s="3814"/>
      <c r="C59" s="3814"/>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3411</v>
      </c>
      <c r="I59" s="2310" t="s">
        <v>2137</v>
      </c>
      <c r="J59" s="3811">
        <f>J57+1</f>
        <v>5</v>
      </c>
      <c r="K59" s="3810" t="s">
        <v>1372</v>
      </c>
      <c r="L59" s="2520" t="s">
        <v>1368</v>
      </c>
      <c r="M59" s="2534"/>
      <c r="N59" s="2535">
        <f ca="1">M49-N57</f>
        <v>39669</v>
      </c>
      <c r="O59" s="2536"/>
    </row>
    <row r="60" spans="1:35" ht="12" customHeight="1">
      <c r="A60" s="1806"/>
      <c r="B60" s="1744"/>
      <c r="C60" s="1744"/>
      <c r="D60" s="1744"/>
      <c r="E60" s="1575"/>
      <c r="F60" s="1805"/>
      <c r="G60" s="1805"/>
      <c r="H60" s="1807"/>
      <c r="I60" s="127"/>
      <c r="J60" s="3812"/>
      <c r="K60" s="3810"/>
      <c r="L60" s="2527" t="s">
        <v>1370</v>
      </c>
      <c r="M60" s="2531"/>
      <c r="N60" s="2532" t="str">
        <f ca="1">NUMBERSTRING(INT(N59*10000),2)&amp;"元整"</f>
        <v>叁亿玖仟陆佰陆拾玖万元整</v>
      </c>
      <c r="O60" s="2533"/>
    </row>
    <row r="61" spans="1:35" ht="13.5" thickBot="1">
      <c r="A61" s="3758" t="s">
        <v>1373</v>
      </c>
      <c r="B61" s="3758"/>
      <c r="C61" s="3758"/>
      <c r="D61" s="3758"/>
      <c r="E61" s="3758"/>
      <c r="F61" s="1805"/>
      <c r="G61" s="1805"/>
      <c r="H61" s="1807"/>
      <c r="I61" s="127"/>
      <c r="J61" s="2520">
        <f>J59+1</f>
        <v>6</v>
      </c>
      <c r="K61" s="3810" t="s">
        <v>1374</v>
      </c>
      <c r="L61" s="3810"/>
      <c r="M61" s="2537"/>
      <c r="N61" s="2538">
        <f ca="1">ROUND(N59*10000/'数据-汇总表'!E3,0)</f>
        <v>33057</v>
      </c>
      <c r="O61" s="2539"/>
    </row>
    <row r="62" spans="1:35" ht="12.75">
      <c r="A62" s="3776" t="s">
        <v>1375</v>
      </c>
      <c r="B62" s="3777"/>
      <c r="C62" s="2018"/>
      <c r="D62" s="2018" t="s">
        <v>1376</v>
      </c>
      <c r="E62" s="164" t="s">
        <v>1377</v>
      </c>
      <c r="F62" s="1805"/>
      <c r="G62" s="1805"/>
      <c r="H62" s="1807"/>
      <c r="I62" s="127"/>
    </row>
    <row r="63" spans="1:35" ht="12.75">
      <c r="A63" s="171" t="s">
        <v>330</v>
      </c>
      <c r="B63" s="165" t="s">
        <v>1378</v>
      </c>
      <c r="C63" s="2561">
        <f ca="1">ROUND((C64+C65)/(1+'数据-取费表'!C42),0)</f>
        <v>42197</v>
      </c>
      <c r="D63" s="165"/>
      <c r="E63" s="166"/>
      <c r="F63" s="1805"/>
      <c r="G63" s="1805"/>
      <c r="H63" s="1807"/>
      <c r="I63" s="127"/>
      <c r="J63" s="3835" t="s">
        <v>1379</v>
      </c>
      <c r="K63" s="1329" t="s">
        <v>1380</v>
      </c>
      <c r="L63" s="1329">
        <f ca="1">IF(M49&gt;10000,M49*0.5%,IF(AND(M49&gt;1000,M49&lt;=10000),M49*1%,IF(AND(M49&gt;100,M49&lt;=1000),M49*3%,IF(AND(M49&gt;10,M49&lt;=100),M49*5%,M49*8%))))</f>
        <v>221.535</v>
      </c>
      <c r="M63" s="300">
        <f ca="1">ROUND(L63,1)</f>
        <v>221.5</v>
      </c>
      <c r="N63" s="2540"/>
      <c r="Z63" s="1749"/>
      <c r="AI63" s="1750"/>
    </row>
    <row r="64" spans="1:35" ht="14.25" customHeight="1">
      <c r="A64" s="167" t="s">
        <v>325</v>
      </c>
      <c r="B64" s="168" t="s">
        <v>1381</v>
      </c>
      <c r="C64" s="2562">
        <f ca="1">D45</f>
        <v>44307</v>
      </c>
      <c r="D64" s="168" t="s">
        <v>26</v>
      </c>
      <c r="E64" s="170"/>
      <c r="F64" s="1805"/>
      <c r="G64" s="1805"/>
      <c r="H64" s="1807"/>
      <c r="I64" s="127"/>
      <c r="J64" s="3835"/>
      <c r="K64" s="1329" t="s">
        <v>1382</v>
      </c>
      <c r="L64" s="1329">
        <f ca="1">IF(M49&gt;2000,M49*0.5%,IF(AND(M49&gt;1000,M49&lt;=2000),M49*0.6%,IF(AND(M49&gt;500,M49&lt;=1000),M49*0.7%,IF(AND(M49&gt;200,M49&lt;=500),M49*0.8%,IF(AND(M49&gt;100,M49&lt;=200),M49*0.9%,IF(AND(M49&gt;50,M49&lt;=100),M49*1%,IF(AND(M49&gt;20,M49&lt;=50),M49*1.5%,IF(AND(M49&gt;10,M49&lt;=20),M49*2%,IF(AND(M49&gt;1,M49&lt;=10),M49*2.5%)))))))))</f>
        <v>221.535</v>
      </c>
      <c r="M64" s="300">
        <f t="shared" ref="M64:M65" ca="1" si="1">ROUND(L64,1)</f>
        <v>221.5</v>
      </c>
      <c r="N64" s="2541" t="s">
        <v>1383</v>
      </c>
      <c r="Z64" s="1749"/>
      <c r="AI64" s="1750"/>
    </row>
    <row r="65" spans="1:35" ht="14.25" customHeight="1">
      <c r="A65" s="167" t="s">
        <v>326</v>
      </c>
      <c r="B65" s="168" t="s">
        <v>1384</v>
      </c>
      <c r="C65" s="2563"/>
      <c r="D65" s="168"/>
      <c r="E65" s="170"/>
      <c r="F65" s="1805"/>
      <c r="G65" s="1805"/>
      <c r="H65" s="1807"/>
      <c r="I65" s="127"/>
      <c r="J65" s="3835"/>
      <c r="K65" s="1329" t="s">
        <v>1385</v>
      </c>
      <c r="L65" s="1329">
        <f ca="1">IF(M49&gt;1000,M49*0.1%,IF(AND(M49&gt;500,M49&lt;=1000),M49*0.5%,IF(AND(M49&gt;50,M49&lt;=500),M49*1%,IF(AND(M49&gt;1,M49&lt;=50),M49*1.5%))))</f>
        <v>44.307000000000002</v>
      </c>
      <c r="M65" s="300">
        <f t="shared" ca="1" si="1"/>
        <v>44.3</v>
      </c>
      <c r="N65" s="2541" t="s">
        <v>1383</v>
      </c>
      <c r="Z65" s="1749"/>
      <c r="AI65" s="1750"/>
    </row>
    <row r="66" spans="1:35" ht="14.25" customHeight="1">
      <c r="A66" s="171" t="s">
        <v>327</v>
      </c>
      <c r="B66" s="172" t="s">
        <v>1386</v>
      </c>
      <c r="C66" s="2564">
        <f>ROUND(22859*B118/1.05/10000,0)</f>
        <v>26125</v>
      </c>
      <c r="D66" s="172" t="s">
        <v>26</v>
      </c>
      <c r="E66" s="1335" t="s">
        <v>671</v>
      </c>
      <c r="F66" s="1805"/>
      <c r="G66" s="1805"/>
      <c r="H66" s="1807"/>
      <c r="I66" s="127"/>
      <c r="J66" s="3835"/>
      <c r="K66" s="1329" t="s">
        <v>1387</v>
      </c>
      <c r="L66" s="1329">
        <f ca="1">M49*0.5%</f>
        <v>221.535</v>
      </c>
      <c r="M66" s="300">
        <f ca="1">IF(L66&gt;0.5,0.5,ROUND(L66,0))</f>
        <v>0.5</v>
      </c>
      <c r="N66" s="2541" t="s">
        <v>1388</v>
      </c>
      <c r="Z66" s="1749"/>
      <c r="AI66" s="1750"/>
    </row>
    <row r="67" spans="1:35" ht="14.25" customHeight="1">
      <c r="A67" s="171" t="s">
        <v>328</v>
      </c>
      <c r="B67" s="172" t="s">
        <v>1389</v>
      </c>
      <c r="C67" s="2565">
        <f ca="1">C63-C66</f>
        <v>16072</v>
      </c>
      <c r="D67" s="168" t="s">
        <v>26</v>
      </c>
      <c r="E67" s="170"/>
      <c r="F67" s="1805"/>
      <c r="G67" s="1805"/>
      <c r="H67" s="1807"/>
      <c r="I67" s="127"/>
      <c r="J67" s="3835"/>
      <c r="K67" s="1329" t="s">
        <v>1390</v>
      </c>
      <c r="L67" s="1329">
        <f ca="1">IF(M49&gt;=10000,(8.25+(M49-10000)*0.01%),IF(AND(M49&gt;=8000,M49&lt;10000),(7.85+(M49-8000)*0.02%),IF(AND(M49&gt;=5000,M49&lt;8000),(6.65+(M49-5000)*0.04%),IF(AND(M49&gt;=2000,M49&lt;5000),(4.25+(PM49-2000)*0.08%),IF(AND(M49&gt;=1000,M49&lt;2000),(2.75+(M49-1000)*0.15%),IF(AND(M49&gt;=100,M49&lt;1000),(0.5+(M49-100)*0.25%),IF(AND(M49&gt;0,M49&lt;100),M49*0.5%)))))))</f>
        <v>11.6807</v>
      </c>
      <c r="M67" s="300">
        <f ca="1">ROUND(L67*0.9,1)</f>
        <v>10.5</v>
      </c>
      <c r="N67" s="2540"/>
      <c r="Z67" s="1749"/>
      <c r="AI67" s="1750"/>
    </row>
    <row r="68" spans="1:35" ht="14.25" customHeight="1" thickBot="1">
      <c r="A68" s="174" t="s">
        <v>329</v>
      </c>
      <c r="B68" s="175" t="s">
        <v>1391</v>
      </c>
      <c r="C68" s="2566">
        <f ca="1">IF(C67&lt;=0,0,ROUND(C67*D68,0))</f>
        <v>900</v>
      </c>
      <c r="D68" s="2567">
        <f>'数据-取费表'!B41</f>
        <v>5.6000000000000001E-2</v>
      </c>
      <c r="E68" s="176"/>
      <c r="F68" s="1805"/>
      <c r="G68" s="1805"/>
      <c r="H68" s="1807"/>
      <c r="I68" s="127"/>
      <c r="J68" s="3835"/>
      <c r="K68" s="1329" t="s">
        <v>1392</v>
      </c>
      <c r="L68" s="1329">
        <f ca="1">IF(M49&gt;10000,M49*0.5%,IF(AND(M49&gt;5000,M49&lt;=10000),M49*1%,IF(AND(M49&gt;1000,M49&lt;=5000),M49*2%,IF(AND(M49&gt;200,M49&lt;=1000),M49*3%,M49*5%))))</f>
        <v>221.535</v>
      </c>
      <c r="M68" s="300">
        <f ca="1">ROUND(L68,1)</f>
        <v>221.5</v>
      </c>
      <c r="N68" s="2540"/>
      <c r="Z68" s="1749"/>
      <c r="AI68" s="1750"/>
    </row>
    <row r="69" spans="1:35" s="1769" customFormat="1" ht="16.5" customHeight="1">
      <c r="A69" s="1808"/>
      <c r="B69" s="1809"/>
      <c r="C69" s="1810"/>
      <c r="D69" s="1811"/>
      <c r="E69" s="1812"/>
      <c r="F69" s="1575"/>
      <c r="G69" s="1575"/>
      <c r="H69" s="1574"/>
      <c r="I69" s="1744"/>
      <c r="J69" s="3835"/>
      <c r="K69" s="1329" t="s">
        <v>1393</v>
      </c>
      <c r="L69" s="1329"/>
      <c r="M69" s="300">
        <f ca="1">ROUND(SUM(M63:M68),0)</f>
        <v>720</v>
      </c>
      <c r="N69" s="2542">
        <f ca="1">M69/M49</f>
        <v>1.6250253910217349E-2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797" t="s">
        <v>1394</v>
      </c>
      <c r="B70" s="3798"/>
      <c r="C70" s="3798"/>
      <c r="D70" s="3798"/>
      <c r="E70" s="3798"/>
      <c r="F70" s="3798"/>
      <c r="G70" s="3798"/>
      <c r="H70" s="3798"/>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76" t="s">
        <v>1375</v>
      </c>
      <c r="B71" s="3777"/>
      <c r="C71" s="2018"/>
      <c r="D71" s="2018" t="s">
        <v>1376</v>
      </c>
      <c r="E71" s="177" t="s">
        <v>1377</v>
      </c>
      <c r="F71" s="178"/>
      <c r="G71" s="178"/>
      <c r="H71" s="179"/>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5">
        <f ca="1">ROUND(D45/(1+'数据-取费表'!C42),0)</f>
        <v>42197</v>
      </c>
      <c r="D72" s="168" t="s">
        <v>26</v>
      </c>
      <c r="E72" s="2328"/>
      <c r="F72" s="2327"/>
      <c r="G72" s="2327"/>
      <c r="H72" s="180"/>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5">
        <f ca="1">C74+C78</f>
        <v>29812</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29559</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8">
        <f>C66</f>
        <v>26125</v>
      </c>
      <c r="D75" s="168" t="s">
        <v>26</v>
      </c>
      <c r="E75" s="182" t="s">
        <v>1399</v>
      </c>
      <c r="F75" s="2569" t="s">
        <v>3412</v>
      </c>
      <c r="G75" s="182" t="s">
        <v>1400</v>
      </c>
      <c r="H75" s="2570">
        <v>3</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3919</v>
      </c>
      <c r="D76" s="2571">
        <v>0.05</v>
      </c>
      <c r="E76" s="3771" t="s">
        <v>1402</v>
      </c>
      <c r="F76" s="3745"/>
      <c r="G76" s="3745"/>
      <c r="H76" s="379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759</v>
      </c>
      <c r="D77" s="2572">
        <f>'数据-取费表'!B48+'数据-取费表'!B49</f>
        <v>3.0499999999999999E-2</v>
      </c>
      <c r="E77" s="2321" t="s">
        <v>1404</v>
      </c>
      <c r="F77" s="184"/>
      <c r="G77" s="1819" t="s">
        <v>3413</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3">
        <f ca="1">ROUND(D45*D78/(1+'数据-取费表'!C42),0)</f>
        <v>253</v>
      </c>
      <c r="D78" s="2574">
        <f>'数据-取费表'!B43</f>
        <v>6.000000000000001E-3</v>
      </c>
      <c r="E78" s="3755" t="s">
        <v>1406</v>
      </c>
      <c r="F78" s="3756"/>
      <c r="G78" s="3756"/>
      <c r="H78" s="376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5">
        <f ca="1">C72-C73</f>
        <v>12385</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5">
        <f ca="1">IF(C79&lt;=0,0,C79/C73)</f>
        <v>0.41543673688447608</v>
      </c>
      <c r="D80" s="168" t="s">
        <v>26</v>
      </c>
      <c r="E80" s="2321" t="str">
        <f ca="1">IF(C80&gt;=200%,"增值额超过扣除项目金额200%",IF(C80&gt;=100%,"增值额超过扣除项目金额100%，未超过200%",IF(C80&gt;=50%,"增值额超过扣除项目金额50%，未超过100%",IF(C80&lt;50%,"增值额未超过扣除项目金额50%"))))</f>
        <v>增值额未超过扣除项目金额50%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6">
        <f ca="1">ROUND(IF(C79&lt;=0,0,IF(C80&gt;=200%,C79*60%-C73*35%,IF(C80&gt;=100%,C79*50%-C73*15%,IF(C80&gt;=50%,C79*40%-C73*5%,IF(C80&lt;50%,C79*30%,0))))),0)</f>
        <v>3716</v>
      </c>
      <c r="D81" s="2577"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97" t="s">
        <v>1410</v>
      </c>
      <c r="B83" s="3798"/>
      <c r="C83" s="3798"/>
      <c r="D83" s="3798"/>
      <c r="E83" s="3798"/>
      <c r="F83" s="3798"/>
      <c r="G83" s="3798"/>
      <c r="H83" s="379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76" t="s">
        <v>1375</v>
      </c>
      <c r="B84" s="3777"/>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5">
        <f ca="1">ROUND(D45/(1+'数据-取费表'!C42),0)</f>
        <v>42197</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5">
        <f ca="1">IF(H88="仅含出让金",C87+C90+C91+C92+C93+C94,C87+C91+C92+C93+C94)</f>
        <v>253</v>
      </c>
      <c r="D86" s="2578"/>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9"/>
      <c r="D88" s="2574"/>
      <c r="E88" s="191" t="s">
        <v>1413</v>
      </c>
      <c r="F88" s="2324"/>
      <c r="G88" s="192" t="s">
        <v>1414</v>
      </c>
      <c r="H88" s="1821"/>
      <c r="I88" s="1818"/>
      <c r="J88" s="2518" t="s">
        <v>2288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73">
        <f>ROUND(C88*D89,0)</f>
        <v>0</v>
      </c>
      <c r="D89" s="2574">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9"/>
      <c r="D90" s="2574"/>
      <c r="E90" s="191" t="str">
        <f>IF(H88="-","土地取得成本中已包含该笔费用"," ")</f>
        <v xml:space="preserve"> </v>
      </c>
      <c r="F90" s="2324"/>
      <c r="G90" s="3837" t="s">
        <v>2129</v>
      </c>
      <c r="H90" s="3838"/>
      <c r="I90" s="1818"/>
      <c r="J90" s="2518" t="s">
        <v>2289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3">
        <f>IF(H91="——",成本法!C33,I91)</f>
        <v>0</v>
      </c>
      <c r="D91" s="2574"/>
      <c r="E91" s="3755" t="s">
        <v>1419</v>
      </c>
      <c r="F91" s="3756"/>
      <c r="G91" s="375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3">
        <f>ROUND((C87+C90+C91)*D92,0)</f>
        <v>0</v>
      </c>
      <c r="D92" s="2580"/>
      <c r="E92" s="3755" t="s">
        <v>1422</v>
      </c>
      <c r="F92" s="3756"/>
      <c r="G92" s="3756"/>
      <c r="H92" s="3765"/>
      <c r="I92" s="1818"/>
      <c r="J92" s="2519" t="s">
        <v>2290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3">
        <f ca="1">ROUND(D45*D93/(1+'数据-取费表'!C42),0)</f>
        <v>253</v>
      </c>
      <c r="D93" s="2574">
        <f>'数据-取费表'!B43</f>
        <v>6.000000000000001E-3</v>
      </c>
      <c r="E93" s="3755" t="s">
        <v>1406</v>
      </c>
      <c r="F93" s="3756"/>
      <c r="G93" s="3756"/>
      <c r="H93" s="376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9">
        <f>ROUND((C87+C90+C91)*D94,0)</f>
        <v>0</v>
      </c>
      <c r="D94" s="2574">
        <v>0.2</v>
      </c>
      <c r="E94" s="3766" t="s">
        <v>1426</v>
      </c>
      <c r="F94" s="3767"/>
      <c r="G94" s="3767"/>
      <c r="H94" s="376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5">
        <f ca="1">ROUND(C85-C86,0)</f>
        <v>41944</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5">
        <f ca="1">IF(C95&lt;=0,0,C95/C86)</f>
        <v>165.78656126482213</v>
      </c>
      <c r="D96" s="168"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6">
        <f ca="1">ROUND(IF(C95&lt;=0,0,IF(C96&gt;=200%,C95*60%-C86*35%,IF(C96&gt;=100%,C95*50%-C86*15%,IF(C96&gt;=50%,C95*40%-C86*5%,IF(C96&lt;50%,C95*30%,0))))),0)</f>
        <v>25078</v>
      </c>
      <c r="D97" s="2577"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739" t="s">
        <v>1428</v>
      </c>
      <c r="B100" s="3740"/>
      <c r="C100" s="3740"/>
      <c r="D100" s="3757"/>
      <c r="E100" s="3740" t="s">
        <v>1429</v>
      </c>
      <c r="F100" s="3740"/>
      <c r="G100" s="3740"/>
      <c r="H100" s="3757"/>
      <c r="I100" s="127"/>
    </row>
    <row r="101" spans="1:35" ht="18.75" customHeight="1">
      <c r="A101" s="3818" t="s">
        <v>1430</v>
      </c>
      <c r="B101" s="3819"/>
      <c r="C101" s="2582" t="str">
        <f>C4</f>
        <v>成本法</v>
      </c>
      <c r="D101" s="2583" t="str">
        <f>D4</f>
        <v>比较法-办公</v>
      </c>
      <c r="E101" s="3832" t="s">
        <v>1431</v>
      </c>
      <c r="F101" s="3789"/>
      <c r="G101" s="1824" t="s">
        <v>1432</v>
      </c>
      <c r="H101" s="2592">
        <f ca="1">H118</f>
        <v>44307</v>
      </c>
      <c r="I101" s="127"/>
    </row>
    <row r="102" spans="1:35" ht="18.75" customHeight="1">
      <c r="A102" s="3791" t="s">
        <v>1433</v>
      </c>
      <c r="B102" s="2581" t="s">
        <v>1432</v>
      </c>
      <c r="C102" s="2582">
        <f ca="1">IF(D32="楼面单价",ROUND(C19,0),C19)</f>
        <v>40084</v>
      </c>
      <c r="D102" s="2583">
        <f ca="1">IF(D32="楼面单价",ROUND(D19,0),D19)</f>
        <v>48530</v>
      </c>
      <c r="E102" s="3832"/>
      <c r="F102" s="3789"/>
      <c r="G102" s="1824" t="s">
        <v>1434</v>
      </c>
      <c r="H102" s="2552">
        <f ca="1">I118</f>
        <v>36922</v>
      </c>
      <c r="I102" s="127"/>
    </row>
    <row r="103" spans="1:35" ht="42.75" customHeight="1">
      <c r="A103" s="3791"/>
      <c r="B103" s="2581" t="s">
        <v>1434</v>
      </c>
      <c r="C103" s="2584">
        <f ca="1">C20</f>
        <v>33403</v>
      </c>
      <c r="D103" s="2585">
        <f>D20</f>
        <v>40441</v>
      </c>
      <c r="E103" s="3826" t="s">
        <v>1435</v>
      </c>
      <c r="F103" s="3827"/>
      <c r="G103" s="1825" t="s">
        <v>1436</v>
      </c>
      <c r="H103" s="2592">
        <f>IF(D36="正常操作",H104+H105+H106,H105+H106)</f>
        <v>0</v>
      </c>
      <c r="I103" s="127"/>
    </row>
    <row r="104" spans="1:35" ht="18.75" customHeight="1">
      <c r="A104" s="3791" t="s">
        <v>1437</v>
      </c>
      <c r="B104" s="2586" t="s">
        <v>1432</v>
      </c>
      <c r="C104" s="2587">
        <f ca="1">H118</f>
        <v>44307</v>
      </c>
      <c r="D104" s="2588"/>
      <c r="E104" s="1671" t="s">
        <v>1438</v>
      </c>
      <c r="F104" s="1663"/>
      <c r="G104" s="1825" t="s">
        <v>1436</v>
      </c>
      <c r="H104" s="2593">
        <f>IF(D36="同一抵押权人同一抵押物续贷",C36&amp;"（续贷，未扣减，详见特别提示）",C36)</f>
        <v>0</v>
      </c>
      <c r="I104" s="127"/>
    </row>
    <row r="105" spans="1:35" ht="18.75" customHeight="1" thickBot="1">
      <c r="A105" s="3792"/>
      <c r="B105" s="2589" t="s">
        <v>1434</v>
      </c>
      <c r="C105" s="2590">
        <f ca="1">I118</f>
        <v>36922</v>
      </c>
      <c r="D105" s="2591"/>
      <c r="E105" s="1671" t="s">
        <v>1439</v>
      </c>
      <c r="F105" s="1663"/>
      <c r="G105" s="1825" t="s">
        <v>1436</v>
      </c>
      <c r="H105" s="2594">
        <f>C37</f>
        <v>0</v>
      </c>
      <c r="I105" s="127"/>
    </row>
    <row r="106" spans="1:35" ht="18.75" customHeight="1">
      <c r="A106" s="1744" t="s">
        <v>1440</v>
      </c>
      <c r="B106" s="1744"/>
      <c r="C106" s="1744"/>
      <c r="D106" s="1744"/>
      <c r="E106" s="1826" t="s">
        <v>1441</v>
      </c>
      <c r="F106" s="1663"/>
      <c r="G106" s="1825" t="s">
        <v>1436</v>
      </c>
      <c r="H106" s="2594">
        <f>C38</f>
        <v>0</v>
      </c>
      <c r="I106" s="127"/>
    </row>
    <row r="107" spans="1:35" ht="18.75" customHeight="1">
      <c r="A107" s="127"/>
      <c r="B107" s="127"/>
      <c r="C107" s="127"/>
      <c r="D107" s="127"/>
      <c r="E107" s="3788" t="str">
        <f>IF(项目基本情况!E8="已注销","——","3.房地产抵押价值")</f>
        <v>3.房地产抵押价值</v>
      </c>
      <c r="F107" s="3789"/>
      <c r="G107" s="1824" t="s">
        <v>1432</v>
      </c>
      <c r="H107" s="2592">
        <f ca="1">IF(E107="——","——",H101-H103)</f>
        <v>44307</v>
      </c>
      <c r="I107" s="127"/>
    </row>
    <row r="108" spans="1:35" ht="18.75" customHeight="1">
      <c r="A108" s="127"/>
      <c r="B108" s="127"/>
      <c r="C108" s="127"/>
      <c r="D108" s="127"/>
      <c r="E108" s="3788"/>
      <c r="F108" s="3789"/>
      <c r="G108" s="1824" t="s">
        <v>1434</v>
      </c>
      <c r="H108" s="2552">
        <f ca="1">IF(H107=H101,H102,ROUND(H107*10000/'数据-汇总表'!E3,0))</f>
        <v>36922</v>
      </c>
      <c r="I108" s="127"/>
    </row>
    <row r="109" spans="1:35" ht="18.75" customHeight="1">
      <c r="A109" s="127"/>
      <c r="B109" s="127"/>
      <c r="C109" s="127"/>
      <c r="D109" s="127"/>
      <c r="E109" s="3788" t="str">
        <f>IF(项目基本情况!E8="已注销及未注销","4.抵押担保权已注销时的房地产抵押价值",IF(项目基本情况!E8="已注销","3.抵押担保权已注销时的房地产抵押价值","——"))</f>
        <v>——</v>
      </c>
      <c r="F109" s="3789"/>
      <c r="G109" s="1824" t="s">
        <v>1432</v>
      </c>
      <c r="H109" s="2595" t="str">
        <f>IF(E109="——","——",H101-H105-H106)</f>
        <v>——</v>
      </c>
      <c r="I109" s="127"/>
    </row>
    <row r="110" spans="1:35" ht="18.75" customHeight="1">
      <c r="A110" s="127"/>
      <c r="B110" s="127"/>
      <c r="C110" s="127"/>
      <c r="D110" s="127"/>
      <c r="E110" s="3788"/>
      <c r="F110" s="3789"/>
      <c r="G110" s="1824" t="s">
        <v>1434</v>
      </c>
      <c r="H110" s="2552" t="str">
        <f>IF(H109="——","——",ROUND(H109*10000/'数据-汇总表'!E3,0))</f>
        <v>——</v>
      </c>
      <c r="I110" s="127"/>
    </row>
    <row r="111" spans="1:35" ht="18.75" customHeight="1">
      <c r="A111" s="127"/>
      <c r="B111" s="127"/>
      <c r="C111" s="127"/>
      <c r="D111" s="127"/>
      <c r="E111" s="3820" t="str">
        <f>IF(项目基本情况!E9="抵押净值",IF(OR(项目基本情况!E8="已注销",项目基本情况!E8="房地产抵押价值"),"4.抵押净值","5.抵押净值"),"——")</f>
        <v>——</v>
      </c>
      <c r="F111" s="3790"/>
      <c r="G111" s="1824" t="s">
        <v>1432</v>
      </c>
      <c r="H111" s="2592" t="str">
        <f>IF(E111="——","——",N59)</f>
        <v>——</v>
      </c>
      <c r="I111" s="127"/>
    </row>
    <row r="112" spans="1:35" ht="18.75" customHeight="1" thickBot="1">
      <c r="A112" s="127"/>
      <c r="B112" s="127"/>
      <c r="C112" s="127"/>
      <c r="D112" s="127"/>
      <c r="E112" s="3821"/>
      <c r="F112" s="3822"/>
      <c r="G112" s="1827" t="s">
        <v>1434</v>
      </c>
      <c r="H112" s="2596" t="str">
        <f>IF(E111="——","——",N61)</f>
        <v>——</v>
      </c>
      <c r="I112" s="127"/>
    </row>
    <row r="113" spans="1:27" ht="18.75" customHeight="1">
      <c r="A113" s="127"/>
      <c r="B113" s="127"/>
      <c r="C113" s="127"/>
      <c r="D113" s="127"/>
      <c r="E113" s="3793" t="s">
        <v>1440</v>
      </c>
      <c r="F113" s="3793"/>
      <c r="G113" s="3793"/>
      <c r="H113" s="3793"/>
      <c r="I113" s="127"/>
    </row>
    <row r="114" spans="1:27" ht="3.75" customHeight="1">
      <c r="A114" s="1744"/>
      <c r="B114" s="1744"/>
      <c r="C114" s="1744"/>
      <c r="D114" s="1744"/>
      <c r="E114" s="1806"/>
      <c r="F114" s="1806"/>
      <c r="G114" s="1806"/>
      <c r="H114" s="1806"/>
      <c r="I114" s="1744"/>
    </row>
    <row r="115" spans="1:27" ht="18.75" customHeight="1">
      <c r="A115" s="3803" t="s">
        <v>1442</v>
      </c>
      <c r="B115" s="3804"/>
      <c r="C115" s="3804"/>
      <c r="D115" s="3804"/>
      <c r="E115" s="3804"/>
      <c r="F115" s="3804"/>
      <c r="G115" s="3804"/>
      <c r="H115" s="3804"/>
      <c r="I115" s="3805"/>
    </row>
    <row r="116" spans="1:27" ht="27" customHeight="1">
      <c r="A116" s="3759" t="s">
        <v>1443</v>
      </c>
      <c r="B116" s="3794" t="s">
        <v>1444</v>
      </c>
      <c r="C116" s="3794" t="s">
        <v>1445</v>
      </c>
      <c r="D116" s="3807" t="s">
        <v>1446</v>
      </c>
      <c r="E116" s="3808"/>
      <c r="F116" s="3802" t="s">
        <v>1447</v>
      </c>
      <c r="G116" s="3802"/>
      <c r="H116" s="3759" t="s">
        <v>1448</v>
      </c>
      <c r="I116" s="3759"/>
    </row>
    <row r="117" spans="1:27" ht="18.75" customHeight="1">
      <c r="A117" s="3759"/>
      <c r="B117" s="3795"/>
      <c r="C117" s="3795"/>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12000.23</v>
      </c>
      <c r="C118" s="2326">
        <f>M19</f>
        <v>1066.21</v>
      </c>
      <c r="D118" s="2326">
        <f ca="1">ROUND(IF(D32="总价",C34,E118*B118/10000),0)</f>
        <v>36996</v>
      </c>
      <c r="E118" s="2326">
        <f ca="1">ROUND(IF(C33="自定义",IF(D32="楼面单价",C34,D118*10000/B118),I118-G118),0)</f>
        <v>30830</v>
      </c>
      <c r="F118" s="2326">
        <f ca="1">ROUND(IF(D32="总价",C35,G118*B118/10000),0)</f>
        <v>7311</v>
      </c>
      <c r="G118" s="2326">
        <f ca="1">ROUND(IF(D32="楼面单价",C35,F118*10000/B118),0)</f>
        <v>6092</v>
      </c>
      <c r="H118" s="2326">
        <f ca="1">ROUND(IF(D32="总价",C32,I118*B118/10000),0)</f>
        <v>44307</v>
      </c>
      <c r="I118" s="2326">
        <f ca="1">ROUND(IF(D32="楼面单价",C32,H118*10000/B118),0)</f>
        <v>36922</v>
      </c>
    </row>
    <row r="119" spans="1:27" ht="18.75" customHeight="1">
      <c r="A119" s="3759" t="s">
        <v>1452</v>
      </c>
      <c r="B119" s="3759"/>
      <c r="C119" s="3759"/>
      <c r="D119" s="3799" t="str">
        <f ca="1">NUMBERSTRING(INT(D118*10000),2)&amp;"元整"</f>
        <v>叁亿陆仟玖佰玖拾陆万元整</v>
      </c>
      <c r="E119" s="3801"/>
      <c r="F119" s="3799" t="str">
        <f ca="1">NUMBERSTRING(INT(F118*10000),2)&amp;"元整"</f>
        <v>柒仟叁佰壹拾壹万元整</v>
      </c>
      <c r="G119" s="3801"/>
      <c r="H119" s="3799" t="str">
        <f ca="1">NUMBERSTRING(INT(H118*10000),2)&amp;"元整"</f>
        <v>肆亿肆仟叁佰零柒万元整</v>
      </c>
      <c r="I119" s="3801"/>
    </row>
    <row r="120" spans="1:27" ht="18.75" customHeight="1">
      <c r="A120" s="3823" t="str">
        <f>IF(项目基本情况!B9="房地产市场价值","",MID(E103,3,LEN(E103)-2))</f>
        <v>估价师知悉的法定优先受偿款</v>
      </c>
      <c r="B120" s="3824"/>
      <c r="C120" s="3825"/>
      <c r="D120" s="3823">
        <f>H103</f>
        <v>0</v>
      </c>
      <c r="E120" s="3824"/>
      <c r="F120" s="3824"/>
      <c r="G120" s="3824"/>
      <c r="H120" s="3824"/>
      <c r="I120" s="382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799" t="s">
        <v>1452</v>
      </c>
      <c r="B121" s="3800"/>
      <c r="C121" s="3801"/>
      <c r="D121" s="3799" t="str">
        <f>IF(D120=0,"零元整",NUMBERSTRING(INT(D120*10000),2)&amp;"元整")</f>
        <v>零元整</v>
      </c>
      <c r="E121" s="3800"/>
      <c r="F121" s="3800"/>
      <c r="G121" s="3800"/>
      <c r="H121" s="3800"/>
      <c r="I121" s="3801"/>
      <c r="AA121" s="722"/>
    </row>
    <row r="122" spans="1:27" ht="18.75" customHeight="1">
      <c r="A122" s="3790" t="str">
        <f>IF(项目基本情况!B9="房地产市场价值","",MID(E107,3,LEN(E107)-2))</f>
        <v>房地产抵押价值</v>
      </c>
      <c r="B122" s="3790"/>
      <c r="C122" s="3790"/>
      <c r="D122" s="3823">
        <f ca="1">H107</f>
        <v>44307</v>
      </c>
      <c r="E122" s="3824"/>
      <c r="F122" s="3824"/>
      <c r="G122" s="3824"/>
      <c r="H122" s="3824"/>
      <c r="I122" s="3825"/>
      <c r="AA122" s="722"/>
    </row>
    <row r="123" spans="1:27" ht="18.75" customHeight="1">
      <c r="A123" s="3759" t="s">
        <v>1452</v>
      </c>
      <c r="B123" s="3759"/>
      <c r="C123" s="3759"/>
      <c r="D123" s="3799" t="str">
        <f ca="1">NUMBERSTRING(INT(D122*10000),2)&amp;"元整"</f>
        <v>肆亿肆仟叁佰零柒万元整</v>
      </c>
      <c r="E123" s="3800"/>
      <c r="F123" s="3800"/>
      <c r="G123" s="3800"/>
      <c r="H123" s="3800"/>
      <c r="I123" s="3801"/>
      <c r="AA123" s="722"/>
    </row>
    <row r="124" spans="1:27" ht="18.75" customHeight="1">
      <c r="A124" s="3790" t="str">
        <f>IF(项目基本情况!B9="房地产市场价值","",MID(E109,3,LEN(E109)-2))</f>
        <v/>
      </c>
      <c r="B124" s="3790"/>
      <c r="C124" s="3790"/>
      <c r="D124" s="3823" t="str">
        <f>H109</f>
        <v>——</v>
      </c>
      <c r="E124" s="3824"/>
      <c r="F124" s="3824"/>
      <c r="G124" s="3824"/>
      <c r="H124" s="3824"/>
      <c r="I124" s="3825"/>
      <c r="AA124" s="722"/>
    </row>
    <row r="125" spans="1:27" ht="18.75" customHeight="1">
      <c r="A125" s="3759" t="s">
        <v>1452</v>
      </c>
      <c r="B125" s="3759"/>
      <c r="C125" s="3759"/>
      <c r="D125" s="3799" t="e">
        <f>NUMBERSTRING(INT(D124*10000),2)&amp;"元整"</f>
        <v>#VALUE!</v>
      </c>
      <c r="E125" s="3800"/>
      <c r="F125" s="3800"/>
      <c r="G125" s="3800"/>
      <c r="H125" s="3800"/>
      <c r="I125" s="3801"/>
      <c r="AA125" s="722"/>
    </row>
    <row r="126" spans="1:27" ht="18.75" customHeight="1">
      <c r="A126" s="3790" t="str">
        <f>IF(项目基本情况!B9="房地产市场价值","",MID(E111,3,LEN(E111)-2))</f>
        <v/>
      </c>
      <c r="B126" s="3790"/>
      <c r="C126" s="3790"/>
      <c r="D126" s="3823" t="str">
        <f>H111</f>
        <v>——</v>
      </c>
      <c r="E126" s="3824"/>
      <c r="F126" s="3824"/>
      <c r="G126" s="3824"/>
      <c r="H126" s="3824"/>
      <c r="I126" s="3825"/>
      <c r="AA126" s="722"/>
    </row>
    <row r="127" spans="1:27" ht="18.75" customHeight="1">
      <c r="A127" s="3759" t="s">
        <v>1452</v>
      </c>
      <c r="B127" s="3759"/>
      <c r="C127" s="3759"/>
      <c r="D127" s="3799" t="e">
        <f>NUMBERSTRING(INT(D126*10000),2)&amp;"元整"</f>
        <v>#VALUE!</v>
      </c>
      <c r="E127" s="3800"/>
      <c r="F127" s="3800"/>
      <c r="G127" s="3800"/>
      <c r="H127" s="3800"/>
      <c r="I127" s="3801"/>
      <c r="AA127" s="722"/>
    </row>
    <row r="128" spans="1:27" ht="21.75" customHeight="1">
      <c r="A128" s="3806" t="s">
        <v>1453</v>
      </c>
      <c r="B128" s="3806"/>
      <c r="C128" s="3806"/>
      <c r="D128" s="3806"/>
      <c r="E128" s="3806"/>
      <c r="F128" s="3806"/>
      <c r="G128" s="3806"/>
      <c r="H128" s="3806"/>
      <c r="I128" s="3806"/>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656" t="str">
        <f>项目基本情况!B1</f>
        <v>北京市房地产抵押价值预评估</v>
      </c>
      <c r="C37" s="3656"/>
      <c r="D37" s="3656"/>
      <c r="E37" s="3656"/>
      <c r="F37" s="3656"/>
      <c r="G37" s="3656"/>
      <c r="H37" s="3656"/>
      <c r="I37" s="3656"/>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H38" sqref="H3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t="s">
        <v>21</v>
      </c>
      <c r="C1" s="196"/>
      <c r="D1" s="196"/>
      <c r="E1" s="196"/>
      <c r="F1" s="196"/>
      <c r="G1" s="1123">
        <f>MATCH(B1,'数据-取费表'!A6:A16,0)+5</f>
        <v>6</v>
      </c>
    </row>
    <row r="2" spans="1:9" s="198" customFormat="1" ht="18" customHeight="1">
      <c r="A2" s="199" t="s">
        <v>1462</v>
      </c>
      <c r="B2" s="200">
        <f ca="1">IF(D2="——",C52,C52-E2)</f>
        <v>40084</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f ca="1">ROUND(B2*10000/(IF(B1="",'数据-汇总表'!E3,INDIRECT("'数据-取费表'!k"&amp;$G$1))),0)</f>
        <v>33403</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22639</v>
      </c>
      <c r="D5" s="209" t="s">
        <v>1469</v>
      </c>
      <c r="E5" s="210" t="s">
        <v>1470</v>
      </c>
      <c r="F5" s="210" t="s">
        <v>1471</v>
      </c>
      <c r="G5" s="211"/>
    </row>
    <row r="6" spans="1:9" s="212" customFormat="1" ht="13.5" customHeight="1">
      <c r="A6" s="775" t="s">
        <v>1472</v>
      </c>
      <c r="B6" s="213" t="s">
        <v>1473</v>
      </c>
      <c r="C6" s="214">
        <f>基准地价修正!B2</f>
        <v>21736</v>
      </c>
      <c r="D6" s="215"/>
      <c r="E6" s="216"/>
      <c r="F6" s="216"/>
      <c r="G6" s="217"/>
    </row>
    <row r="7" spans="1:9" s="212" customFormat="1" ht="13.5" customHeight="1">
      <c r="A7" s="775" t="s">
        <v>1474</v>
      </c>
      <c r="B7" s="213" t="s">
        <v>1475</v>
      </c>
      <c r="C7" s="218">
        <f>ROUND(C6*F7,0)</f>
        <v>663</v>
      </c>
      <c r="D7" s="218"/>
      <c r="E7" s="216"/>
      <c r="F7" s="219">
        <f>IF(项目基本情况!B8="出让",0,'数据-取费表'!B48+'数据-取费表'!B49)</f>
        <v>3.0499999999999999E-2</v>
      </c>
      <c r="G7" s="217"/>
    </row>
    <row r="8" spans="1:9" s="221" customFormat="1">
      <c r="A8" s="775" t="s">
        <v>1476</v>
      </c>
      <c r="B8" s="213" t="s">
        <v>1477</v>
      </c>
      <c r="C8" s="218">
        <f ca="1">IF(G8="已包含在土地购买价格中","0",IF(B1="",'数据-取费表'!B29,IF(G9="全部缴纳",C9+C10,H9)))</f>
        <v>240</v>
      </c>
      <c r="D8" s="220"/>
      <c r="E8" s="218"/>
      <c r="F8" s="219"/>
      <c r="G8" s="1853" t="s">
        <v>3395</v>
      </c>
    </row>
    <row r="9" spans="1:9" s="212" customFormat="1" ht="13.5" customHeight="1">
      <c r="A9" s="776" t="s">
        <v>355</v>
      </c>
      <c r="B9" s="222" t="s">
        <v>1478</v>
      </c>
      <c r="C9" s="223">
        <f ca="1">ROUND(D9*E9/10000,0)</f>
        <v>0</v>
      </c>
      <c r="D9" s="842">
        <f ca="1">IF(B1="",'数据-汇总表'!E5,IF(INDIRECT("'数据-取费表'!c"&amp;$G$1)="住宅",INDIRECT("'数据-取费表'!k"&amp;$G$1),0))</f>
        <v>0</v>
      </c>
      <c r="E9" s="223">
        <f>'数据-取费表'!B27</f>
        <v>0</v>
      </c>
      <c r="F9" s="219"/>
      <c r="G9" s="1854" t="s">
        <v>3441</v>
      </c>
      <c r="H9" s="1134"/>
      <c r="I9" s="1855" t="s">
        <v>1479</v>
      </c>
    </row>
    <row r="10" spans="1:9" s="212" customFormat="1" ht="13.5" customHeight="1">
      <c r="A10" s="776" t="s">
        <v>356</v>
      </c>
      <c r="B10" s="222" t="s">
        <v>1480</v>
      </c>
      <c r="C10" s="223">
        <f ca="1">ROUND(D10*E10/10000,0)</f>
        <v>240</v>
      </c>
      <c r="D10" s="842">
        <f ca="1">IF(B1="",'数据-汇总表'!E6,IF(INDIRECT("'数据-取费表'!c"&amp;$G$1)="住宅",INDIRECT("'数据-取费表'!s"&amp;$G$1),INDIRECT("'数据-取费表'!k"&amp;$G$1)+INDIRECT("'数据-取费表'!s"&amp;$G$1)))</f>
        <v>12000.23</v>
      </c>
      <c r="E10" s="223">
        <f>'数据-取费表'!B28</f>
        <v>200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t="str">
        <f>IF(G19="已包含在土地取得成本中","0",ROUND(D19*E19/10000,0))</f>
        <v>0</v>
      </c>
      <c r="D19" s="846">
        <f ca="1">D9+D10</f>
        <v>12000.23</v>
      </c>
      <c r="E19" s="209">
        <f>'数据-取费表'!B31</f>
        <v>200</v>
      </c>
      <c r="F19" s="229"/>
      <c r="G19" s="1853" t="s">
        <v>3396</v>
      </c>
    </row>
    <row r="20" spans="1:7" s="212" customFormat="1" ht="13.5" customHeight="1">
      <c r="A20" s="253" t="s">
        <v>1493</v>
      </c>
      <c r="B20" s="208" t="s">
        <v>1494</v>
      </c>
      <c r="C20" s="230">
        <f ca="1">ROUND((C5+C19)*F20,0)</f>
        <v>679</v>
      </c>
      <c r="D20" s="230"/>
      <c r="E20" s="230"/>
      <c r="F20" s="231">
        <f>'数据-取费表'!B37</f>
        <v>0.03</v>
      </c>
      <c r="G20" s="232" t="s">
        <v>1495</v>
      </c>
    </row>
    <row r="21" spans="1:7" s="212" customFormat="1" ht="13.5" customHeight="1">
      <c r="A21" s="253" t="s">
        <v>1496</v>
      </c>
      <c r="B21" s="208" t="s">
        <v>1497</v>
      </c>
      <c r="C21" s="233">
        <f>F21</f>
        <v>0.03</v>
      </c>
      <c r="D21" s="234" t="s">
        <v>1498</v>
      </c>
      <c r="E21" s="230"/>
      <c r="F21" s="231">
        <f>'数据-取费表'!B38</f>
        <v>0.03</v>
      </c>
      <c r="G21" s="232" t="s">
        <v>1499</v>
      </c>
    </row>
    <row r="22" spans="1:7" s="212" customFormat="1" ht="13.5" customHeight="1">
      <c r="A22" s="253" t="s">
        <v>1500</v>
      </c>
      <c r="B22" s="208" t="s">
        <v>1501</v>
      </c>
      <c r="C22" s="1101">
        <f ca="1">ROUND(SUM(C23:C25),0)</f>
        <v>2457</v>
      </c>
      <c r="D22" s="233">
        <f ca="1">C26</f>
        <v>1.6000000000000001E-3</v>
      </c>
      <c r="E22" s="234" t="s">
        <v>1498</v>
      </c>
      <c r="F22" s="235">
        <f ca="1">'数据-取费表'!B40</f>
        <v>4.1499999999999995E-2</v>
      </c>
      <c r="G22" s="232" t="str">
        <f>IF('数据-取费表'!B22&lt;=1,"单利计息","复利计息")</f>
        <v>复利计息</v>
      </c>
    </row>
    <row r="23" spans="1:7" s="212" customFormat="1" ht="13.5" customHeight="1">
      <c r="A23" s="777" t="s">
        <v>1502</v>
      </c>
      <c r="B23" s="213" t="s">
        <v>1503</v>
      </c>
      <c r="C23" s="1102">
        <f ca="1">ROUND(IF('数据-取费表'!B22&lt;=1,C5*F22*'数据-取费表'!B23,C5*(POWER((1+F22),'数据-取费表'!B23)-1)),0)</f>
        <v>2422</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f ca="1">ROUND(IF('数据-取费表'!B22&lt;=1,C20*F22*'数据-取费表'!B23/2,C20*(POWER((1+F22),'数据-取费表'!B23/2)-1)),0)</f>
        <v>35</v>
      </c>
      <c r="D25" s="236"/>
      <c r="E25" s="239"/>
      <c r="F25" s="237"/>
      <c r="G25" s="240" t="s">
        <v>1510</v>
      </c>
    </row>
    <row r="26" spans="1:7" s="212" customFormat="1">
      <c r="A26" s="777" t="s">
        <v>350</v>
      </c>
      <c r="B26" s="213" t="s">
        <v>1511</v>
      </c>
      <c r="C26" s="236">
        <f ca="1">ROUND(IF('数据-取费表'!B22&lt;=1,F21*F22*'数据-取费表'!B23/2,F21*(POWER((1+F22),'数据-取费表'!B23/2)-1)),4)</f>
        <v>1.6000000000000001E-3</v>
      </c>
      <c r="D26" s="236"/>
      <c r="E26" s="239"/>
      <c r="F26" s="237"/>
      <c r="G26" s="241"/>
    </row>
    <row r="27" spans="1:7" s="212" customFormat="1" ht="24.75">
      <c r="A27" s="253" t="s">
        <v>1512</v>
      </c>
      <c r="B27" s="242" t="s">
        <v>1513</v>
      </c>
      <c r="C27" s="243">
        <f ca="1">C28</f>
        <v>4664</v>
      </c>
      <c r="D27" s="233">
        <f ca="1">C29</f>
        <v>6.0000000000000001E-3</v>
      </c>
      <c r="E27" s="234" t="s">
        <v>1514</v>
      </c>
      <c r="F27" s="244">
        <f ca="1">IF(B1="",'数据-取费表'!Q16,INDIRECT("'数据-取费表'!q"&amp;$G$1))</f>
        <v>0.2</v>
      </c>
      <c r="G27" s="245" t="s">
        <v>1515</v>
      </c>
    </row>
    <row r="28" spans="1:7" s="212" customFormat="1" ht="13.5" customHeight="1">
      <c r="A28" s="777" t="s">
        <v>346</v>
      </c>
      <c r="B28" s="246" t="s">
        <v>1516</v>
      </c>
      <c r="C28" s="247">
        <f ca="1">ROUND((C5+C19+C20)*F27*'数据-取费表'!B21/'数据-取费表'!B20,0)</f>
        <v>4664</v>
      </c>
      <c r="D28" s="233"/>
      <c r="E28" s="234"/>
      <c r="F28" s="244"/>
      <c r="G28" s="245"/>
    </row>
    <row r="29" spans="1:7" s="212" customFormat="1" ht="13.5" customHeight="1">
      <c r="A29" s="777" t="s">
        <v>347</v>
      </c>
      <c r="B29" s="246" t="s">
        <v>1517</v>
      </c>
      <c r="C29" s="236">
        <f ca="1">ROUND(C21*F27*'数据-取费表'!B21/'数据-取费表'!B20,4)</f>
        <v>6.0000000000000001E-3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33483</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6374</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5760</v>
      </c>
      <c r="D34" s="215"/>
      <c r="E34" s="218"/>
      <c r="F34" s="255">
        <f ca="1">IF('数据-取费表'!B24=0,1,IF(B1="",'数据-取费表'!N16,INDIRECT("'数据-取费表'!n"&amp;$G$1)))</f>
        <v>1</v>
      </c>
      <c r="G34" s="217" t="s">
        <v>1526</v>
      </c>
    </row>
    <row r="35" spans="1:7" ht="13.5" customHeight="1">
      <c r="A35" s="777" t="s">
        <v>351</v>
      </c>
      <c r="B35" s="213" t="s">
        <v>1527</v>
      </c>
      <c r="C35" s="218">
        <f ca="1">ROUND(C34*F35,0)</f>
        <v>288</v>
      </c>
      <c r="D35" s="218"/>
      <c r="E35" s="218"/>
      <c r="F35" s="257">
        <f>'数据-取费表'!B33</f>
        <v>0.05</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240</v>
      </c>
      <c r="D37" s="215">
        <f ca="1">D19</f>
        <v>12000.23</v>
      </c>
      <c r="E37" s="247">
        <f>'数据-取费表'!B35</f>
        <v>200</v>
      </c>
      <c r="F37" s="257"/>
      <c r="G37" s="259" t="s">
        <v>1532</v>
      </c>
    </row>
    <row r="38" spans="1:7" ht="13.5" customHeight="1">
      <c r="A38" s="777" t="s">
        <v>354</v>
      </c>
      <c r="B38" s="213" t="s">
        <v>1533</v>
      </c>
      <c r="C38" s="218">
        <f ca="1">ROUND(C34*F38,0)</f>
        <v>86</v>
      </c>
      <c r="D38" s="218"/>
      <c r="E38" s="218"/>
      <c r="F38" s="257">
        <f>'数据-取费表'!B36</f>
        <v>1.4999999999999999E-2</v>
      </c>
      <c r="G38" s="217" t="s">
        <v>1528</v>
      </c>
    </row>
    <row r="39" spans="1:7" s="212" customFormat="1" ht="13.5" customHeight="1">
      <c r="A39" s="253" t="s">
        <v>1534</v>
      </c>
      <c r="B39" s="208" t="s">
        <v>1535</v>
      </c>
      <c r="C39" s="230">
        <f ca="1">ROUND(C33*F20,0)</f>
        <v>191</v>
      </c>
      <c r="D39" s="230"/>
      <c r="E39" s="230"/>
      <c r="F39" s="231">
        <f>F20</f>
        <v>0.03</v>
      </c>
      <c r="G39" s="232" t="s">
        <v>1536</v>
      </c>
    </row>
    <row r="40" spans="1:7" s="212" customFormat="1" ht="13.5" customHeight="1">
      <c r="A40" s="253" t="s">
        <v>1537</v>
      </c>
      <c r="B40" s="208" t="s">
        <v>1538</v>
      </c>
      <c r="C40" s="1324">
        <f>F21</f>
        <v>0.03</v>
      </c>
      <c r="D40" s="234" t="s">
        <v>1539</v>
      </c>
      <c r="E40" s="230"/>
      <c r="F40" s="231">
        <f>F21</f>
        <v>0.03</v>
      </c>
      <c r="G40" s="232" t="s">
        <v>1540</v>
      </c>
    </row>
    <row r="41" spans="1:7" s="212" customFormat="1" ht="13.5" customHeight="1">
      <c r="A41" s="253" t="s">
        <v>1541</v>
      </c>
      <c r="B41" s="208" t="s">
        <v>1542</v>
      </c>
      <c r="C41" s="230">
        <f ca="1">ROUND(SUM(C42:C43),0)</f>
        <v>342</v>
      </c>
      <c r="D41" s="233">
        <f ca="1">C44</f>
        <v>1.6000000000000001E-3</v>
      </c>
      <c r="E41" s="234" t="s">
        <v>1539</v>
      </c>
      <c r="F41" s="235">
        <f ca="1">F22</f>
        <v>4.1499999999999995E-2</v>
      </c>
      <c r="G41" s="232" t="str">
        <f>IF('数据-取费表'!B22&lt;=1,"单利计息","复利计息")</f>
        <v>复利计息</v>
      </c>
    </row>
    <row r="42" spans="1:7" ht="13.5" customHeight="1">
      <c r="A42" s="777" t="s">
        <v>346</v>
      </c>
      <c r="B42" s="213" t="s">
        <v>1543</v>
      </c>
      <c r="C42" s="236">
        <f ca="1">ROUND(IF('数据-取费表'!B22&lt;=1,C33*F22*'数据-取费表'!B21/2,C33*(POWER((1+F22),'数据-取费表'!B21/2)-1)),0)</f>
        <v>332</v>
      </c>
      <c r="D42" s="236"/>
      <c r="E42" s="236"/>
      <c r="F42" s="237"/>
      <c r="G42" s="3839" t="s">
        <v>1544</v>
      </c>
    </row>
    <row r="43" spans="1:7" ht="13.5" customHeight="1">
      <c r="A43" s="777" t="s">
        <v>347</v>
      </c>
      <c r="B43" s="213" t="s">
        <v>1545</v>
      </c>
      <c r="C43" s="236">
        <f ca="1">ROUND(IF('数据-取费表'!B22&lt;=1,C39*F22*'数据-取费表'!B21/2,C39*(POWER((1+F22),'数据-取费表'!B21/2)-1)),0)</f>
        <v>10</v>
      </c>
      <c r="D43" s="236"/>
      <c r="E43" s="236"/>
      <c r="F43" s="237"/>
      <c r="G43" s="3840"/>
    </row>
    <row r="44" spans="1:7" ht="13.5" customHeight="1">
      <c r="A44" s="777" t="s">
        <v>348</v>
      </c>
      <c r="B44" s="213" t="s">
        <v>1546</v>
      </c>
      <c r="C44" s="236">
        <f ca="1">ROUND(IF('数据-取费表'!B22&lt;=1,C40*F22*'数据-取费表'!B21/2,C40*(POWER((1+F22),'数据-取费表'!B21/2)-1)),4)</f>
        <v>1.6000000000000001E-3</v>
      </c>
      <c r="D44" s="236"/>
      <c r="E44" s="236"/>
      <c r="F44" s="237"/>
      <c r="G44" s="3841"/>
    </row>
    <row r="45" spans="1:7" s="212" customFormat="1" ht="13.5" customHeight="1">
      <c r="A45" s="253" t="s">
        <v>1547</v>
      </c>
      <c r="B45" s="242" t="s">
        <v>1513</v>
      </c>
      <c r="C45" s="243">
        <f ca="1">C46</f>
        <v>1313</v>
      </c>
      <c r="D45" s="233">
        <f ca="1">C47</f>
        <v>6.0000000000000001E-3</v>
      </c>
      <c r="E45" s="234" t="s">
        <v>1539</v>
      </c>
      <c r="F45" s="244">
        <f ca="1">F27</f>
        <v>0.2</v>
      </c>
      <c r="G45" s="245" t="s">
        <v>1548</v>
      </c>
    </row>
    <row r="46" spans="1:7" s="212" customFormat="1" ht="13.5" customHeight="1">
      <c r="A46" s="777" t="s">
        <v>346</v>
      </c>
      <c r="B46" s="246" t="s">
        <v>1549</v>
      </c>
      <c r="C46" s="247">
        <f ca="1">ROUND((C33+C39)*F27,0)</f>
        <v>1313</v>
      </c>
      <c r="D46" s="261"/>
      <c r="E46" s="234"/>
      <c r="F46" s="244"/>
      <c r="G46" s="245"/>
    </row>
    <row r="47" spans="1:7" s="212" customFormat="1" ht="13.5" customHeight="1">
      <c r="A47" s="777" t="s">
        <v>347</v>
      </c>
      <c r="B47" s="246" t="s">
        <v>1550</v>
      </c>
      <c r="C47" s="236">
        <f ca="1">ROUND(C40*F27,4)</f>
        <v>6.0000000000000001E-3</v>
      </c>
      <c r="D47" s="261"/>
      <c r="E47" s="234"/>
      <c r="F47" s="244"/>
      <c r="G47" s="245"/>
    </row>
    <row r="48" spans="1:7" s="212" customFormat="1" ht="13.5" customHeight="1">
      <c r="A48" s="253" t="s">
        <v>1512</v>
      </c>
      <c r="B48" s="208" t="s">
        <v>1551</v>
      </c>
      <c r="C48" s="1324">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9042</v>
      </c>
      <c r="D49" s="230"/>
      <c r="E49" s="230"/>
      <c r="F49" s="262"/>
      <c r="G49" s="232" t="s">
        <v>1554</v>
      </c>
    </row>
    <row r="50" spans="1:7" s="256" customFormat="1" ht="24">
      <c r="A50" s="253" t="s">
        <v>1555</v>
      </c>
      <c r="B50" s="208" t="s">
        <v>1556</v>
      </c>
      <c r="C50" s="230"/>
      <c r="D50" s="230"/>
      <c r="E50" s="230"/>
      <c r="F50" s="262">
        <f>IF('数据-取费表'!B24=0,'数据-取费表'!N16,1)</f>
        <v>0.73</v>
      </c>
      <c r="G50" s="245" t="s">
        <v>1557</v>
      </c>
    </row>
    <row r="51" spans="1:7" ht="16.5" customHeight="1">
      <c r="A51" s="253" t="s">
        <v>1558</v>
      </c>
      <c r="B51" s="208" t="s">
        <v>1559</v>
      </c>
      <c r="C51" s="230">
        <f ca="1">ROUND(C49*F50,0)</f>
        <v>6601</v>
      </c>
      <c r="D51" s="230"/>
      <c r="E51" s="230"/>
      <c r="F51" s="262"/>
      <c r="G51" s="232" t="s">
        <v>1560</v>
      </c>
    </row>
    <row r="52" spans="1:7" s="206" customFormat="1" ht="16.5" thickBot="1">
      <c r="A52" s="263" t="s">
        <v>1561</v>
      </c>
      <c r="B52" s="264"/>
      <c r="C52" s="265">
        <f ca="1">C31+C51</f>
        <v>40084</v>
      </c>
      <c r="D52" s="264"/>
      <c r="E52" s="264"/>
      <c r="F52" s="264"/>
      <c r="G52" s="266"/>
    </row>
    <row r="55" spans="1:7" ht="15">
      <c r="B55" s="268" t="s">
        <v>1562</v>
      </c>
      <c r="C55" s="269"/>
    </row>
    <row r="56" spans="1:7">
      <c r="B56" s="271" t="s">
        <v>802</v>
      </c>
      <c r="C56" s="273">
        <f ca="1">1-C57</f>
        <v>0.83499999999999996</v>
      </c>
    </row>
    <row r="57" spans="1:7">
      <c r="B57" s="271" t="s">
        <v>803</v>
      </c>
      <c r="C57" s="272">
        <f ca="1">ROUND(C51/C52,3)</f>
        <v>0.16500000000000001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53" sqref="E53"/>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t="s">
        <v>21</v>
      </c>
      <c r="C1" s="1856" t="s">
        <v>1563</v>
      </c>
      <c r="D1" s="196"/>
      <c r="E1" s="196"/>
      <c r="F1" s="196"/>
      <c r="G1" s="1123">
        <f>MATCH(B1,'数据-取费表'!A6:A16,0)+5</f>
        <v>6</v>
      </c>
      <c r="H1" s="1058" t="str">
        <f>IF(ISERROR(FIND("住宅",B1)),"非住宅","住宅")</f>
        <v>非住宅</v>
      </c>
    </row>
    <row r="2" spans="1:8" s="198" customFormat="1" ht="18" customHeight="1">
      <c r="A2" s="199" t="s">
        <v>1462</v>
      </c>
      <c r="B2" s="3422">
        <f ca="1">ROUND(IF(D2="——",C52/10000,C52/10000-E2),4)</f>
        <v>38068.367400000003</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f ca="1">ROUND(B2*10000/(IF(B1="",'数据-汇总表'!E3,INDIRECT("'数据-取费表'!k"&amp;$G$1))),0)</f>
        <v>31723</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212755950.47000003</v>
      </c>
      <c r="D5" s="209" t="s">
        <v>1469</v>
      </c>
      <c r="E5" s="210" t="s">
        <v>1470</v>
      </c>
      <c r="F5" s="210" t="s">
        <v>1471</v>
      </c>
      <c r="G5" s="211"/>
    </row>
    <row r="6" spans="1:8" s="212" customFormat="1" ht="13.5" customHeight="1">
      <c r="A6" s="775" t="s">
        <v>1472</v>
      </c>
      <c r="B6" s="213" t="s">
        <v>1473</v>
      </c>
      <c r="C6" s="214">
        <f>基准地价修正!C33*基准地价修正!D33</f>
        <v>204129941.47000003</v>
      </c>
      <c r="D6" s="215"/>
      <c r="E6" s="216"/>
      <c r="F6" s="216"/>
      <c r="G6" s="217"/>
    </row>
    <row r="7" spans="1:8" s="212" customFormat="1" ht="13.5" customHeight="1">
      <c r="A7" s="775" t="s">
        <v>1474</v>
      </c>
      <c r="B7" s="213" t="s">
        <v>1475</v>
      </c>
      <c r="C7" s="218">
        <f>ROUND(C6*F7,0)</f>
        <v>6225963</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2400046</v>
      </c>
      <c r="D8" s="220"/>
      <c r="E8" s="218"/>
      <c r="F8" s="219"/>
      <c r="G8" s="1853" t="s">
        <v>3395</v>
      </c>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0</v>
      </c>
      <c r="F9" s="219"/>
      <c r="G9" s="224"/>
    </row>
    <row r="10" spans="1:8" s="212" customFormat="1" ht="13.5" customHeight="1">
      <c r="A10" s="776" t="s">
        <v>356</v>
      </c>
      <c r="B10" s="222" t="s">
        <v>1480</v>
      </c>
      <c r="C10" s="223">
        <f ca="1">ROUND(D10*E10,0)</f>
        <v>2400046</v>
      </c>
      <c r="D10" s="842">
        <f ca="1">IF(B1="",'数据-汇总表'!E6,IF(INDIRECT("'数据-取费表'!c"&amp;$G$1)="住宅",INDIRECT("'数据-取费表'!s"&amp;$G$1),INDIRECT("'数据-取费表'!k"&amp;$G$1)+INDIRECT("'数据-取费表'!s"&amp;$G$1)))</f>
        <v>12000.23</v>
      </c>
      <c r="E10" s="223">
        <f>'数据-取费表'!B28</f>
        <v>200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t="str">
        <f>IF(G19="已包含在土地取得成本中","0",ROUND(D19*E19,0))</f>
        <v>0</v>
      </c>
      <c r="D19" s="846">
        <f ca="1">D9+D10</f>
        <v>12000.23</v>
      </c>
      <c r="E19" s="209">
        <f>'数据-取费表'!B31</f>
        <v>200</v>
      </c>
      <c r="F19" s="229"/>
      <c r="G19" s="1853" t="s">
        <v>3396</v>
      </c>
    </row>
    <row r="20" spans="1:7" s="212" customFormat="1" ht="13.5" customHeight="1">
      <c r="A20" s="253" t="s">
        <v>1574</v>
      </c>
      <c r="B20" s="208" t="s">
        <v>1575</v>
      </c>
      <c r="C20" s="230">
        <f ca="1">ROUND((C5+C19)*F20,0)</f>
        <v>6382679</v>
      </c>
      <c r="D20" s="230"/>
      <c r="E20" s="230"/>
      <c r="F20" s="231">
        <f>'数据-取费表'!B37</f>
        <v>0.03</v>
      </c>
      <c r="G20" s="232" t="s">
        <v>1576</v>
      </c>
    </row>
    <row r="21" spans="1:7" s="212" customFormat="1" ht="13.5" customHeight="1">
      <c r="A21" s="253" t="s">
        <v>1577</v>
      </c>
      <c r="B21" s="208" t="s">
        <v>1578</v>
      </c>
      <c r="C21" s="233">
        <f>F21</f>
        <v>0.03</v>
      </c>
      <c r="D21" s="234" t="s">
        <v>1579</v>
      </c>
      <c r="E21" s="230"/>
      <c r="F21" s="231">
        <f>'数据-取费表'!B38</f>
        <v>0.03</v>
      </c>
      <c r="G21" s="232" t="s">
        <v>1580</v>
      </c>
    </row>
    <row r="22" spans="1:7" s="212" customFormat="1" ht="13.5" customHeight="1">
      <c r="A22" s="253" t="s">
        <v>1581</v>
      </c>
      <c r="B22" s="208" t="s">
        <v>1582</v>
      </c>
      <c r="C22" s="1124">
        <f ca="1">ROUND(SUM(C23:C25),0)</f>
        <v>23097995</v>
      </c>
      <c r="D22" s="233">
        <f ca="1">C26</f>
        <v>1.6000000000000001E-3</v>
      </c>
      <c r="E22" s="234" t="s">
        <v>1579</v>
      </c>
      <c r="F22" s="235">
        <f ca="1">'数据-取费表'!B40</f>
        <v>4.1499999999999995E-2</v>
      </c>
      <c r="G22" s="232" t="str">
        <f>IF('数据-取费表'!B22&lt;=1,"单利计息","复利计息")</f>
        <v>复利计息</v>
      </c>
    </row>
    <row r="23" spans="1:7" s="212" customFormat="1" ht="13.5" customHeight="1">
      <c r="A23" s="777" t="s">
        <v>1472</v>
      </c>
      <c r="B23" s="213" t="s">
        <v>1583</v>
      </c>
      <c r="C23" s="1125">
        <f ca="1">ROUND(IF('数据-取费表'!B22&lt;=1,C5*F22*'数据-取费表'!B22,C5*(POWER((1+F22),'数据-取费表'!B22)-1)),0)</f>
        <v>22765193</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0</v>
      </c>
      <c r="D24" s="236"/>
      <c r="E24" s="236"/>
      <c r="F24" s="237"/>
      <c r="G24" s="238" t="s">
        <v>1586</v>
      </c>
    </row>
    <row r="25" spans="1:7" s="212" customFormat="1" ht="24">
      <c r="A25" s="777" t="s">
        <v>1476</v>
      </c>
      <c r="B25" s="213" t="s">
        <v>1587</v>
      </c>
      <c r="C25" s="1125">
        <f ca="1">ROUND(IF('数据-取费表'!B22&lt;=1,C20*F22*'数据-取费表'!B22/2,C20*(POWER((1+F22),'数据-取费表'!B22/2)-1)),0)</f>
        <v>332802</v>
      </c>
      <c r="D25" s="236"/>
      <c r="E25" s="239"/>
      <c r="F25" s="237"/>
      <c r="G25" s="240" t="s">
        <v>1588</v>
      </c>
    </row>
    <row r="26" spans="1:7" s="212" customFormat="1">
      <c r="A26" s="777" t="s">
        <v>350</v>
      </c>
      <c r="B26" s="213" t="s">
        <v>1511</v>
      </c>
      <c r="C26" s="236">
        <f ca="1">ROUND(IF('数据-取费表'!B22&lt;=1,F21*F22*'数据-取费表'!B22/2,F21*(POWER((1+F22),'数据-取费表'!B22/2)-1)),4)</f>
        <v>1.6000000000000001E-3</v>
      </c>
      <c r="D26" s="236"/>
      <c r="E26" s="239"/>
      <c r="F26" s="237"/>
      <c r="G26" s="241"/>
    </row>
    <row r="27" spans="1:7" s="212" customFormat="1" ht="24.75">
      <c r="A27" s="253" t="s">
        <v>1512</v>
      </c>
      <c r="B27" s="242" t="s">
        <v>1513</v>
      </c>
      <c r="C27" s="243">
        <f ca="1">C28</f>
        <v>43827726</v>
      </c>
      <c r="D27" s="233">
        <f ca="1">C29</f>
        <v>6.0000000000000001E-3</v>
      </c>
      <c r="E27" s="234" t="s">
        <v>1514</v>
      </c>
      <c r="F27" s="244">
        <f ca="1">IF(B1="",'数据-取费表'!Q16,INDIRECT("'数据-取费表'!q"&amp;$G$1))</f>
        <v>0.2</v>
      </c>
      <c r="G27" s="245" t="s">
        <v>1515</v>
      </c>
    </row>
    <row r="28" spans="1:7" s="212" customFormat="1" ht="13.5" customHeight="1">
      <c r="A28" s="777" t="s">
        <v>346</v>
      </c>
      <c r="B28" s="246" t="s">
        <v>1516</v>
      </c>
      <c r="C28" s="247">
        <f ca="1">ROUND((C5+C19+C20)*F27,0)</f>
        <v>43827726</v>
      </c>
      <c r="D28" s="233"/>
      <c r="E28" s="234"/>
      <c r="F28" s="244"/>
      <c r="G28" s="245"/>
    </row>
    <row r="29" spans="1:7" s="212" customFormat="1" ht="13.5" customHeight="1">
      <c r="A29" s="777" t="s">
        <v>347</v>
      </c>
      <c r="B29" s="246" t="s">
        <v>1517</v>
      </c>
      <c r="C29" s="236">
        <f ca="1">ROUND(C21*F27,4)</f>
        <v>6.0000000000000001E-3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314667639</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63745222</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57601104</v>
      </c>
      <c r="D34" s="215"/>
      <c r="E34" s="218"/>
      <c r="F34" s="255"/>
      <c r="G34" s="217"/>
    </row>
    <row r="35" spans="1:7" ht="13.5" customHeight="1">
      <c r="A35" s="777" t="s">
        <v>351</v>
      </c>
      <c r="B35" s="213" t="s">
        <v>1527</v>
      </c>
      <c r="C35" s="218">
        <f ca="1">ROUND(C34*F35,0)</f>
        <v>2880055</v>
      </c>
      <c r="D35" s="218"/>
      <c r="E35" s="218"/>
      <c r="F35" s="257">
        <f>'数据-取费表'!B33</f>
        <v>0.05</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2400046</v>
      </c>
      <c r="D37" s="215">
        <f ca="1">D19</f>
        <v>12000.23</v>
      </c>
      <c r="E37" s="247">
        <f>'数据-取费表'!B35</f>
        <v>200</v>
      </c>
      <c r="F37" s="257"/>
      <c r="G37" s="259"/>
    </row>
    <row r="38" spans="1:7" ht="13.5" customHeight="1">
      <c r="A38" s="777" t="s">
        <v>354</v>
      </c>
      <c r="B38" s="213" t="s">
        <v>1533</v>
      </c>
      <c r="C38" s="218">
        <f ca="1">ROUND(C34*F38,0)</f>
        <v>864017</v>
      </c>
      <c r="D38" s="218"/>
      <c r="E38" s="218"/>
      <c r="F38" s="257">
        <f>'数据-取费表'!B36</f>
        <v>1.4999999999999999E-2</v>
      </c>
      <c r="G38" s="217" t="s">
        <v>1528</v>
      </c>
    </row>
    <row r="39" spans="1:7" s="212" customFormat="1" ht="13.5" customHeight="1">
      <c r="A39" s="253" t="s">
        <v>1534</v>
      </c>
      <c r="B39" s="208" t="s">
        <v>1535</v>
      </c>
      <c r="C39" s="230">
        <f ca="1">ROUND(C33*F20,0)</f>
        <v>1912357</v>
      </c>
      <c r="D39" s="230"/>
      <c r="E39" s="230"/>
      <c r="F39" s="231">
        <f>F20</f>
        <v>0.03</v>
      </c>
      <c r="G39" s="232" t="s">
        <v>1536</v>
      </c>
    </row>
    <row r="40" spans="1:7" s="212" customFormat="1" ht="13.5" customHeight="1">
      <c r="A40" s="253" t="s">
        <v>1537</v>
      </c>
      <c r="B40" s="208" t="s">
        <v>1538</v>
      </c>
      <c r="C40" s="1324">
        <f>F21</f>
        <v>0.03</v>
      </c>
      <c r="D40" s="234" t="s">
        <v>1539</v>
      </c>
      <c r="E40" s="230"/>
      <c r="F40" s="231">
        <f>F21</f>
        <v>0.03</v>
      </c>
      <c r="G40" s="232" t="s">
        <v>1540</v>
      </c>
    </row>
    <row r="41" spans="1:7" s="212" customFormat="1" ht="13.5" customHeight="1">
      <c r="A41" s="253" t="s">
        <v>1541</v>
      </c>
      <c r="B41" s="208" t="s">
        <v>1542</v>
      </c>
      <c r="C41" s="230">
        <f ca="1">ROUND(SUM(C42:C43),0)</f>
        <v>3423476</v>
      </c>
      <c r="D41" s="233">
        <f ca="1">C44</f>
        <v>1.6000000000000001E-3</v>
      </c>
      <c r="E41" s="234" t="s">
        <v>1539</v>
      </c>
      <c r="F41" s="235">
        <f ca="1">F22</f>
        <v>4.1499999999999995E-2</v>
      </c>
      <c r="G41" s="232" t="str">
        <f>IF('数据-取费表'!B22&lt;=1,"单利计息","复利计息")</f>
        <v>复利计息</v>
      </c>
    </row>
    <row r="42" spans="1:7" ht="13.5" customHeight="1">
      <c r="A42" s="777" t="s">
        <v>346</v>
      </c>
      <c r="B42" s="213" t="s">
        <v>1543</v>
      </c>
      <c r="C42" s="236">
        <f ca="1">ROUND(IF('数据-取费表'!B22&lt;=1,C33*F22*'数据-取费表'!B20/2,C33*(POWER((1+F22),'数据-取费表'!B20/2)-1)),0)</f>
        <v>3323763</v>
      </c>
      <c r="D42" s="236"/>
      <c r="E42" s="236"/>
      <c r="F42" s="237"/>
      <c r="G42" s="3839" t="s">
        <v>1591</v>
      </c>
    </row>
    <row r="43" spans="1:7" ht="13.5" customHeight="1">
      <c r="A43" s="777" t="s">
        <v>347</v>
      </c>
      <c r="B43" s="213" t="s">
        <v>1545</v>
      </c>
      <c r="C43" s="236">
        <f ca="1">ROUND(IF('数据-取费表'!B22&lt;=1,C39*F22*'数据-取费表'!B20/2,C39*(POWER((1+F22),'数据-取费表'!B20/2)-1)),0)</f>
        <v>99713</v>
      </c>
      <c r="D43" s="236"/>
      <c r="E43" s="236"/>
      <c r="F43" s="237"/>
      <c r="G43" s="3840"/>
    </row>
    <row r="44" spans="1:7" ht="13.5" customHeight="1">
      <c r="A44" s="777" t="s">
        <v>348</v>
      </c>
      <c r="B44" s="213" t="s">
        <v>1546</v>
      </c>
      <c r="C44" s="236">
        <f ca="1">ROUND(IF('数据-取费表'!B22&lt;=1,C40*F22*'数据-取费表'!B20/2,C40*(POWER((1+F22),'数据-取费表'!B20/2)-1)),4)</f>
        <v>1.6000000000000001E-3</v>
      </c>
      <c r="D44" s="236"/>
      <c r="E44" s="236"/>
      <c r="F44" s="237"/>
      <c r="G44" s="3841"/>
    </row>
    <row r="45" spans="1:7" s="212" customFormat="1" ht="13.5" customHeight="1">
      <c r="A45" s="253" t="s">
        <v>1547</v>
      </c>
      <c r="B45" s="242" t="s">
        <v>1513</v>
      </c>
      <c r="C45" s="243">
        <f ca="1">C46</f>
        <v>13131516</v>
      </c>
      <c r="D45" s="233">
        <f ca="1">C47</f>
        <v>6.0000000000000001E-3</v>
      </c>
      <c r="E45" s="234" t="s">
        <v>1539</v>
      </c>
      <c r="F45" s="244">
        <f ca="1">F27</f>
        <v>0.2</v>
      </c>
      <c r="G45" s="245" t="s">
        <v>1548</v>
      </c>
    </row>
    <row r="46" spans="1:7" s="212" customFormat="1" ht="13.5" customHeight="1">
      <c r="A46" s="777" t="s">
        <v>346</v>
      </c>
      <c r="B46" s="246" t="s">
        <v>1549</v>
      </c>
      <c r="C46" s="247">
        <f ca="1">ROUND((C33+C39)*F27,0)</f>
        <v>13131516</v>
      </c>
      <c r="D46" s="261"/>
      <c r="E46" s="234"/>
      <c r="F46" s="244"/>
      <c r="G46" s="245"/>
    </row>
    <row r="47" spans="1:7" s="212" customFormat="1" ht="13.5" customHeight="1">
      <c r="A47" s="777" t="s">
        <v>347</v>
      </c>
      <c r="B47" s="246" t="s">
        <v>1550</v>
      </c>
      <c r="C47" s="236">
        <f ca="1">ROUND(C40*F27,4)</f>
        <v>6.0000000000000001E-3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90432924</v>
      </c>
      <c r="D49" s="230"/>
      <c r="E49" s="230"/>
      <c r="F49" s="262"/>
      <c r="G49" s="232" t="s">
        <v>1554</v>
      </c>
    </row>
    <row r="50" spans="1:7" s="256" customFormat="1">
      <c r="A50" s="253" t="s">
        <v>1555</v>
      </c>
      <c r="B50" s="208" t="s">
        <v>1556</v>
      </c>
      <c r="C50" s="230"/>
      <c r="D50" s="230"/>
      <c r="E50" s="230"/>
      <c r="F50" s="262">
        <f>IF('数据-取费表'!B24=0,'数据-取费表'!N16,1)</f>
        <v>0.73</v>
      </c>
      <c r="G50" s="245"/>
    </row>
    <row r="51" spans="1:7" ht="16.5" customHeight="1">
      <c r="A51" s="253" t="s">
        <v>1558</v>
      </c>
      <c r="B51" s="208" t="s">
        <v>1593</v>
      </c>
      <c r="C51" s="230">
        <f ca="1">ROUND(C49*F50,0)</f>
        <v>66016035</v>
      </c>
      <c r="D51" s="230"/>
      <c r="E51" s="230"/>
      <c r="F51" s="262"/>
      <c r="G51" s="232" t="s">
        <v>1560</v>
      </c>
    </row>
    <row r="52" spans="1:7" s="206" customFormat="1" ht="16.5" thickBot="1">
      <c r="A52" s="263" t="s">
        <v>1561</v>
      </c>
      <c r="B52" s="264"/>
      <c r="C52" s="265">
        <f ca="1">C31+C51</f>
        <v>380683674</v>
      </c>
      <c r="D52" s="264"/>
      <c r="E52" s="264"/>
      <c r="F52" s="264"/>
      <c r="G52" s="266"/>
    </row>
    <row r="55" spans="1:7" ht="15">
      <c r="B55" s="268" t="s">
        <v>1562</v>
      </c>
      <c r="C55" s="269"/>
    </row>
    <row r="56" spans="1:7">
      <c r="B56" s="271" t="s">
        <v>802</v>
      </c>
      <c r="C56" s="273">
        <f ca="1">1-C57</f>
        <v>0.82699999999999996</v>
      </c>
    </row>
    <row r="57" spans="1:7">
      <c r="B57" s="271" t="s">
        <v>803</v>
      </c>
      <c r="C57" s="272">
        <f ca="1">ROUND(C51/C52,3)</f>
        <v>0.17299999999999999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803"/>
      <c r="F1" s="2803"/>
      <c r="G1" s="2668"/>
      <c r="H1" s="2803"/>
      <c r="I1" s="2803"/>
      <c r="J1" s="2803"/>
      <c r="K1" s="2804">
        <f>MATCH(C1,'数据-取费表'!A6:A16,0)+5</f>
        <v>7</v>
      </c>
    </row>
    <row r="2" spans="1:33" ht="18" customHeight="1">
      <c r="A2" s="199" t="s">
        <v>1462</v>
      </c>
      <c r="B2" s="202">
        <f ca="1">C32</f>
        <v>0</v>
      </c>
      <c r="C2" s="274" t="s">
        <v>1595</v>
      </c>
      <c r="D2" s="274"/>
      <c r="E2" s="2803"/>
      <c r="F2" s="2803"/>
      <c r="G2" s="2803"/>
      <c r="H2" s="2803"/>
      <c r="I2" s="2803"/>
      <c r="J2" s="2803"/>
      <c r="K2" s="2803"/>
    </row>
    <row r="3" spans="1:33" ht="18" customHeight="1" thickBot="1">
      <c r="A3" s="201" t="s">
        <v>1464</v>
      </c>
      <c r="B3" s="202">
        <f ca="1">ROUND(B2*10000/IF(C1="",'数据-汇总表'!E3,INDIRECT("'数据-取费表'!K"&amp;$K$1)),0)</f>
        <v>0</v>
      </c>
      <c r="C3" s="274" t="s">
        <v>1596</v>
      </c>
      <c r="D3" s="274"/>
      <c r="E3" s="2803"/>
      <c r="F3" s="2803"/>
      <c r="G3" s="2803"/>
      <c r="H3" s="2803"/>
      <c r="I3" s="2803"/>
      <c r="J3" s="2803"/>
      <c r="K3" s="2803"/>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12000.23</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12000.23</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240</v>
      </c>
      <c r="D20" s="843">
        <f ca="1">IF(C1="",'数据-汇总表'!E6,IF(INDIRECT("'数据-取费表'!c"&amp;$K$1)="住宅",INDIRECT("'数据-取费表'!s"&amp;$K$1),INDIRECT("'数据-取费表'!k"&amp;$K$1)+INDIRECT("'数据-取费表'!s"&amp;$K$1)))</f>
        <v>12000.23</v>
      </c>
      <c r="E20" s="21">
        <f>'数据-取费表'!B28</f>
        <v>200</v>
      </c>
      <c r="F20" s="801"/>
      <c r="G20" s="12"/>
      <c r="H20" s="806"/>
      <c r="I20" s="806"/>
      <c r="J20" s="806"/>
      <c r="K20" s="807"/>
    </row>
    <row r="21" spans="1:33" s="800" customFormat="1" ht="13.5" customHeight="1">
      <c r="A21" s="787" t="s">
        <v>357</v>
      </c>
      <c r="B21" s="810" t="s">
        <v>1628</v>
      </c>
      <c r="C21" s="811">
        <f ca="1">C16+C17+C18</f>
        <v>0</v>
      </c>
      <c r="D21" s="812"/>
      <c r="E21" s="279"/>
      <c r="F21" s="279"/>
      <c r="G21" s="129" t="s">
        <v>1629</v>
      </c>
      <c r="H21" s="804"/>
      <c r="I21" s="804"/>
      <c r="J21" s="804"/>
      <c r="K21" s="805"/>
    </row>
    <row r="22" spans="1:33" s="800" customFormat="1" ht="13.5" customHeight="1">
      <c r="A22" s="787" t="s">
        <v>1601</v>
      </c>
      <c r="B22" s="810" t="s">
        <v>1630</v>
      </c>
      <c r="C22" s="811">
        <f ca="1">ROUND(C21*F22,0)</f>
        <v>0</v>
      </c>
      <c r="D22" s="279"/>
      <c r="E22" s="279"/>
      <c r="F22" s="813">
        <f>'数据-取费表'!B37</f>
        <v>0.03</v>
      </c>
      <c r="G22" s="5" t="s">
        <v>1631</v>
      </c>
      <c r="H22" s="794"/>
      <c r="I22" s="794"/>
      <c r="J22" s="794"/>
      <c r="K22" s="795"/>
    </row>
    <row r="23" spans="1:33" s="800" customFormat="1" ht="13.5" customHeight="1">
      <c r="A23" s="787" t="s">
        <v>1603</v>
      </c>
      <c r="B23" s="810" t="s">
        <v>1632</v>
      </c>
      <c r="C23" s="811">
        <f ca="1">ROUND(C4*F23*F11,0)</f>
        <v>0</v>
      </c>
      <c r="D23" s="279"/>
      <c r="E23" s="279"/>
      <c r="F23" s="813">
        <f>'数据-取费表'!B38</f>
        <v>0.03</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4.1499999999999995E-2</v>
      </c>
      <c r="G25" s="129"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61" t="str">
        <f>IF('数据-取费表'!B22&lt;=1,"（1）-（3）项×年利率×建设期÷2","（1）-（3）项×((1+年利率)^(建设期÷2)-1)")</f>
        <v>（1）-（3）项×((1+年利率)^(建设期÷2)-1)</v>
      </c>
      <c r="H27" s="804"/>
      <c r="I27" s="804"/>
      <c r="J27" s="804"/>
      <c r="K27" s="805"/>
    </row>
    <row r="28" spans="1:33" s="287" customFormat="1" ht="13.5" customHeight="1">
      <c r="A28" s="787" t="s">
        <v>1641</v>
      </c>
      <c r="B28" s="1862" t="s">
        <v>1642</v>
      </c>
      <c r="C28" s="285">
        <f ca="1">C30</f>
        <v>0</v>
      </c>
      <c r="D28" s="278">
        <f ca="1">C29</f>
        <v>0</v>
      </c>
      <c r="E28" s="280" t="s">
        <v>12</v>
      </c>
      <c r="F28" s="286">
        <f ca="1">IF(C1="",'数据-取费表'!Q16,INDIRECT("'数据-取费表'!q"&amp;$K$1))</f>
        <v>0.2</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0</v>
      </c>
      <c r="D30" s="282"/>
      <c r="E30" s="283"/>
      <c r="F30" s="288"/>
      <c r="G30" s="129"/>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c r="D1" s="1359" t="s">
        <v>43</v>
      </c>
      <c r="E1" s="1360" t="s">
        <v>678</v>
      </c>
      <c r="F1" s="1059">
        <f ca="1">J53</f>
        <v>0</v>
      </c>
      <c r="G1" s="1375">
        <f>MATCH(C1,'数据-取费表'!A6:A16,0)+5</f>
        <v>7</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3"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0"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0</v>
      </c>
      <c r="D5" s="1361" t="s">
        <v>889</v>
      </c>
      <c r="E5" s="1068"/>
      <c r="F5" s="1069"/>
      <c r="G5" s="1381"/>
      <c r="H5" s="297">
        <v>1</v>
      </c>
      <c r="I5" s="298" t="s">
        <v>888</v>
      </c>
      <c r="J5" s="1067">
        <f ca="1">J6+J10+J12</f>
        <v>0</v>
      </c>
      <c r="K5" s="1361" t="s">
        <v>889</v>
      </c>
      <c r="L5" s="1068"/>
      <c r="M5" s="1069"/>
    </row>
    <row r="6" spans="1:37" ht="18" customHeight="1">
      <c r="A6" s="1066" t="s">
        <v>398</v>
      </c>
      <c r="B6" s="3842" t="s">
        <v>694</v>
      </c>
      <c r="C6" s="1071">
        <f ca="1">ROUND(F6*F8*F7*(1-F9),0)</f>
        <v>0</v>
      </c>
      <c r="D6" s="153" t="s">
        <v>2106</v>
      </c>
      <c r="E6" s="300" t="s">
        <v>696</v>
      </c>
      <c r="F6" s="301">
        <f ca="1">INDIRECT("'数据-取费表'!u"&amp;$G$1)</f>
        <v>0</v>
      </c>
      <c r="G6" s="1381"/>
      <c r="H6" s="1066" t="s">
        <v>398</v>
      </c>
      <c r="I6" s="3842" t="s">
        <v>694</v>
      </c>
      <c r="J6" s="299">
        <f ca="1">ROUND(M6*M8*M7*(1-M9),0)</f>
        <v>0</v>
      </c>
      <c r="K6" s="1373" t="s">
        <v>2107</v>
      </c>
      <c r="L6" s="300" t="s">
        <v>696</v>
      </c>
      <c r="M6" s="301">
        <f ca="1">INDIRECT("'数据-取费表'!z"&amp;$G$1)</f>
        <v>0</v>
      </c>
    </row>
    <row r="7" spans="1:37" ht="18" customHeight="1">
      <c r="A7" s="1070"/>
      <c r="B7" s="3843"/>
      <c r="C7" s="1072"/>
      <c r="D7" s="305"/>
      <c r="E7" s="1073" t="s">
        <v>697</v>
      </c>
      <c r="F7" s="301">
        <f ca="1">IF(INDIRECT("'数据-取费表'!ah"&amp;$G$1)="",INDIRECT("'数据-取费表'!k"&amp;$G$1),INDIRECT("'数据-取费表'!ah"&amp;$G$1))</f>
        <v>0</v>
      </c>
      <c r="G7" s="1381"/>
      <c r="H7" s="302"/>
      <c r="I7" s="3843"/>
      <c r="J7" s="304"/>
      <c r="K7" s="305"/>
      <c r="L7" s="300" t="s">
        <v>697</v>
      </c>
      <c r="M7" s="301">
        <f ca="1">F7</f>
        <v>0</v>
      </c>
    </row>
    <row r="8" spans="1:37" ht="18" customHeight="1">
      <c r="A8" s="302"/>
      <c r="B8" s="3843"/>
      <c r="C8" s="304"/>
      <c r="D8" s="305"/>
      <c r="E8" s="300" t="s">
        <v>698</v>
      </c>
      <c r="F8" s="301">
        <f ca="1">INDIRECT("'数据-取费表'!ai"&amp;$G$1)</f>
        <v>0</v>
      </c>
      <c r="G8" s="1381"/>
      <c r="H8" s="302"/>
      <c r="I8" s="3843"/>
      <c r="J8" s="304"/>
      <c r="K8" s="305"/>
      <c r="L8" s="300" t="s">
        <v>698</v>
      </c>
      <c r="M8" s="301">
        <f ca="1">INDIRECT("'数据-取费表'!ai"&amp;$G$1)</f>
        <v>0</v>
      </c>
    </row>
    <row r="9" spans="1:37" ht="18" customHeight="1">
      <c r="A9" s="302"/>
      <c r="B9" s="3844"/>
      <c r="C9" s="304"/>
      <c r="D9" s="305"/>
      <c r="E9" s="300" t="s">
        <v>699</v>
      </c>
      <c r="F9" s="310">
        <f ca="1">INDIRECT("'数据-取费表'!w"&amp;$G$1)</f>
        <v>0</v>
      </c>
      <c r="G9" s="1381"/>
      <c r="H9" s="302"/>
      <c r="I9" s="3844"/>
      <c r="J9" s="304"/>
      <c r="K9" s="305"/>
      <c r="L9" s="311" t="s">
        <v>699</v>
      </c>
      <c r="M9" s="312">
        <f ca="1">INDIRECT("'数据-取费表'!ab"&amp;$G$1)</f>
        <v>0</v>
      </c>
    </row>
    <row r="10" spans="1:37" ht="18" customHeight="1">
      <c r="A10" s="1066" t="s">
        <v>402</v>
      </c>
      <c r="B10" s="1362" t="s">
        <v>700</v>
      </c>
      <c r="C10" s="314">
        <f ca="1">ROUND(IF(F10="押一",C6/12*F11,IF(F10="押二",C6/12*2*F11,IF(F10="押三",C6/12*3*F11,C11*F11))),0)</f>
        <v>0</v>
      </c>
      <c r="D10" s="1363" t="s">
        <v>2116</v>
      </c>
      <c r="E10" s="311" t="s">
        <v>701</v>
      </c>
      <c r="F10" s="1113"/>
      <c r="G10" s="1381"/>
      <c r="H10" s="1066" t="s">
        <v>402</v>
      </c>
      <c r="I10" s="1362" t="s">
        <v>700</v>
      </c>
      <c r="J10" s="299">
        <f ca="1">ROUND(IF(M10="押一",J6/12*M11,IF(M10="押二",J6/12*2*M11,IF(M10="押三",J6/12*3*M11,J11*M11))),0)</f>
        <v>0</v>
      </c>
      <c r="K10" s="1374" t="s">
        <v>2118</v>
      </c>
      <c r="L10" s="311" t="s">
        <v>701</v>
      </c>
      <c r="M10" s="1113"/>
    </row>
    <row r="11" spans="1:37" ht="18" customHeight="1">
      <c r="A11" s="306"/>
      <c r="B11" s="1364" t="s">
        <v>890</v>
      </c>
      <c r="C11" s="956"/>
      <c r="D11" s="305"/>
      <c r="E11" s="311" t="s">
        <v>702</v>
      </c>
      <c r="F11" s="312">
        <f ca="1">'数据-取费表'!B39</f>
        <v>1.4999999999999999E-2</v>
      </c>
      <c r="G11" s="1381"/>
      <c r="H11" s="1074"/>
      <c r="I11" s="1364" t="s">
        <v>891</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0" t="s">
        <v>707</v>
      </c>
      <c r="C14" s="316">
        <f ca="1">ROUND(INDIRECT("'数据-取费表'!l"&amp;$G$1)*F43+'数据-取费表'!L14*INDIRECT("'数据-取费表'!S"&amp;$G$1),0)</f>
        <v>0</v>
      </c>
      <c r="D14" s="1342" t="s">
        <v>708</v>
      </c>
      <c r="E14" s="1339"/>
      <c r="F14" s="317"/>
      <c r="G14" s="1381"/>
      <c r="H14" s="979" t="s">
        <v>398</v>
      </c>
      <c r="I14" s="300" t="s">
        <v>709</v>
      </c>
      <c r="J14" s="21">
        <f ca="1">C29</f>
        <v>0</v>
      </c>
      <c r="K14" s="12"/>
      <c r="L14" s="804"/>
      <c r="M14" s="805"/>
    </row>
    <row r="15" spans="1:37" s="1394" customFormat="1" ht="18" customHeight="1" thickBot="1">
      <c r="A15" s="979" t="s">
        <v>399</v>
      </c>
      <c r="B15" s="300" t="s">
        <v>710</v>
      </c>
      <c r="C15" s="21">
        <f ca="1">ROUND(C14*F15,0)</f>
        <v>0</v>
      </c>
      <c r="D15" s="318" t="s">
        <v>711</v>
      </c>
      <c r="E15" s="318" t="s">
        <v>712</v>
      </c>
      <c r="F15" s="319">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0</v>
      </c>
      <c r="K16" s="1084" t="s">
        <v>715</v>
      </c>
      <c r="L16" s="1085"/>
      <c r="M16" s="1069"/>
    </row>
    <row r="17" spans="1:37" s="1394" customFormat="1" ht="18" customHeight="1">
      <c r="A17" s="979" t="s">
        <v>681</v>
      </c>
      <c r="B17" s="300" t="s">
        <v>716</v>
      </c>
      <c r="C17" s="21">
        <f ca="1">ROUND(F17*(F43+INDIRECT("'数据-取费表'!S"&amp;$G$1)),0)</f>
        <v>0</v>
      </c>
      <c r="D17" s="300" t="s">
        <v>717</v>
      </c>
      <c r="E17" s="300" t="s">
        <v>718</v>
      </c>
      <c r="F17" s="23">
        <f>'数据-取费表'!B35</f>
        <v>200</v>
      </c>
      <c r="G17" s="1393"/>
      <c r="H17" s="979" t="s">
        <v>398</v>
      </c>
      <c r="I17" s="300"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0</v>
      </c>
      <c r="D18" s="300" t="s">
        <v>711</v>
      </c>
      <c r="E18" s="300" t="s">
        <v>712</v>
      </c>
      <c r="F18" s="320">
        <f>'数据-取费表'!B36</f>
        <v>1.4999999999999999E-2</v>
      </c>
      <c r="G18" s="1393"/>
      <c r="H18" s="979" t="s">
        <v>397</v>
      </c>
      <c r="I18" s="300" t="s">
        <v>723</v>
      </c>
      <c r="J18" s="21">
        <f ca="1">ROUND(J6*M18/(1+'数据-取费表'!C42),0)</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0</v>
      </c>
      <c r="D19" s="129" t="s">
        <v>726</v>
      </c>
      <c r="E19" s="1357"/>
      <c r="F19" s="23"/>
      <c r="G19" s="1381"/>
      <c r="H19" s="979" t="s">
        <v>399</v>
      </c>
      <c r="I19" s="300" t="s">
        <v>727</v>
      </c>
      <c r="J19" s="21">
        <f ca="1">IF(K19="按租金收入计税",ROUND(J6*M19/(1+'数据-取费表'!C42),0),ROUND(C29*M19*0.7,0))</f>
        <v>0</v>
      </c>
      <c r="K19" s="1367" t="s">
        <v>3343</v>
      </c>
      <c r="L19" s="300" t="s">
        <v>712</v>
      </c>
      <c r="M19" s="320">
        <f>IF(K19="按租金收入计税",'数据-取费表'!B51,'数据-取费表'!B50)</f>
        <v>0.12</v>
      </c>
    </row>
    <row r="20" spans="1:37" s="1394" customFormat="1" ht="18" customHeight="1">
      <c r="A20" s="979" t="s">
        <v>402</v>
      </c>
      <c r="B20" s="300" t="s">
        <v>728</v>
      </c>
      <c r="C20" s="21">
        <f ca="1">ROUND(C19*F20,0)</f>
        <v>0</v>
      </c>
      <c r="D20" s="321" t="s">
        <v>729</v>
      </c>
      <c r="E20" s="300" t="s">
        <v>712</v>
      </c>
      <c r="F20" s="320">
        <f>'数据-取费表'!B37</f>
        <v>0.03</v>
      </c>
      <c r="G20" s="1393"/>
      <c r="H20" s="979" t="s">
        <v>680</v>
      </c>
      <c r="I20" s="153" t="s">
        <v>730</v>
      </c>
      <c r="J20" s="22">
        <f ca="1">ROUND(M20*M21,0)</f>
        <v>0</v>
      </c>
      <c r="K20" s="322" t="s">
        <v>731</v>
      </c>
      <c r="L20" s="300" t="s">
        <v>732</v>
      </c>
      <c r="M20" s="323">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0.03</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ROUND(J14*M22,0)</f>
        <v>0</v>
      </c>
      <c r="K22" s="1341" t="s">
        <v>739</v>
      </c>
      <c r="L22" s="300" t="s">
        <v>712</v>
      </c>
      <c r="M22" s="326">
        <f ca="1">INDIRECT("'数据-取费表'!Ak"&amp;$G$1)</f>
        <v>0</v>
      </c>
    </row>
    <row r="23" spans="1:37" s="1394" customFormat="1" ht="18" customHeight="1">
      <c r="A23" s="979"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2.5</v>
      </c>
      <c r="G23" s="1393"/>
      <c r="H23" s="979" t="s">
        <v>437</v>
      </c>
      <c r="I23" s="300" t="s">
        <v>742</v>
      </c>
      <c r="J23" s="21">
        <f ca="1">ROUND(J13*M23,0)</f>
        <v>0</v>
      </c>
      <c r="K23" s="1341" t="s">
        <v>743</v>
      </c>
      <c r="L23" s="300" t="s">
        <v>744</v>
      </c>
      <c r="M23" s="328">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4.1499999999999995E-2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0</v>
      </c>
      <c r="K25" s="1092" t="s">
        <v>753</v>
      </c>
      <c r="L25" s="1093"/>
      <c r="M25" s="1094"/>
    </row>
    <row r="26" spans="1:37" ht="18" customHeight="1">
      <c r="A26" s="979" t="s">
        <v>397</v>
      </c>
      <c r="B26" s="300" t="s">
        <v>754</v>
      </c>
      <c r="C26" s="21">
        <f ca="1">ROUND((C19+C20)*F26,0)</f>
        <v>0</v>
      </c>
      <c r="D26" s="321" t="s">
        <v>755</v>
      </c>
      <c r="E26" s="311" t="s">
        <v>756</v>
      </c>
      <c r="F26" s="310">
        <f ca="1">INDIRECT("'数据-取费表'!q"&amp;$G$1)</f>
        <v>0</v>
      </c>
      <c r="G26" s="1381"/>
      <c r="H26" s="297" t="s">
        <v>395</v>
      </c>
      <c r="I26" s="298" t="s">
        <v>757</v>
      </c>
      <c r="J26" s="299">
        <f ca="1">IF(J5&lt;&gt;0,ROUND(J25*(1-((1+M28)/(1+M26))^M27)/(M26-M28),0),0)</f>
        <v>0</v>
      </c>
      <c r="K26" s="322" t="s">
        <v>758</v>
      </c>
      <c r="L26" s="300" t="s">
        <v>759</v>
      </c>
      <c r="M26" s="310">
        <f ca="1">INDIRECT("'数据-取费表'!I"&amp;$G$1)</f>
        <v>0</v>
      </c>
    </row>
    <row r="27" spans="1:37" ht="18" customHeight="1">
      <c r="A27" s="979" t="s">
        <v>399</v>
      </c>
      <c r="B27" s="300" t="s">
        <v>760</v>
      </c>
      <c r="C27" s="21">
        <f ca="1">ROUND(F21*F26,4)</f>
        <v>0</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2" t="s">
        <v>396</v>
      </c>
      <c r="I29" s="333" t="s">
        <v>768</v>
      </c>
      <c r="J29" s="334">
        <f ca="1">ROUND(J26/(1+F40)^F41,0)</f>
        <v>0</v>
      </c>
      <c r="K29" s="335" t="s">
        <v>769</v>
      </c>
      <c r="L29" s="336"/>
      <c r="M29" s="337">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0</v>
      </c>
      <c r="D30" s="1084" t="s">
        <v>715</v>
      </c>
      <c r="E30" s="1085"/>
      <c r="F30" s="1069"/>
      <c r="G30" s="1381"/>
      <c r="H30" s="2694"/>
      <c r="I30" s="1395"/>
      <c r="J30" s="1396"/>
      <c r="K30" s="2472"/>
      <c r="L30" s="2695"/>
      <c r="M30" s="2696"/>
    </row>
    <row r="31" spans="1:37" ht="18" customHeight="1">
      <c r="A31" s="979" t="s">
        <v>398</v>
      </c>
      <c r="B31" s="300"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5" t="s">
        <v>2310</v>
      </c>
      <c r="I31" s="1395"/>
      <c r="J31" s="1396"/>
      <c r="K31" s="2472"/>
      <c r="L31" s="2695"/>
      <c r="M31" s="2696"/>
    </row>
    <row r="32" spans="1:37" ht="18" customHeight="1">
      <c r="A32" s="979" t="s">
        <v>397</v>
      </c>
      <c r="B32" s="300" t="s">
        <v>723</v>
      </c>
      <c r="C32" s="21">
        <f ca="1">IF(项目基本情况!B11="自然人","——",ROUND(C6*F32/(1+'数据-取费表'!C42),0))</f>
        <v>0</v>
      </c>
      <c r="D32" s="1341" t="s">
        <v>724</v>
      </c>
      <c r="E32" s="300" t="s">
        <v>712</v>
      </c>
      <c r="F32" s="329">
        <f>'数据-取费表'!B41</f>
        <v>5.6000000000000001E-2</v>
      </c>
      <c r="G32" s="1381"/>
      <c r="H32" s="2694"/>
      <c r="I32" s="1395"/>
      <c r="J32" s="1396"/>
      <c r="K32" s="2472"/>
      <c r="L32" s="2695"/>
      <c r="M32" s="2696"/>
    </row>
    <row r="33" spans="1:18" ht="18" customHeight="1">
      <c r="A33" s="979" t="s">
        <v>399</v>
      </c>
      <c r="B33" s="300" t="s">
        <v>727</v>
      </c>
      <c r="C33" s="21">
        <f ca="1">IF(项目基本情况!B11="自然人","——",IF(D33="按租金收入计税",ROUND(C6*F33/(1+'数据-取费表'!C42),0),IF(D33="按房产原值计税",ROUND(C29*F33*0.7,0),INDIRECT("'数据-取费表'!Aj"&amp;$G$1))))</f>
        <v>0</v>
      </c>
      <c r="D33" s="1367" t="s">
        <v>3343</v>
      </c>
      <c r="E33" s="300" t="s">
        <v>712</v>
      </c>
      <c r="F33" s="320">
        <f>IF(D33="按票据","——",IF(D33="按租金收入计税",'数据-取费表'!B51,'数据-取费表'!B50))</f>
        <v>0.12</v>
      </c>
      <c r="G33" s="1381"/>
      <c r="H33" s="2697"/>
      <c r="I33" s="1395"/>
      <c r="J33" s="1396"/>
      <c r="K33" s="2698"/>
      <c r="L33" s="2697"/>
      <c r="M33" s="2697"/>
    </row>
    <row r="34" spans="1:18" ht="18" customHeight="1">
      <c r="A34" s="1066" t="s">
        <v>680</v>
      </c>
      <c r="B34" s="153" t="s">
        <v>730</v>
      </c>
      <c r="C34" s="22">
        <f ca="1">IF(项目基本情况!B11="自然人","——",ROUND(F34*F35,0))</f>
        <v>0</v>
      </c>
      <c r="D34" s="322" t="s">
        <v>731</v>
      </c>
      <c r="E34" s="300" t="s">
        <v>732</v>
      </c>
      <c r="F34" s="323">
        <f>'数据-取费表'!B52</f>
        <v>18</v>
      </c>
      <c r="G34" s="1381"/>
      <c r="H34" s="2694"/>
      <c r="I34" s="1395"/>
      <c r="J34" s="1396"/>
      <c r="K34" s="2699"/>
      <c r="L34" s="2700"/>
      <c r="M34" s="2700"/>
    </row>
    <row r="35" spans="1:18" ht="18" customHeight="1">
      <c r="A35" s="1100"/>
      <c r="B35" s="1098"/>
      <c r="C35" s="26"/>
      <c r="D35" s="325"/>
      <c r="E35" s="300" t="s">
        <v>736</v>
      </c>
      <c r="F35" s="301">
        <f ca="1">INDIRECT("'数据-取费表'!r"&amp;$G$1)</f>
        <v>0</v>
      </c>
      <c r="G35" s="1381"/>
      <c r="H35" s="2694"/>
      <c r="I35" s="1395"/>
      <c r="J35" s="1396"/>
      <c r="K35" s="2698"/>
      <c r="L35" s="2697"/>
      <c r="M35" s="2697"/>
    </row>
    <row r="36" spans="1:18" ht="18" customHeight="1">
      <c r="A36" s="1099" t="s">
        <v>402</v>
      </c>
      <c r="B36" s="300" t="s">
        <v>738</v>
      </c>
      <c r="C36" s="21">
        <f ca="1">ROUND(C29*F36,0)</f>
        <v>0</v>
      </c>
      <c r="D36" s="1341" t="s">
        <v>771</v>
      </c>
      <c r="E36" s="300" t="s">
        <v>712</v>
      </c>
      <c r="F36" s="326">
        <f ca="1">INDIRECT("'数据-取费表'!Ak"&amp;$G$1)</f>
        <v>0</v>
      </c>
      <c r="G36" s="1381"/>
      <c r="H36" s="2697"/>
      <c r="I36" s="1395"/>
      <c r="J36" s="1396"/>
      <c r="K36" s="2541"/>
      <c r="L36" s="2697"/>
      <c r="M36" s="2697"/>
    </row>
    <row r="37" spans="1:18" ht="18" customHeight="1">
      <c r="A37" s="979" t="s">
        <v>437</v>
      </c>
      <c r="B37" s="300" t="s">
        <v>742</v>
      </c>
      <c r="C37" s="21">
        <f ca="1">ROUND(C13*F37,0)</f>
        <v>0</v>
      </c>
      <c r="D37" s="1341" t="s">
        <v>743</v>
      </c>
      <c r="E37" s="300" t="s">
        <v>744</v>
      </c>
      <c r="F37" s="328">
        <f ca="1">INDIRECT("'数据-取费表'!Al"&amp;$G$1)</f>
        <v>0</v>
      </c>
      <c r="G37" s="1381"/>
      <c r="H37" s="2697"/>
      <c r="I37" s="1395"/>
      <c r="J37" s="1396"/>
      <c r="K37" s="2541"/>
      <c r="L37" s="2697"/>
      <c r="M37" s="2697"/>
    </row>
    <row r="38" spans="1:18" ht="18" customHeight="1" thickBot="1">
      <c r="A38" s="1086" t="s">
        <v>684</v>
      </c>
      <c r="B38" s="1087" t="s">
        <v>728</v>
      </c>
      <c r="C38" s="1088">
        <f ca="1">ROUND(C5*F38,0)</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08">
        <f ca="1">C5-C30</f>
        <v>0</v>
      </c>
      <c r="D39" s="1092" t="s">
        <v>773</v>
      </c>
      <c r="E39" s="1093"/>
      <c r="F39" s="1094"/>
      <c r="G39" s="1381"/>
      <c r="H39" s="2697"/>
      <c r="I39" s="1395"/>
      <c r="J39" s="1396"/>
      <c r="K39" s="2701"/>
      <c r="L39" s="2697"/>
      <c r="M39" s="2697"/>
    </row>
    <row r="40" spans="1:18" ht="18" customHeight="1">
      <c r="A40" s="297" t="s">
        <v>395</v>
      </c>
      <c r="B40" s="298" t="s">
        <v>774</v>
      </c>
      <c r="C40" s="299" t="e">
        <f ca="1">ROUND(C39*(1-((1+F42)/(1+F40))^F41)/(F40-F42),0)</f>
        <v>#DIV/0!</v>
      </c>
      <c r="D40" s="322" t="s">
        <v>758</v>
      </c>
      <c r="E40" s="300" t="s">
        <v>759</v>
      </c>
      <c r="F40" s="310">
        <f ca="1">INDIRECT("'数据-取费表'!I"&amp;$G$1)</f>
        <v>0</v>
      </c>
      <c r="G40" s="1381"/>
      <c r="H40" s="1458"/>
      <c r="I40" s="1395"/>
      <c r="J40" s="1396"/>
      <c r="K40" s="2701"/>
      <c r="L40" s="1458"/>
      <c r="M40" s="1458"/>
    </row>
    <row r="41" spans="1:18" ht="18" customHeight="1">
      <c r="A41" s="302"/>
      <c r="B41" s="303"/>
      <c r="C41" s="304"/>
      <c r="D41" s="330" t="s">
        <v>775</v>
      </c>
      <c r="E41" s="300" t="s">
        <v>763</v>
      </c>
      <c r="F41" s="331">
        <f ca="1">IF(INDIRECT("'数据-取费表'!af"&amp;$G$1)=0,INDIRECT("'数据-取费表'!ae"&amp;$G$1),INDIRECT("'数据-取费表'!af"&amp;$G$1))</f>
        <v>0</v>
      </c>
      <c r="G41" s="1381"/>
      <c r="H41" s="1188"/>
      <c r="I41" s="1395"/>
      <c r="J41" s="1396"/>
      <c r="K41" s="2541"/>
      <c r="L41" s="1188"/>
      <c r="M41" s="1188"/>
    </row>
    <row r="42" spans="1:18" ht="18" customHeight="1">
      <c r="A42" s="306"/>
      <c r="B42" s="307"/>
      <c r="C42" s="308"/>
      <c r="D42" s="325"/>
      <c r="E42" s="300" t="s">
        <v>766</v>
      </c>
      <c r="F42" s="310">
        <f ca="1">INDIRECT("'数据-取费表'!v"&amp;$G$1)</f>
        <v>0</v>
      </c>
      <c r="G42" s="1381"/>
      <c r="H42" s="1188"/>
      <c r="I42" s="1395"/>
      <c r="J42" s="1396"/>
      <c r="K42" s="2541"/>
      <c r="L42" s="1188"/>
      <c r="M42" s="1188"/>
    </row>
    <row r="43" spans="1:18" ht="18" customHeight="1" thickBot="1">
      <c r="A43" s="332" t="s">
        <v>396</v>
      </c>
      <c r="B43" s="333" t="s">
        <v>776</v>
      </c>
      <c r="C43" s="334" t="e">
        <f ca="1">ROUND(C40/F43,0)</f>
        <v>#DIV/0!</v>
      </c>
      <c r="D43" s="335" t="s">
        <v>777</v>
      </c>
      <c r="E43" s="336" t="s">
        <v>778</v>
      </c>
      <c r="F43" s="337">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9" t="s">
        <v>3359</v>
      </c>
      <c r="B45" s="1397"/>
      <c r="C45" s="1469" t="e">
        <f ca="1">ROUND((C68-C40)/10000,4)</f>
        <v>#DIV/0!</v>
      </c>
      <c r="D45" s="3430" t="s">
        <v>3360</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8"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1">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1" t="s">
        <v>700</v>
      </c>
      <c r="C53" s="314">
        <f ca="1">ROUND(IF(F53="押一",C49/12*F11,IF(F53="押二",C49/12*2*F11,IF(F53="押三",C49/12*3*F11,C54*F11))),0)</f>
        <v>0</v>
      </c>
      <c r="D53" s="1363" t="s">
        <v>2119</v>
      </c>
      <c r="E53" s="311" t="s">
        <v>701</v>
      </c>
      <c r="F53" s="1113"/>
      <c r="I53" s="1436" t="s">
        <v>836</v>
      </c>
      <c r="J53" s="2165">
        <f ca="1">IF(M47="住宅",IF(D1="——",MAX(J51,L48),MAX(J51,L48-'数据-取费表'!B24)),IF(D1="——",MIN(J51,L48),MIN(J51,L48-'数据-取费表'!B24)))</f>
        <v>0</v>
      </c>
      <c r="K53" s="3845" t="s">
        <v>837</v>
      </c>
      <c r="L53" s="3846"/>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6">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3" t="s">
        <v>393</v>
      </c>
      <c r="B58" s="955" t="s">
        <v>714</v>
      </c>
      <c r="C58" s="314">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29">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3343</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3">
        <f t="shared" si="0"/>
        <v>18</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6">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28">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0">
        <f t="shared" ca="1" si="0"/>
        <v>0</v>
      </c>
      <c r="O66" s="1415" t="s">
        <v>404</v>
      </c>
      <c r="P66" s="1416" t="s">
        <v>846</v>
      </c>
      <c r="Q66" s="1417" t="e">
        <f ca="1">L60</f>
        <v>#DIV/0!</v>
      </c>
      <c r="R66" s="1417" t="s">
        <v>869</v>
      </c>
    </row>
    <row r="67" spans="1:18" s="1381" customFormat="1" ht="16.5" thickBot="1">
      <c r="A67" s="954" t="s">
        <v>394</v>
      </c>
      <c r="B67" s="964" t="s">
        <v>752</v>
      </c>
      <c r="C67" s="314">
        <f ca="1">C48-C58</f>
        <v>0</v>
      </c>
      <c r="D67" s="960" t="s">
        <v>753</v>
      </c>
      <c r="E67" s="965"/>
      <c r="F67" s="966"/>
      <c r="O67" s="1425" t="s">
        <v>405</v>
      </c>
      <c r="P67" s="1416" t="s">
        <v>850</v>
      </c>
      <c r="Q67" s="1463">
        <f ca="1">L51</f>
        <v>0</v>
      </c>
      <c r="R67" s="1417" t="s">
        <v>870</v>
      </c>
    </row>
    <row r="68" spans="1:18" s="1381" customFormat="1" ht="16.5" thickBot="1">
      <c r="A68" s="944" t="s">
        <v>395</v>
      </c>
      <c r="B68" s="945" t="s">
        <v>774</v>
      </c>
      <c r="C68" s="299" t="e">
        <f ca="1">ROUND(C67*(1-((1+F70)/(1+F68))^F69)/(F68-F70),0)</f>
        <v>#DIV/0!</v>
      </c>
      <c r="D68" s="962" t="s">
        <v>758</v>
      </c>
      <c r="E68" s="947" t="s">
        <v>759</v>
      </c>
      <c r="F68" s="310">
        <f ca="1">F40</f>
        <v>0</v>
      </c>
      <c r="O68" s="1425" t="s">
        <v>406</v>
      </c>
      <c r="P68" s="1464" t="s">
        <v>871</v>
      </c>
      <c r="Q68" s="1417">
        <f ca="1">ROUND(Q69-Q70*Q71,0)</f>
        <v>0</v>
      </c>
      <c r="R68" s="1417" t="s">
        <v>414</v>
      </c>
    </row>
    <row r="69" spans="1:18" s="1381" customFormat="1" ht="13.5" thickBot="1">
      <c r="A69" s="948"/>
      <c r="B69" s="949"/>
      <c r="C69" s="304"/>
      <c r="D69" s="967" t="s">
        <v>762</v>
      </c>
      <c r="E69" s="947" t="s">
        <v>763</v>
      </c>
      <c r="F69" s="331">
        <f ca="1">F41</f>
        <v>0</v>
      </c>
      <c r="O69" s="1425" t="s">
        <v>411</v>
      </c>
      <c r="P69" s="1464" t="s">
        <v>872</v>
      </c>
      <c r="Q69" s="1417">
        <f ca="1">C39</f>
        <v>0</v>
      </c>
      <c r="R69" s="1417" t="s">
        <v>818</v>
      </c>
    </row>
    <row r="70" spans="1:18" s="1381" customFormat="1" ht="13.5" thickBot="1">
      <c r="A70" s="951"/>
      <c r="B70" s="952"/>
      <c r="C70" s="308"/>
      <c r="D70" s="963"/>
      <c r="E70" s="947" t="s">
        <v>766</v>
      </c>
      <c r="F70" s="1051"/>
      <c r="O70" s="1425" t="s">
        <v>412</v>
      </c>
      <c r="P70" s="1464" t="s">
        <v>873</v>
      </c>
      <c r="Q70" s="1417">
        <f ca="1">C13</f>
        <v>0</v>
      </c>
      <c r="R70" s="1417" t="s">
        <v>818</v>
      </c>
    </row>
    <row r="71" spans="1:18" s="1381" customFormat="1" ht="13.5" thickBot="1">
      <c r="A71" s="968" t="s">
        <v>396</v>
      </c>
      <c r="B71" s="969" t="s">
        <v>776</v>
      </c>
      <c r="C71" s="334" t="e">
        <f ca="1">ROUND(C68/F71,0)</f>
        <v>#DIV/0!</v>
      </c>
      <c r="D71" s="970" t="s">
        <v>777</v>
      </c>
      <c r="E71" s="971" t="s">
        <v>778</v>
      </c>
      <c r="F71" s="337">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0</v>
      </c>
      <c r="D75" s="1381"/>
      <c r="E75" s="1381"/>
      <c r="F75" s="1381"/>
      <c r="K75" s="1399"/>
      <c r="L75" s="1381"/>
      <c r="O75" s="1415" t="s">
        <v>409</v>
      </c>
      <c r="P75" s="1416" t="s">
        <v>838</v>
      </c>
      <c r="Q75" s="1417" t="e">
        <f ca="1">Q65+Q66</f>
        <v>#DIV/0!</v>
      </c>
      <c r="R75" s="1417" t="s">
        <v>410</v>
      </c>
    </row>
    <row r="76" spans="1:18">
      <c r="B76" s="340" t="s">
        <v>796</v>
      </c>
      <c r="C76" s="341">
        <f ca="1">INDIRECT("'数据-取费表'!j"&amp;$G$1)</f>
        <v>0</v>
      </c>
      <c r="I76" s="1381"/>
      <c r="J76" s="1381"/>
      <c r="K76" s="1399"/>
      <c r="L76" s="1381"/>
    </row>
    <row r="77" spans="1:18">
      <c r="B77" s="342" t="s">
        <v>797</v>
      </c>
      <c r="C77" s="343"/>
      <c r="I77" s="1381"/>
      <c r="J77" s="1381"/>
      <c r="K77" s="1399"/>
      <c r="L77" s="1381"/>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2" t="s">
        <v>2318</v>
      </c>
      <c r="B2" s="2840" t="e">
        <f>IF(D2="——",C40,C40+E2)</f>
        <v>#DIV/0!</v>
      </c>
      <c r="C2" s="2841" t="s">
        <v>2319</v>
      </c>
      <c r="D2" s="3441" t="s">
        <v>3368</v>
      </c>
      <c r="E2" s="3442"/>
      <c r="F2" s="2843"/>
      <c r="G2" s="2844"/>
      <c r="H2" s="2845"/>
      <c r="I2" s="2846"/>
      <c r="J2" s="3853" t="s">
        <v>2320</v>
      </c>
      <c r="K2" s="3854"/>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855" t="s">
        <v>2330</v>
      </c>
      <c r="K3" s="3856"/>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855" t="s">
        <v>2332</v>
      </c>
      <c r="K4" s="3856"/>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861" t="s">
        <v>2336</v>
      </c>
      <c r="B6" s="3862"/>
      <c r="C6" s="3863"/>
      <c r="D6" s="2867"/>
      <c r="E6" s="2868"/>
      <c r="F6" s="2869"/>
      <c r="G6" s="2870"/>
      <c r="H6" s="2845"/>
      <c r="I6" s="2846"/>
      <c r="J6" s="3847">
        <v>1</v>
      </c>
      <c r="K6" s="3848"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847"/>
      <c r="K7" s="3849"/>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864" t="s">
        <v>2350</v>
      </c>
      <c r="C8" s="3865"/>
      <c r="D8" s="2886" t="s">
        <v>2351</v>
      </c>
      <c r="E8" s="2887" t="s">
        <v>2352</v>
      </c>
      <c r="F8" s="2888" t="s">
        <v>2353</v>
      </c>
      <c r="G8" s="2889"/>
      <c r="H8" s="2845"/>
      <c r="I8" s="2846"/>
      <c r="J8" s="3847"/>
      <c r="K8" s="3849"/>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864" t="s">
        <v>2356</v>
      </c>
      <c r="C9" s="3865"/>
      <c r="D9" s="2886">
        <f>ROUND(D6*E9,0)</f>
        <v>0</v>
      </c>
      <c r="E9" s="2890"/>
      <c r="F9" s="2891" t="s">
        <v>2357</v>
      </c>
      <c r="G9" s="2870"/>
      <c r="H9" s="2845"/>
      <c r="I9" s="2846"/>
      <c r="J9" s="3847"/>
      <c r="K9" s="3849"/>
      <c r="L9" s="2880" t="s">
        <v>2358</v>
      </c>
      <c r="M9" s="2881"/>
      <c r="N9" s="2857"/>
      <c r="O9" s="2882"/>
      <c r="P9" s="2882"/>
      <c r="Q9" s="2883">
        <v>365</v>
      </c>
      <c r="R9" s="2884">
        <f t="shared" si="0"/>
        <v>0</v>
      </c>
      <c r="S9" s="2838"/>
      <c r="T9" s="2838"/>
      <c r="U9" s="2838"/>
      <c r="V9" s="2846"/>
    </row>
    <row r="10" spans="1:22" s="2850" customFormat="1" ht="13.15" customHeight="1">
      <c r="A10" s="2885">
        <v>2</v>
      </c>
      <c r="B10" s="3864" t="s">
        <v>2359</v>
      </c>
      <c r="C10" s="3865"/>
      <c r="D10" s="2886">
        <f>ROUND(D6*E10,0)</f>
        <v>0</v>
      </c>
      <c r="E10" s="2890"/>
      <c r="F10" s="2891" t="s">
        <v>2360</v>
      </c>
      <c r="G10" s="2870"/>
      <c r="H10" s="2845"/>
      <c r="I10" s="2846"/>
      <c r="J10" s="3847"/>
      <c r="K10" s="3849"/>
      <c r="L10" s="2880" t="s">
        <v>2361</v>
      </c>
      <c r="M10" s="2881"/>
      <c r="N10" s="2857"/>
      <c r="O10" s="2882"/>
      <c r="P10" s="2882"/>
      <c r="Q10" s="2883">
        <v>365</v>
      </c>
      <c r="R10" s="2884">
        <f t="shared" si="0"/>
        <v>0</v>
      </c>
      <c r="S10" s="2838"/>
      <c r="T10" s="2838"/>
      <c r="U10" s="2838"/>
      <c r="V10" s="2846"/>
    </row>
    <row r="11" spans="1:22" s="2850" customFormat="1" ht="13.15" customHeight="1">
      <c r="A11" s="2885">
        <v>3</v>
      </c>
      <c r="B11" s="3864" t="s">
        <v>2362</v>
      </c>
      <c r="C11" s="3865"/>
      <c r="D11" s="2886">
        <f>D12+D14+D15+D16</f>
        <v>0</v>
      </c>
      <c r="E11" s="2892" t="e">
        <f>D11/D6</f>
        <v>#DIV/0!</v>
      </c>
      <c r="F11" s="2888"/>
      <c r="G11" s="2889"/>
      <c r="H11" s="2845"/>
      <c r="I11" s="2846"/>
      <c r="J11" s="3847"/>
      <c r="K11" s="3849"/>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857" t="s">
        <v>2365</v>
      </c>
      <c r="C12" s="3858"/>
      <c r="D12" s="2894">
        <f>ROUND(D13*1.2%*(1-30%),0)</f>
        <v>0</v>
      </c>
      <c r="E12" s="2895">
        <v>1.2E-2</v>
      </c>
      <c r="F12" s="2888" t="s">
        <v>2366</v>
      </c>
      <c r="G12" s="2889"/>
      <c r="H12" s="2845"/>
      <c r="I12" s="2846"/>
      <c r="J12" s="3847"/>
      <c r="K12" s="3849"/>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847"/>
      <c r="K13" s="3849"/>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857" t="s">
        <v>2371</v>
      </c>
      <c r="C14" s="3858"/>
      <c r="D14" s="2894">
        <f>ROUND(E14*B5/10000,0)</f>
        <v>0</v>
      </c>
      <c r="E14" s="2883"/>
      <c r="F14" s="2888" t="s">
        <v>2372</v>
      </c>
      <c r="G14" s="2889"/>
      <c r="H14" s="2845"/>
      <c r="I14" s="2846"/>
      <c r="J14" s="3847"/>
      <c r="K14" s="3850"/>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857" t="s">
        <v>2375</v>
      </c>
      <c r="C15" s="3858"/>
      <c r="D15" s="2894">
        <f>ROUND(D6*E15,0)</f>
        <v>0</v>
      </c>
      <c r="E15" s="2895">
        <v>5.5E-2</v>
      </c>
      <c r="F15" s="2888" t="s">
        <v>2376</v>
      </c>
      <c r="G15" s="2870"/>
      <c r="H15" s="2845"/>
      <c r="I15" s="2846"/>
      <c r="J15" s="3847">
        <v>2</v>
      </c>
      <c r="K15" s="3848"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857" t="s">
        <v>2384</v>
      </c>
      <c r="C16" s="3858"/>
      <c r="D16" s="2905">
        <f>D6*E16</f>
        <v>0</v>
      </c>
      <c r="E16" s="2906"/>
      <c r="F16" s="2891" t="s">
        <v>2385</v>
      </c>
      <c r="G16" s="2870"/>
      <c r="H16" s="2845"/>
      <c r="I16" s="2846"/>
      <c r="J16" s="3847"/>
      <c r="K16" s="3849"/>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859" t="s">
        <v>2387</v>
      </c>
      <c r="C17" s="3860"/>
      <c r="D17" s="2908">
        <f>ROUND(D6*E17,0)</f>
        <v>0</v>
      </c>
      <c r="E17" s="2909"/>
      <c r="F17" s="2910" t="s">
        <v>2388</v>
      </c>
      <c r="G17" s="2870"/>
      <c r="H17" s="2845"/>
      <c r="I17" s="2846"/>
      <c r="J17" s="3847"/>
      <c r="K17" s="3849"/>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847"/>
      <c r="K18" s="3849"/>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847"/>
      <c r="K19" s="3850"/>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847">
        <v>3</v>
      </c>
      <c r="K20" s="3848"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847"/>
      <c r="K21" s="3849"/>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847"/>
      <c r="K22" s="3849"/>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847"/>
      <c r="K23" s="3849"/>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847"/>
      <c r="K24" s="3850"/>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851">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85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853" t="s">
        <v>2320</v>
      </c>
      <c r="K32" s="3854"/>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855" t="s">
        <v>2330</v>
      </c>
      <c r="K33" s="3856"/>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855" t="s">
        <v>2332</v>
      </c>
      <c r="K34" s="385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847">
        <v>1</v>
      </c>
      <c r="K36" s="3848"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847"/>
      <c r="K37" s="3849"/>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847"/>
      <c r="K38" s="3849"/>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847"/>
      <c r="K39" s="3849"/>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847"/>
      <c r="K40" s="3850"/>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851">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85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30155</v>
      </c>
      <c r="C2" s="1869" t="s">
        <v>1651</v>
      </c>
      <c r="D2" s="1870" t="s">
        <v>1652</v>
      </c>
      <c r="E2" s="2604">
        <f>SUM(E6:E13)</f>
        <v>12000.23</v>
      </c>
      <c r="F2" s="2704"/>
      <c r="G2" s="1486"/>
      <c r="H2" s="1486"/>
      <c r="I2" s="1486"/>
      <c r="J2" s="1486"/>
      <c r="K2" s="1486"/>
      <c r="L2" s="1486"/>
      <c r="M2" s="1486"/>
      <c r="N2" s="1486"/>
      <c r="O2" s="1486"/>
      <c r="P2" s="1486"/>
      <c r="Q2" s="1486"/>
      <c r="R2" s="1486"/>
      <c r="S2" s="1486"/>
    </row>
    <row r="3" spans="1:22" ht="15.75">
      <c r="A3" s="1867" t="s">
        <v>686</v>
      </c>
      <c r="B3" s="2598">
        <f ca="1">ROUND(B2*10000/E2,0)</f>
        <v>25129</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866" t="s">
        <v>1654</v>
      </c>
      <c r="C5" s="3867"/>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v>
      </c>
      <c r="B6" s="2599">
        <f ca="1">IF(F6="是",'数据-取费表'!AO6,0)</f>
        <v>30155</v>
      </c>
      <c r="C6" s="1869" t="s">
        <v>1651</v>
      </c>
      <c r="D6" s="2706"/>
      <c r="E6" s="2603">
        <f>IF(OR(A6=0,F6="否"),0,'数据-取费表'!K6+'数据-取费表'!S6)</f>
        <v>12000.23</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N18" sqref="N18"/>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c r="E1" s="3424"/>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25"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12000.23</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3" t="s">
        <v>1666</v>
      </c>
      <c r="B4" s="354"/>
      <c r="C4" s="3886" t="s">
        <v>1667</v>
      </c>
      <c r="D4" s="3887"/>
      <c r="E4" s="3888" t="s">
        <v>1668</v>
      </c>
      <c r="F4" s="3889"/>
      <c r="G4" s="3886" t="s">
        <v>1669</v>
      </c>
      <c r="H4" s="3887"/>
      <c r="I4" s="3886" t="s">
        <v>1670</v>
      </c>
      <c r="J4" s="3887"/>
      <c r="K4" s="1886" t="s">
        <v>1671</v>
      </c>
      <c r="L4" s="2712"/>
      <c r="M4" s="2713"/>
      <c r="N4" s="2713"/>
      <c r="O4" s="2713"/>
      <c r="P4" s="3890" t="s">
        <v>1672</v>
      </c>
      <c r="Q4" s="3891"/>
      <c r="R4" s="3896" t="s">
        <v>1668</v>
      </c>
      <c r="S4" s="3897"/>
      <c r="T4" s="3896" t="s">
        <v>1669</v>
      </c>
      <c r="U4" s="3897"/>
      <c r="V4" s="3902" t="s">
        <v>1670</v>
      </c>
      <c r="W4" s="3902"/>
      <c r="X4" s="1352"/>
      <c r="Y4" s="3896" t="s">
        <v>1672</v>
      </c>
      <c r="Z4" s="3897"/>
      <c r="AA4" s="3883" t="s">
        <v>1668</v>
      </c>
      <c r="AB4" s="3883" t="s">
        <v>1669</v>
      </c>
      <c r="AC4" s="3883" t="s">
        <v>1670</v>
      </c>
    </row>
    <row r="5" spans="1:29" ht="15">
      <c r="A5" s="356"/>
      <c r="B5" s="357"/>
      <c r="C5" s="3905" t="s">
        <v>1673</v>
      </c>
      <c r="D5" s="3906"/>
      <c r="E5" s="3912" t="s">
        <v>1674</v>
      </c>
      <c r="F5" s="3913"/>
      <c r="G5" s="3905" t="s">
        <v>1675</v>
      </c>
      <c r="H5" s="3906"/>
      <c r="I5" s="3905" t="s">
        <v>1676</v>
      </c>
      <c r="J5" s="3906"/>
      <c r="K5" s="1887"/>
      <c r="L5" s="2712"/>
      <c r="M5" s="2713"/>
      <c r="N5" s="2713"/>
      <c r="O5" s="2713"/>
      <c r="P5" s="3892"/>
      <c r="Q5" s="3893"/>
      <c r="R5" s="3898"/>
      <c r="S5" s="3899"/>
      <c r="T5" s="3898"/>
      <c r="U5" s="3899"/>
      <c r="V5" s="3902"/>
      <c r="W5" s="3902"/>
      <c r="X5" s="1352"/>
      <c r="Y5" s="3898"/>
      <c r="Z5" s="3899"/>
      <c r="AA5" s="3884"/>
      <c r="AB5" s="3884"/>
      <c r="AC5" s="3884"/>
    </row>
    <row r="6" spans="1:29" ht="15.75" thickBot="1">
      <c r="A6" s="358"/>
      <c r="B6" s="359"/>
      <c r="C6" s="3903" t="s">
        <v>1677</v>
      </c>
      <c r="D6" s="3904"/>
      <c r="E6" s="3910" t="s">
        <v>1677</v>
      </c>
      <c r="F6" s="3911"/>
      <c r="G6" s="3903" t="s">
        <v>1677</v>
      </c>
      <c r="H6" s="3904"/>
      <c r="I6" s="3903" t="s">
        <v>1677</v>
      </c>
      <c r="J6" s="3904"/>
      <c r="K6" s="1887" t="s">
        <v>1678</v>
      </c>
      <c r="L6" s="2712"/>
      <c r="M6" s="2713"/>
      <c r="N6" s="2713"/>
      <c r="O6" s="2713"/>
      <c r="P6" s="3894"/>
      <c r="Q6" s="3895"/>
      <c r="R6" s="3898"/>
      <c r="S6" s="3899"/>
      <c r="T6" s="3900"/>
      <c r="U6" s="3901"/>
      <c r="V6" s="3902"/>
      <c r="W6" s="3902"/>
      <c r="X6" s="1352"/>
      <c r="Y6" s="3900"/>
      <c r="Z6" s="3901"/>
      <c r="AA6" s="3885"/>
      <c r="AB6" s="3885"/>
      <c r="AC6" s="3885"/>
    </row>
    <row r="7" spans="1:29" s="107" customFormat="1" ht="15.75" thickBot="1">
      <c r="A7" s="360" t="s">
        <v>1679</v>
      </c>
      <c r="B7" s="361"/>
      <c r="C7" s="362">
        <f>'数据-取费表'!B2</f>
        <v>44937</v>
      </c>
      <c r="D7" s="363">
        <v>100</v>
      </c>
      <c r="E7" s="364"/>
      <c r="F7" s="365">
        <f>SUMIF(58:58,YEAR(E7)&amp;"-"&amp;MONTH(E7),59:59)</f>
        <v>0</v>
      </c>
      <c r="G7" s="364"/>
      <c r="H7" s="363">
        <f>SUMIF(58:58,YEAR(G7)&amp;"-"&amp;MONTH(G7),59:59)</f>
        <v>0</v>
      </c>
      <c r="I7" s="364"/>
      <c r="J7" s="363">
        <f>SUMIF(58:58,YEAR(I7)&amp;"-"&amp;MONTH(I7),59:59)</f>
        <v>0</v>
      </c>
      <c r="K7" s="1888"/>
      <c r="L7" s="2714"/>
      <c r="M7" s="2715"/>
      <c r="N7" s="2715"/>
      <c r="O7" s="2715"/>
      <c r="P7" s="3907" t="s">
        <v>1680</v>
      </c>
      <c r="Q7" s="3909"/>
      <c r="R7" s="698" t="s">
        <v>20</v>
      </c>
      <c r="S7" s="699">
        <f t="shared" ref="S7:S15" si="0">F7</f>
        <v>0</v>
      </c>
      <c r="T7" s="698" t="s">
        <v>20</v>
      </c>
      <c r="U7" s="699">
        <f t="shared" ref="U7:U15" si="1">H7</f>
        <v>0</v>
      </c>
      <c r="V7" s="698" t="s">
        <v>20</v>
      </c>
      <c r="W7" s="699">
        <f t="shared" ref="W7:W15" si="2">J7</f>
        <v>0</v>
      </c>
      <c r="X7" s="700"/>
      <c r="Y7" s="3907" t="s">
        <v>1680</v>
      </c>
      <c r="Z7" s="3908"/>
      <c r="AA7" s="701" t="e">
        <f>D7/F7</f>
        <v>#DIV/0!</v>
      </c>
      <c r="AB7" s="701" t="e">
        <f>D7/H7</f>
        <v>#DIV/0!</v>
      </c>
      <c r="AC7" s="701" t="e">
        <f>D7/J7</f>
        <v>#DIV/0!</v>
      </c>
    </row>
    <row r="8" spans="1:29" s="107" customFormat="1" ht="15.7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14"/>
      <c r="M8" s="2715"/>
      <c r="N8" s="2715"/>
      <c r="O8" s="2715"/>
      <c r="P8" s="3907" t="s">
        <v>1683</v>
      </c>
      <c r="Q8" s="3908"/>
      <c r="R8" s="698" t="s">
        <v>20</v>
      </c>
      <c r="S8" s="699">
        <f t="shared" si="0"/>
        <v>100</v>
      </c>
      <c r="T8" s="698" t="s">
        <v>20</v>
      </c>
      <c r="U8" s="699">
        <f t="shared" si="1"/>
        <v>100</v>
      </c>
      <c r="V8" s="698" t="s">
        <v>20</v>
      </c>
      <c r="W8" s="699">
        <f t="shared" si="2"/>
        <v>100</v>
      </c>
      <c r="X8" s="700"/>
      <c r="Y8" s="3907" t="s">
        <v>1683</v>
      </c>
      <c r="Z8" s="3908"/>
      <c r="AA8" s="701">
        <f t="shared" ref="AA8:AA19" si="3">D8/F8</f>
        <v>1</v>
      </c>
      <c r="AB8" s="701">
        <f t="shared" ref="AB8:AB19" si="4">D8/H8</f>
        <v>1</v>
      </c>
      <c r="AC8" s="701">
        <f t="shared" ref="AC8:AC19" si="5">D8/J8</f>
        <v>1</v>
      </c>
    </row>
    <row r="9" spans="1:29" s="107"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14"/>
      <c r="M9" s="2715"/>
      <c r="N9" s="2715"/>
      <c r="O9" s="2715"/>
      <c r="P9" s="3882" t="s">
        <v>1686</v>
      </c>
      <c r="Q9" s="1340" t="str">
        <f t="shared" ref="Q9:Q15" si="6">B9</f>
        <v>用途</v>
      </c>
      <c r="R9" s="698" t="s">
        <v>14</v>
      </c>
      <c r="S9" s="699">
        <f t="shared" si="0"/>
        <v>100</v>
      </c>
      <c r="T9" s="698" t="s">
        <v>14</v>
      </c>
      <c r="U9" s="699">
        <f t="shared" si="1"/>
        <v>100</v>
      </c>
      <c r="V9" s="698" t="s">
        <v>14</v>
      </c>
      <c r="W9" s="699">
        <f t="shared" si="2"/>
        <v>100</v>
      </c>
      <c r="X9" s="700"/>
      <c r="Y9" s="3746" t="s">
        <v>1687</v>
      </c>
      <c r="Z9" s="52" t="str">
        <f t="shared" ref="Z9:Z15" si="7">Q9</f>
        <v>用途</v>
      </c>
      <c r="AA9" s="701">
        <f t="shared" si="3"/>
        <v>1</v>
      </c>
      <c r="AB9" s="701">
        <f t="shared" si="4"/>
        <v>1</v>
      </c>
      <c r="AC9" s="701">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1888"/>
      <c r="L10" s="2716"/>
      <c r="M10" s="2717"/>
      <c r="N10" s="2717"/>
      <c r="O10" s="2717"/>
      <c r="P10" s="3882"/>
      <c r="Q10" s="1340" t="str">
        <f t="shared" si="6"/>
        <v>土地使用年限（年）</v>
      </c>
      <c r="R10" s="698" t="s">
        <v>14</v>
      </c>
      <c r="S10" s="699">
        <f t="shared" si="0"/>
        <v>100</v>
      </c>
      <c r="T10" s="698" t="s">
        <v>14</v>
      </c>
      <c r="U10" s="699">
        <f t="shared" si="1"/>
        <v>100</v>
      </c>
      <c r="V10" s="698" t="s">
        <v>14</v>
      </c>
      <c r="W10" s="699">
        <f t="shared" si="2"/>
        <v>100</v>
      </c>
      <c r="X10" s="700"/>
      <c r="Y10" s="3746"/>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8"/>
      <c r="M11" s="2713"/>
      <c r="N11" s="2713"/>
      <c r="O11" s="2713"/>
      <c r="P11" s="3882"/>
      <c r="Q11" s="1340" t="str">
        <f t="shared" si="6"/>
        <v>容积率</v>
      </c>
      <c r="R11" s="698" t="s">
        <v>18</v>
      </c>
      <c r="S11" s="699" t="e">
        <f t="shared" si="0"/>
        <v>#N/A</v>
      </c>
      <c r="T11" s="698" t="s">
        <v>18</v>
      </c>
      <c r="U11" s="699" t="e">
        <f t="shared" si="1"/>
        <v>#N/A</v>
      </c>
      <c r="V11" s="698" t="s">
        <v>18</v>
      </c>
      <c r="W11" s="699" t="e">
        <f t="shared" si="2"/>
        <v>#N/A</v>
      </c>
      <c r="X11" s="700"/>
      <c r="Y11" s="3746"/>
      <c r="Z11" s="52" t="str">
        <f t="shared" si="7"/>
        <v>容积率</v>
      </c>
      <c r="AA11" s="701" t="e">
        <f t="shared" si="3"/>
        <v>#N/A</v>
      </c>
      <c r="AB11" s="701" t="e">
        <f t="shared" si="4"/>
        <v>#N/A</v>
      </c>
      <c r="AC11" s="701" t="e">
        <f t="shared" si="5"/>
        <v>#N/A</v>
      </c>
    </row>
    <row r="12" spans="1:29" s="107"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4"/>
      <c r="M12" s="2715"/>
      <c r="N12" s="2715"/>
      <c r="O12" s="2715"/>
      <c r="P12" s="3882"/>
      <c r="Q12" s="1340">
        <f t="shared" si="6"/>
        <v>111</v>
      </c>
      <c r="R12" s="698" t="s">
        <v>18</v>
      </c>
      <c r="S12" s="699">
        <f t="shared" si="0"/>
        <v>100</v>
      </c>
      <c r="T12" s="698" t="s">
        <v>18</v>
      </c>
      <c r="U12" s="699">
        <f t="shared" si="1"/>
        <v>100</v>
      </c>
      <c r="V12" s="698" t="s">
        <v>18</v>
      </c>
      <c r="W12" s="699">
        <f t="shared" si="2"/>
        <v>100</v>
      </c>
      <c r="X12" s="700"/>
      <c r="Y12" s="3746"/>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9"/>
      <c r="M13" s="2713"/>
      <c r="N13" s="2713"/>
      <c r="O13" s="2713"/>
      <c r="P13" s="3882"/>
      <c r="Q13" s="1340">
        <f t="shared" si="6"/>
        <v>111</v>
      </c>
      <c r="R13" s="698" t="s">
        <v>18</v>
      </c>
      <c r="S13" s="699">
        <f t="shared" si="0"/>
        <v>100</v>
      </c>
      <c r="T13" s="698" t="s">
        <v>18</v>
      </c>
      <c r="U13" s="699">
        <f t="shared" si="1"/>
        <v>100</v>
      </c>
      <c r="V13" s="698" t="s">
        <v>18</v>
      </c>
      <c r="W13" s="699">
        <f t="shared" si="2"/>
        <v>100</v>
      </c>
      <c r="X13" s="700"/>
      <c r="Y13" s="3746"/>
      <c r="Z13" s="5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9"/>
      <c r="M14" s="2713"/>
      <c r="N14" s="2713"/>
      <c r="O14" s="2713"/>
      <c r="P14" s="3882"/>
      <c r="Q14" s="1340">
        <f t="shared" si="6"/>
        <v>111</v>
      </c>
      <c r="R14" s="698" t="s">
        <v>18</v>
      </c>
      <c r="S14" s="699">
        <f t="shared" si="0"/>
        <v>100</v>
      </c>
      <c r="T14" s="698" t="s">
        <v>18</v>
      </c>
      <c r="U14" s="699">
        <f t="shared" si="1"/>
        <v>100</v>
      </c>
      <c r="V14" s="698" t="s">
        <v>18</v>
      </c>
      <c r="W14" s="699">
        <f t="shared" si="2"/>
        <v>100</v>
      </c>
      <c r="X14" s="700"/>
      <c r="Y14" s="3746"/>
      <c r="Z14" s="5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9"/>
      <c r="M15" s="2713"/>
      <c r="N15" s="2713"/>
      <c r="O15" s="2713"/>
      <c r="P15" s="3880" t="s">
        <v>1691</v>
      </c>
      <c r="Q15" s="1349" t="str">
        <f t="shared" si="6"/>
        <v>居住社区成熟度</v>
      </c>
      <c r="R15" s="702" t="s">
        <v>18</v>
      </c>
      <c r="S15" s="703">
        <f t="shared" si="0"/>
        <v>100</v>
      </c>
      <c r="T15" s="702" t="s">
        <v>18</v>
      </c>
      <c r="U15" s="703">
        <f t="shared" si="1"/>
        <v>100</v>
      </c>
      <c r="V15" s="702" t="s">
        <v>18</v>
      </c>
      <c r="W15" s="703">
        <f t="shared" si="2"/>
        <v>100</v>
      </c>
      <c r="X15" s="1352"/>
      <c r="Y15" s="3873"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9"/>
      <c r="M16" s="2713"/>
      <c r="N16" s="2713"/>
      <c r="O16" s="2713"/>
      <c r="P16" s="3881"/>
      <c r="Q16" s="1349"/>
      <c r="R16" s="702"/>
      <c r="S16" s="703"/>
      <c r="T16" s="702"/>
      <c r="U16" s="703"/>
      <c r="V16" s="702"/>
      <c r="W16" s="703"/>
      <c r="X16" s="1352"/>
      <c r="Y16" s="3874"/>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9"/>
      <c r="M17" s="2713"/>
      <c r="N17" s="2713"/>
      <c r="O17" s="2713"/>
      <c r="P17" s="3881"/>
      <c r="Q17" s="1349" t="str">
        <f>B17</f>
        <v>交通便捷度</v>
      </c>
      <c r="R17" s="702" t="s">
        <v>18</v>
      </c>
      <c r="S17" s="703">
        <f>F17</f>
        <v>100</v>
      </c>
      <c r="T17" s="702" t="s">
        <v>18</v>
      </c>
      <c r="U17" s="703">
        <f>H17</f>
        <v>100</v>
      </c>
      <c r="V17" s="702" t="s">
        <v>18</v>
      </c>
      <c r="W17" s="703">
        <f>J17</f>
        <v>100</v>
      </c>
      <c r="X17" s="1352"/>
      <c r="Y17" s="3874"/>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9"/>
      <c r="M18" s="2713"/>
      <c r="N18" s="2713"/>
      <c r="O18" s="2713"/>
      <c r="P18" s="3881"/>
      <c r="Q18" s="1349"/>
      <c r="R18" s="702"/>
      <c r="S18" s="703"/>
      <c r="T18" s="702"/>
      <c r="U18" s="703"/>
      <c r="V18" s="702"/>
      <c r="W18" s="703"/>
      <c r="X18" s="1352"/>
      <c r="Y18" s="3874"/>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9"/>
      <c r="M19" s="2713"/>
      <c r="N19" s="2713"/>
      <c r="O19" s="2713"/>
      <c r="P19" s="3881"/>
      <c r="Q19" s="1349" t="str">
        <f>B19</f>
        <v>公共配套设施</v>
      </c>
      <c r="R19" s="702" t="s">
        <v>18</v>
      </c>
      <c r="S19" s="703">
        <f>F19</f>
        <v>100</v>
      </c>
      <c r="T19" s="702" t="s">
        <v>18</v>
      </c>
      <c r="U19" s="703">
        <f>H19</f>
        <v>100</v>
      </c>
      <c r="V19" s="702" t="s">
        <v>18</v>
      </c>
      <c r="W19" s="703">
        <f>J19</f>
        <v>100</v>
      </c>
      <c r="X19" s="1352"/>
      <c r="Y19" s="3874"/>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9"/>
      <c r="M20" s="2713"/>
      <c r="N20" s="2713"/>
      <c r="O20" s="2713"/>
      <c r="P20" s="3881"/>
      <c r="Q20" s="1349"/>
      <c r="R20" s="702"/>
      <c r="S20" s="703"/>
      <c r="T20" s="702"/>
      <c r="U20" s="703"/>
      <c r="V20" s="702"/>
      <c r="W20" s="703"/>
      <c r="X20" s="1352"/>
      <c r="Y20" s="3874"/>
      <c r="Z20" s="1353"/>
      <c r="AA20" s="1350">
        <v>1</v>
      </c>
      <c r="AB20" s="1350">
        <v>1</v>
      </c>
      <c r="AC20" s="1350">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9"/>
      <c r="M21" s="2713"/>
      <c r="N21" s="2713"/>
      <c r="O21" s="2713"/>
      <c r="P21" s="3881"/>
      <c r="Q21" s="1349" t="str">
        <f>B21</f>
        <v>基础设施水平</v>
      </c>
      <c r="R21" s="702" t="s">
        <v>14</v>
      </c>
      <c r="S21" s="703">
        <f>F21</f>
        <v>100</v>
      </c>
      <c r="T21" s="702" t="s">
        <v>14</v>
      </c>
      <c r="U21" s="703">
        <f>H21</f>
        <v>100</v>
      </c>
      <c r="V21" s="702" t="s">
        <v>14</v>
      </c>
      <c r="W21" s="703">
        <f>J21</f>
        <v>100</v>
      </c>
      <c r="X21" s="1352"/>
      <c r="Y21" s="3874"/>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7"/>
      <c r="G22" s="1901"/>
      <c r="H22" s="397"/>
      <c r="I22" s="396"/>
      <c r="J22" s="397"/>
      <c r="K22" s="1902"/>
      <c r="L22" s="2719"/>
      <c r="M22" s="2713"/>
      <c r="N22" s="2713"/>
      <c r="O22" s="2713"/>
      <c r="P22" s="3881"/>
      <c r="Q22" s="1349"/>
      <c r="R22" s="702"/>
      <c r="S22" s="703"/>
      <c r="T22" s="702"/>
      <c r="U22" s="703"/>
      <c r="V22" s="702"/>
      <c r="W22" s="703"/>
      <c r="X22" s="1352"/>
      <c r="Y22" s="3874"/>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9"/>
      <c r="M23" s="2713"/>
      <c r="N23" s="2713"/>
      <c r="O23" s="2713"/>
      <c r="P23" s="3881"/>
      <c r="Q23" s="1349" t="str">
        <f>B23</f>
        <v>自然及人文环境</v>
      </c>
      <c r="R23" s="702" t="s">
        <v>18</v>
      </c>
      <c r="S23" s="703">
        <f>F23</f>
        <v>100</v>
      </c>
      <c r="T23" s="702" t="s">
        <v>18</v>
      </c>
      <c r="U23" s="703">
        <f>H23</f>
        <v>100</v>
      </c>
      <c r="V23" s="702" t="s">
        <v>18</v>
      </c>
      <c r="W23" s="703">
        <f>J23</f>
        <v>100</v>
      </c>
      <c r="X23" s="1352"/>
      <c r="Y23" s="3874"/>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9"/>
      <c r="M24" s="2713"/>
      <c r="N24" s="2713"/>
      <c r="O24" s="2713"/>
      <c r="P24" s="3881"/>
      <c r="Q24" s="1349"/>
      <c r="R24" s="702"/>
      <c r="S24" s="703"/>
      <c r="T24" s="702"/>
      <c r="U24" s="703"/>
      <c r="V24" s="702"/>
      <c r="W24" s="703"/>
      <c r="X24" s="1352"/>
      <c r="Y24" s="3874"/>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9"/>
      <c r="M25" s="2713"/>
      <c r="N25" s="2713"/>
      <c r="O25" s="2713"/>
      <c r="P25" s="3881"/>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874"/>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9"/>
      <c r="M26" s="2713"/>
      <c r="N26" s="2713"/>
      <c r="O26" s="2713"/>
      <c r="P26" s="3881"/>
      <c r="Q26" s="1349" t="str">
        <f t="shared" si="11"/>
        <v>朝向</v>
      </c>
      <c r="R26" s="702" t="s">
        <v>18</v>
      </c>
      <c r="S26" s="703">
        <f t="shared" si="12"/>
        <v>100</v>
      </c>
      <c r="T26" s="702" t="s">
        <v>18</v>
      </c>
      <c r="U26" s="703">
        <f t="shared" si="13"/>
        <v>100</v>
      </c>
      <c r="V26" s="702" t="s">
        <v>18</v>
      </c>
      <c r="W26" s="703">
        <f t="shared" si="14"/>
        <v>100</v>
      </c>
      <c r="X26" s="1352"/>
      <c r="Y26" s="3874"/>
      <c r="Z26" s="1353" t="str">
        <f>Q26</f>
        <v>朝向</v>
      </c>
      <c r="AA26" s="1350">
        <f t="shared" si="15"/>
        <v>1</v>
      </c>
      <c r="AB26" s="1350">
        <f t="shared" si="16"/>
        <v>1</v>
      </c>
      <c r="AC26" s="1350">
        <f t="shared" si="17"/>
        <v>1</v>
      </c>
    </row>
    <row r="27" spans="1:29" s="107"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91"/>
      <c r="L27" s="2714"/>
      <c r="M27" s="2715"/>
      <c r="N27" s="2715"/>
      <c r="O27" s="2715"/>
      <c r="P27" s="3881"/>
      <c r="Q27" s="1340">
        <f t="shared" si="11"/>
        <v>111</v>
      </c>
      <c r="R27" s="698" t="s">
        <v>18</v>
      </c>
      <c r="S27" s="699">
        <f t="shared" si="12"/>
        <v>100</v>
      </c>
      <c r="T27" s="698" t="s">
        <v>18</v>
      </c>
      <c r="U27" s="699">
        <f t="shared" si="13"/>
        <v>100</v>
      </c>
      <c r="V27" s="698" t="s">
        <v>18</v>
      </c>
      <c r="W27" s="699">
        <f t="shared" si="14"/>
        <v>100</v>
      </c>
      <c r="X27" s="700"/>
      <c r="Y27" s="3874"/>
      <c r="Z27" s="52">
        <f>Q27</f>
        <v>111</v>
      </c>
      <c r="AA27" s="1350">
        <f t="shared" si="15"/>
        <v>1</v>
      </c>
      <c r="AB27" s="1350">
        <f t="shared" si="16"/>
        <v>1</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9"/>
      <c r="M28" s="2713"/>
      <c r="N28" s="2713"/>
      <c r="O28" s="2713"/>
      <c r="P28" s="3881"/>
      <c r="Q28" s="1349">
        <f t="shared" si="11"/>
        <v>111</v>
      </c>
      <c r="R28" s="702" t="s">
        <v>18</v>
      </c>
      <c r="S28" s="703">
        <f t="shared" si="12"/>
        <v>100</v>
      </c>
      <c r="T28" s="702" t="s">
        <v>18</v>
      </c>
      <c r="U28" s="703">
        <f t="shared" si="13"/>
        <v>100</v>
      </c>
      <c r="V28" s="702" t="s">
        <v>18</v>
      </c>
      <c r="W28" s="703">
        <f t="shared" si="14"/>
        <v>100</v>
      </c>
      <c r="X28" s="1352"/>
      <c r="Y28" s="3874"/>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9"/>
      <c r="M29" s="2713"/>
      <c r="N29" s="2713"/>
      <c r="O29" s="2713"/>
      <c r="P29" s="3881"/>
      <c r="Q29" s="1349">
        <f t="shared" si="11"/>
        <v>111</v>
      </c>
      <c r="R29" s="702" t="s">
        <v>18</v>
      </c>
      <c r="S29" s="703">
        <f t="shared" si="12"/>
        <v>100</v>
      </c>
      <c r="T29" s="702" t="s">
        <v>18</v>
      </c>
      <c r="U29" s="703">
        <f t="shared" si="13"/>
        <v>100</v>
      </c>
      <c r="V29" s="702" t="s">
        <v>18</v>
      </c>
      <c r="W29" s="703">
        <f t="shared" si="14"/>
        <v>100</v>
      </c>
      <c r="X29" s="1352"/>
      <c r="Y29" s="3874"/>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9"/>
      <c r="M30" s="2713"/>
      <c r="N30" s="2713"/>
      <c r="O30" s="2713"/>
      <c r="P30" s="3881"/>
      <c r="Q30" s="1349">
        <f t="shared" si="11"/>
        <v>111</v>
      </c>
      <c r="R30" s="702" t="s">
        <v>18</v>
      </c>
      <c r="S30" s="703">
        <f t="shared" si="12"/>
        <v>100</v>
      </c>
      <c r="T30" s="702" t="s">
        <v>18</v>
      </c>
      <c r="U30" s="703">
        <f t="shared" si="13"/>
        <v>100</v>
      </c>
      <c r="V30" s="702" t="s">
        <v>18</v>
      </c>
      <c r="W30" s="703">
        <f t="shared" si="14"/>
        <v>100</v>
      </c>
      <c r="X30" s="1352"/>
      <c r="Y30" s="3874"/>
      <c r="Z30" s="1353">
        <f t="shared" si="18"/>
        <v>111</v>
      </c>
      <c r="AA30" s="1350">
        <f t="shared" si="15"/>
        <v>1</v>
      </c>
      <c r="AB30" s="1350">
        <f t="shared" si="16"/>
        <v>1</v>
      </c>
      <c r="AC30" s="1350">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9"/>
      <c r="M31" s="2713"/>
      <c r="N31" s="2713"/>
      <c r="O31" s="2713"/>
      <c r="P31" s="3881"/>
      <c r="Q31" s="1349">
        <f t="shared" si="11"/>
        <v>111</v>
      </c>
      <c r="R31" s="702" t="s">
        <v>18</v>
      </c>
      <c r="S31" s="703">
        <f t="shared" si="12"/>
        <v>100</v>
      </c>
      <c r="T31" s="702" t="s">
        <v>18</v>
      </c>
      <c r="U31" s="703">
        <f t="shared" si="13"/>
        <v>100</v>
      </c>
      <c r="V31" s="702" t="s">
        <v>18</v>
      </c>
      <c r="W31" s="703">
        <f t="shared" si="14"/>
        <v>100</v>
      </c>
      <c r="X31" s="1352"/>
      <c r="Y31" s="3874"/>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9"/>
      <c r="M32" s="2713"/>
      <c r="N32" s="2713"/>
      <c r="O32" s="2713"/>
      <c r="P32" s="3875" t="s">
        <v>1696</v>
      </c>
      <c r="Q32" s="1349" t="str">
        <f t="shared" si="11"/>
        <v>建筑类型</v>
      </c>
      <c r="R32" s="702" t="s">
        <v>18</v>
      </c>
      <c r="S32" s="703">
        <f t="shared" si="12"/>
        <v>100</v>
      </c>
      <c r="T32" s="702" t="s">
        <v>18</v>
      </c>
      <c r="U32" s="703">
        <f t="shared" si="13"/>
        <v>100</v>
      </c>
      <c r="V32" s="702" t="s">
        <v>18</v>
      </c>
      <c r="W32" s="703">
        <f t="shared" si="14"/>
        <v>100</v>
      </c>
      <c r="X32" s="1352"/>
      <c r="Y32" s="3878"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8"/>
      <c r="M33" s="2720"/>
      <c r="N33" s="2720"/>
      <c r="O33" s="2720"/>
      <c r="P33" s="3876"/>
      <c r="Q33" s="704" t="str">
        <f t="shared" si="11"/>
        <v>项目建筑规模</v>
      </c>
      <c r="R33" s="705" t="s">
        <v>18</v>
      </c>
      <c r="S33" s="706" t="e">
        <f t="shared" si="12"/>
        <v>#N/A</v>
      </c>
      <c r="T33" s="705" t="s">
        <v>18</v>
      </c>
      <c r="U33" s="706" t="e">
        <f t="shared" si="13"/>
        <v>#N/A</v>
      </c>
      <c r="V33" s="705" t="s">
        <v>18</v>
      </c>
      <c r="W33" s="706" t="e">
        <f t="shared" si="14"/>
        <v>#N/A</v>
      </c>
      <c r="X33" s="707"/>
      <c r="Y33" s="3878"/>
      <c r="Z33" s="708"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9"/>
      <c r="M34" s="2713"/>
      <c r="N34" s="2713"/>
      <c r="O34" s="2713"/>
      <c r="P34" s="3876"/>
      <c r="Q34" s="1349" t="str">
        <f t="shared" si="11"/>
        <v>建筑结构</v>
      </c>
      <c r="R34" s="702" t="s">
        <v>18</v>
      </c>
      <c r="S34" s="703">
        <f t="shared" si="12"/>
        <v>100</v>
      </c>
      <c r="T34" s="702" t="s">
        <v>18</v>
      </c>
      <c r="U34" s="703">
        <f t="shared" si="13"/>
        <v>100</v>
      </c>
      <c r="V34" s="702" t="s">
        <v>18</v>
      </c>
      <c r="W34" s="703">
        <f t="shared" si="14"/>
        <v>100</v>
      </c>
      <c r="X34" s="1352"/>
      <c r="Y34" s="3878"/>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9"/>
      <c r="M35" s="2713"/>
      <c r="N35" s="2713"/>
      <c r="O35" s="2713"/>
      <c r="P35" s="3876"/>
      <c r="Q35" s="1349" t="str">
        <f t="shared" si="11"/>
        <v>建筑品质</v>
      </c>
      <c r="R35" s="702" t="s">
        <v>18</v>
      </c>
      <c r="S35" s="703">
        <f t="shared" si="12"/>
        <v>100</v>
      </c>
      <c r="T35" s="702" t="s">
        <v>18</v>
      </c>
      <c r="U35" s="703">
        <f t="shared" si="13"/>
        <v>100</v>
      </c>
      <c r="V35" s="702" t="s">
        <v>18</v>
      </c>
      <c r="W35" s="703">
        <f t="shared" si="14"/>
        <v>100</v>
      </c>
      <c r="X35" s="1352"/>
      <c r="Y35" s="3878"/>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9"/>
      <c r="M36" s="2713"/>
      <c r="N36" s="2713"/>
      <c r="O36" s="2713"/>
      <c r="P36" s="3876"/>
      <c r="Q36" s="1349" t="str">
        <f t="shared" si="11"/>
        <v>公共部分装修</v>
      </c>
      <c r="R36" s="702" t="s">
        <v>18</v>
      </c>
      <c r="S36" s="703">
        <f t="shared" si="12"/>
        <v>100</v>
      </c>
      <c r="T36" s="702" t="s">
        <v>18</v>
      </c>
      <c r="U36" s="703">
        <f t="shared" si="13"/>
        <v>100</v>
      </c>
      <c r="V36" s="702" t="s">
        <v>18</v>
      </c>
      <c r="W36" s="703">
        <f t="shared" si="14"/>
        <v>100</v>
      </c>
      <c r="X36" s="1352"/>
      <c r="Y36" s="3878"/>
      <c r="Z36" s="1353" t="str">
        <f t="shared" si="18"/>
        <v>公共部分装修</v>
      </c>
      <c r="AA36" s="1350">
        <f t="shared" si="15"/>
        <v>1</v>
      </c>
      <c r="AB36" s="1350">
        <f t="shared" si="16"/>
        <v>1</v>
      </c>
      <c r="AC36" s="1350">
        <f t="shared" si="17"/>
        <v>1</v>
      </c>
    </row>
    <row r="37" spans="1:29" s="107"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4"/>
      <c r="M37" s="2715"/>
      <c r="N37" s="2715"/>
      <c r="O37" s="2715"/>
      <c r="P37" s="3876"/>
      <c r="Q37" s="1340" t="str">
        <f t="shared" si="11"/>
        <v>成新度</v>
      </c>
      <c r="R37" s="698" t="s">
        <v>18</v>
      </c>
      <c r="S37" s="699" t="e">
        <f t="shared" si="12"/>
        <v>#N/A</v>
      </c>
      <c r="T37" s="698" t="s">
        <v>18</v>
      </c>
      <c r="U37" s="699" t="e">
        <f t="shared" si="13"/>
        <v>#N/A</v>
      </c>
      <c r="V37" s="698" t="s">
        <v>18</v>
      </c>
      <c r="W37" s="699" t="e">
        <f t="shared" si="14"/>
        <v>#N/A</v>
      </c>
      <c r="X37" s="700"/>
      <c r="Y37" s="3878"/>
      <c r="Z37" s="52" t="str">
        <f t="shared" si="18"/>
        <v>成新度</v>
      </c>
      <c r="AA37" s="701" t="e">
        <f t="shared" si="15"/>
        <v>#N/A</v>
      </c>
      <c r="AB37" s="701" t="e">
        <f t="shared" si="16"/>
        <v>#N/A</v>
      </c>
      <c r="AC37" s="701"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9"/>
      <c r="M38" s="2713"/>
      <c r="N38" s="2713"/>
      <c r="O38" s="2713"/>
      <c r="P38" s="3876" t="s">
        <v>1696</v>
      </c>
      <c r="Q38" s="1349" t="str">
        <f t="shared" si="11"/>
        <v>物业管理</v>
      </c>
      <c r="R38" s="702" t="s">
        <v>18</v>
      </c>
      <c r="S38" s="703">
        <f t="shared" si="12"/>
        <v>100</v>
      </c>
      <c r="T38" s="702" t="s">
        <v>18</v>
      </c>
      <c r="U38" s="703">
        <f t="shared" si="13"/>
        <v>100</v>
      </c>
      <c r="V38" s="702" t="s">
        <v>18</v>
      </c>
      <c r="W38" s="703">
        <f t="shared" si="14"/>
        <v>100</v>
      </c>
      <c r="X38" s="1352"/>
      <c r="Y38" s="3878"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9"/>
      <c r="M39" s="2713"/>
      <c r="N39" s="2713"/>
      <c r="O39" s="2713"/>
      <c r="P39" s="3876"/>
      <c r="Q39" s="1349" t="str">
        <f t="shared" si="11"/>
        <v>市政基础设施</v>
      </c>
      <c r="R39" s="702" t="s">
        <v>18</v>
      </c>
      <c r="S39" s="703">
        <f t="shared" si="12"/>
        <v>100</v>
      </c>
      <c r="T39" s="702" t="s">
        <v>18</v>
      </c>
      <c r="U39" s="703">
        <f t="shared" si="13"/>
        <v>100</v>
      </c>
      <c r="V39" s="702" t="s">
        <v>18</v>
      </c>
      <c r="W39" s="703">
        <f t="shared" si="14"/>
        <v>100</v>
      </c>
      <c r="X39" s="1352"/>
      <c r="Y39" s="3878"/>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9"/>
      <c r="M40" s="2713"/>
      <c r="N40" s="2713"/>
      <c r="O40" s="2713"/>
      <c r="P40" s="3876"/>
      <c r="Q40" s="1349" t="str">
        <f t="shared" si="11"/>
        <v>房型</v>
      </c>
      <c r="R40" s="702" t="s">
        <v>18</v>
      </c>
      <c r="S40" s="703">
        <f t="shared" si="12"/>
        <v>100</v>
      </c>
      <c r="T40" s="702" t="s">
        <v>18</v>
      </c>
      <c r="U40" s="703">
        <f t="shared" si="13"/>
        <v>100</v>
      </c>
      <c r="V40" s="702" t="s">
        <v>18</v>
      </c>
      <c r="W40" s="703">
        <f t="shared" si="14"/>
        <v>100</v>
      </c>
      <c r="X40" s="1352"/>
      <c r="Y40" s="3878"/>
      <c r="Z40" s="1353" t="str">
        <f t="shared" si="18"/>
        <v>房型</v>
      </c>
      <c r="AA40" s="1350">
        <f t="shared" si="15"/>
        <v>1</v>
      </c>
      <c r="AB40" s="1350">
        <f t="shared" si="16"/>
        <v>1</v>
      </c>
      <c r="AC40" s="1350">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8"/>
      <c r="M41" s="2720"/>
      <c r="N41" s="2720"/>
      <c r="O41" s="2720"/>
      <c r="P41" s="3876"/>
      <c r="Q41" s="704" t="str">
        <f t="shared" si="11"/>
        <v>单套/主力户型建筑面积</v>
      </c>
      <c r="R41" s="705" t="s">
        <v>18</v>
      </c>
      <c r="S41" s="706">
        <f t="shared" si="12"/>
        <v>100</v>
      </c>
      <c r="T41" s="705" t="s">
        <v>18</v>
      </c>
      <c r="U41" s="706">
        <f t="shared" si="13"/>
        <v>100</v>
      </c>
      <c r="V41" s="705" t="s">
        <v>18</v>
      </c>
      <c r="W41" s="706">
        <f t="shared" si="14"/>
        <v>100</v>
      </c>
      <c r="X41" s="707"/>
      <c r="Y41" s="3878"/>
      <c r="Z41" s="708"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9"/>
      <c r="M42" s="2713"/>
      <c r="N42" s="2713"/>
      <c r="O42" s="2713"/>
      <c r="P42" s="3876"/>
      <c r="Q42" s="1349" t="str">
        <f t="shared" si="11"/>
        <v>内部装修</v>
      </c>
      <c r="R42" s="702" t="s">
        <v>18</v>
      </c>
      <c r="S42" s="703">
        <f t="shared" si="12"/>
        <v>100</v>
      </c>
      <c r="T42" s="702" t="s">
        <v>18</v>
      </c>
      <c r="U42" s="703">
        <f t="shared" si="13"/>
        <v>100</v>
      </c>
      <c r="V42" s="702" t="s">
        <v>18</v>
      </c>
      <c r="W42" s="703">
        <f t="shared" si="14"/>
        <v>100</v>
      </c>
      <c r="X42" s="1352"/>
      <c r="Y42" s="3878"/>
      <c r="Z42" s="1353" t="str">
        <f t="shared" si="18"/>
        <v>内部装修</v>
      </c>
      <c r="AA42" s="1350">
        <f t="shared" si="15"/>
        <v>1</v>
      </c>
      <c r="AB42" s="1350">
        <f t="shared" si="16"/>
        <v>1</v>
      </c>
      <c r="AC42" s="1350">
        <f t="shared" si="17"/>
        <v>1</v>
      </c>
    </row>
    <row r="43" spans="1:29" ht="15">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9"/>
      <c r="M43" s="2713"/>
      <c r="N43" s="2713"/>
      <c r="O43" s="2713"/>
      <c r="P43" s="3876"/>
      <c r="Q43" s="1349" t="str">
        <f t="shared" si="11"/>
        <v>内部装修维护情况</v>
      </c>
      <c r="R43" s="702" t="s">
        <v>18</v>
      </c>
      <c r="S43" s="703">
        <f t="shared" si="12"/>
        <v>100</v>
      </c>
      <c r="T43" s="702" t="s">
        <v>18</v>
      </c>
      <c r="U43" s="703">
        <f t="shared" si="13"/>
        <v>100</v>
      </c>
      <c r="V43" s="702" t="s">
        <v>18</v>
      </c>
      <c r="W43" s="703">
        <f t="shared" si="14"/>
        <v>100</v>
      </c>
      <c r="X43" s="1352"/>
      <c r="Y43" s="3878"/>
      <c r="Z43" s="1353" t="str">
        <f t="shared" si="18"/>
        <v>内部装修维护情况</v>
      </c>
      <c r="AA43" s="1350">
        <f t="shared" si="15"/>
        <v>1</v>
      </c>
      <c r="AB43" s="1350">
        <f t="shared" si="16"/>
        <v>1</v>
      </c>
      <c r="AC43" s="1350">
        <f t="shared" si="17"/>
        <v>1</v>
      </c>
    </row>
    <row r="44" spans="1:29" s="107"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4"/>
      <c r="M44" s="2715"/>
      <c r="N44" s="2715"/>
      <c r="O44" s="2715"/>
      <c r="P44" s="3876"/>
      <c r="Q44" s="1340">
        <f t="shared" si="11"/>
        <v>111</v>
      </c>
      <c r="R44" s="698" t="s">
        <v>18</v>
      </c>
      <c r="S44" s="699">
        <f t="shared" si="12"/>
        <v>100</v>
      </c>
      <c r="T44" s="698" t="s">
        <v>18</v>
      </c>
      <c r="U44" s="699">
        <f t="shared" si="13"/>
        <v>100</v>
      </c>
      <c r="V44" s="698" t="s">
        <v>18</v>
      </c>
      <c r="W44" s="699">
        <f t="shared" si="14"/>
        <v>100</v>
      </c>
      <c r="X44" s="700"/>
      <c r="Y44" s="3878"/>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9"/>
      <c r="M45" s="2713"/>
      <c r="N45" s="2713"/>
      <c r="O45" s="2713"/>
      <c r="P45" s="3876"/>
      <c r="Q45" s="1349">
        <f t="shared" si="11"/>
        <v>111</v>
      </c>
      <c r="R45" s="702" t="s">
        <v>18</v>
      </c>
      <c r="S45" s="703">
        <f t="shared" si="12"/>
        <v>100</v>
      </c>
      <c r="T45" s="702" t="s">
        <v>18</v>
      </c>
      <c r="U45" s="703">
        <f t="shared" si="13"/>
        <v>100</v>
      </c>
      <c r="V45" s="702" t="s">
        <v>18</v>
      </c>
      <c r="W45" s="703">
        <f t="shared" si="14"/>
        <v>100</v>
      </c>
      <c r="X45" s="1352"/>
      <c r="Y45" s="3878"/>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9"/>
      <c r="M46" s="2713"/>
      <c r="N46" s="2713"/>
      <c r="O46" s="2713"/>
      <c r="P46" s="3877"/>
      <c r="Q46" s="1349">
        <f t="shared" si="11"/>
        <v>111</v>
      </c>
      <c r="R46" s="702" t="s">
        <v>17</v>
      </c>
      <c r="S46" s="703">
        <f t="shared" si="12"/>
        <v>100</v>
      </c>
      <c r="T46" s="702" t="s">
        <v>17</v>
      </c>
      <c r="U46" s="703">
        <f t="shared" si="13"/>
        <v>100</v>
      </c>
      <c r="V46" s="702" t="s">
        <v>17</v>
      </c>
      <c r="W46" s="703">
        <f t="shared" si="14"/>
        <v>100</v>
      </c>
      <c r="X46" s="1352"/>
      <c r="Y46" s="3879"/>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1"/>
      <c r="L47" s="2721"/>
      <c r="M47" s="2722"/>
      <c r="N47" s="2713"/>
      <c r="O47" s="2722"/>
      <c r="P47" s="3871" t="str">
        <f>A47</f>
        <v>成交单价（元/平方米）</v>
      </c>
      <c r="Q47" s="3871"/>
      <c r="R47" s="3872">
        <f>E47</f>
        <v>0</v>
      </c>
      <c r="S47" s="3872"/>
      <c r="T47" s="3872">
        <f>G47</f>
        <v>0</v>
      </c>
      <c r="U47" s="3872"/>
      <c r="V47" s="3872">
        <f>I47</f>
        <v>0</v>
      </c>
      <c r="W47" s="3872"/>
      <c r="X47" s="687"/>
      <c r="Y47" s="709"/>
      <c r="Z47" s="687"/>
      <c r="AA47" s="687"/>
      <c r="AB47" s="687"/>
      <c r="AC47" s="687"/>
    </row>
    <row r="48" spans="1:29" ht="15.75" thickBot="1">
      <c r="A48" s="435" t="s">
        <v>1709</v>
      </c>
      <c r="B48" s="436"/>
      <c r="C48" s="1157" t="e">
        <f>R49</f>
        <v>#DIV/0!</v>
      </c>
      <c r="D48" s="2314" t="s">
        <v>2138</v>
      </c>
      <c r="E48" s="1158" t="e">
        <f>R48</f>
        <v>#DIV/0!</v>
      </c>
      <c r="F48" s="2315"/>
      <c r="G48" s="1157" t="e">
        <f>T48</f>
        <v>#DIV/0!</v>
      </c>
      <c r="H48" s="2315"/>
      <c r="I48" s="1158" t="e">
        <f>V48</f>
        <v>#DIV/0!</v>
      </c>
      <c r="J48" s="2315"/>
      <c r="K48" s="2316">
        <f>F48+H48+J48</f>
        <v>0</v>
      </c>
      <c r="L48" s="2721"/>
      <c r="M48" s="2722"/>
      <c r="N48" s="2722"/>
      <c r="O48" s="2722"/>
      <c r="P48" s="3871" t="str">
        <f>A48</f>
        <v>比较价值（元/平方米）</v>
      </c>
      <c r="Q48" s="3871"/>
      <c r="R48" s="3872" t="e">
        <f>IF(F1="售价",ROUND(PRODUCT(R47,AA7:AA46),0),ROUND(PRODUCT(R47,AA7:AA46),1))</f>
        <v>#DIV/0!</v>
      </c>
      <c r="S48" s="3872"/>
      <c r="T48" s="3872" t="e">
        <f>IF(F1="售价",ROUND(PRODUCT(T47,AB7:AB46),0),ROUND(PRODUCT(T47,AB7:AB46),1))</f>
        <v>#DIV/0!</v>
      </c>
      <c r="U48" s="3872"/>
      <c r="V48" s="3872" t="e">
        <f>IF(F1="售价",ROUND(PRODUCT(V47,AC7:AC46),0),ROUND(PRODUCT(V47,AC7:AC46),1))</f>
        <v>#DIV/0!</v>
      </c>
      <c r="W48" s="3872"/>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21"/>
      <c r="M49" s="2722"/>
      <c r="N49" s="2722"/>
      <c r="O49" s="2722"/>
      <c r="P49" s="3868" t="str">
        <f>A49</f>
        <v>估价对象XX用房的比较价值（楼面单价，元/平方米）</v>
      </c>
      <c r="Q49" s="3869"/>
      <c r="R49" s="3870" t="e">
        <f>IF(F1="售价",ROUND(IF(D48="简单平均",AVERAGE(R48:V48),R48*F48+T48*H48+V48*J48),0),ROUND(IF(D48="简单平均",AVERAGE(R48:V48),R48*F48+T48*H48+V48*J48),1))</f>
        <v>#DIV/0!</v>
      </c>
      <c r="S49" s="3870"/>
      <c r="T49" s="3870"/>
      <c r="U49" s="3870"/>
      <c r="V49" s="3870"/>
      <c r="W49" s="3870"/>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7"/>
      <c r="L52" s="2723"/>
      <c r="M52" s="2722"/>
      <c r="N52" s="2722"/>
      <c r="O52" s="2722"/>
    </row>
    <row r="53" spans="1:29" ht="13.5" customHeight="1">
      <c r="A53" s="2722"/>
      <c r="B53" s="2722"/>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7"/>
      <c r="L53" s="2723"/>
      <c r="M53" s="2722"/>
      <c r="N53" s="2722"/>
      <c r="O53" s="2722"/>
    </row>
    <row r="54" spans="1:29" s="449" customFormat="1" ht="13.5" customHeight="1">
      <c r="A54" s="2725"/>
      <c r="B54" s="2725"/>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0"/>
      <c r="L54" s="2724"/>
      <c r="M54" s="2725"/>
      <c r="N54" s="2725"/>
      <c r="O54" s="2725"/>
      <c r="P54" s="1914"/>
    </row>
    <row r="55" spans="1:29" s="449"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2023-1</v>
      </c>
      <c r="D58" s="1182">
        <f>EDATE(C58,-1)</f>
        <v>44896</v>
      </c>
      <c r="E58" s="1182">
        <f>EDATE(D58,-1)</f>
        <v>44866</v>
      </c>
      <c r="F58" s="1182">
        <f t="shared" ref="F58:O58" si="19">EDATE(E58,-1)</f>
        <v>44835</v>
      </c>
      <c r="G58" s="1182">
        <f t="shared" si="19"/>
        <v>44805</v>
      </c>
      <c r="H58" s="1182">
        <f t="shared" si="19"/>
        <v>44774</v>
      </c>
      <c r="I58" s="1182">
        <f t="shared" si="19"/>
        <v>44743</v>
      </c>
      <c r="J58" s="1182">
        <f t="shared" si="19"/>
        <v>44713</v>
      </c>
      <c r="K58" s="1182">
        <f t="shared" si="19"/>
        <v>44682</v>
      </c>
      <c r="L58" s="1182">
        <f t="shared" si="19"/>
        <v>44652</v>
      </c>
      <c r="M58" s="1182">
        <f t="shared" si="19"/>
        <v>44621</v>
      </c>
      <c r="N58" s="1182">
        <f t="shared" si="19"/>
        <v>44593</v>
      </c>
      <c r="O58" s="1182">
        <f t="shared" si="19"/>
        <v>44562</v>
      </c>
      <c r="P58" s="1178"/>
    </row>
    <row r="59" spans="1:29" s="107" customFormat="1" ht="15">
      <c r="A59" s="456"/>
      <c r="B59" s="1916"/>
      <c r="C59" s="1180">
        <v>100</v>
      </c>
      <c r="D59" s="458"/>
      <c r="E59" s="459"/>
      <c r="F59" s="459"/>
      <c r="G59" s="459"/>
      <c r="H59" s="459"/>
      <c r="I59" s="459"/>
      <c r="J59" s="459"/>
      <c r="K59" s="459"/>
      <c r="L59" s="459"/>
      <c r="M59" s="460"/>
      <c r="N59" s="459"/>
      <c r="O59" s="460"/>
      <c r="P59" s="1917"/>
    </row>
    <row r="60" spans="1:29" s="107" customFormat="1" ht="15.75" thickBot="1">
      <c r="A60" s="462" t="s">
        <v>1716</v>
      </c>
      <c r="B60" s="463"/>
      <c r="C60" s="464"/>
      <c r="D60" s="465"/>
      <c r="E60" s="465"/>
      <c r="F60" s="465"/>
      <c r="G60" s="465"/>
      <c r="H60" s="465"/>
      <c r="I60" s="465"/>
      <c r="J60" s="465"/>
      <c r="K60" s="465"/>
      <c r="L60" s="465"/>
      <c r="M60" s="466"/>
      <c r="N60" s="465"/>
      <c r="O60" s="466"/>
      <c r="P60" s="1917"/>
      <c r="Q60" s="451"/>
    </row>
    <row r="61" spans="1:29" s="107" customFormat="1" ht="15">
      <c r="A61" s="468" t="s">
        <v>1717</v>
      </c>
      <c r="B61" s="457"/>
      <c r="C61" s="469" t="s">
        <v>1718</v>
      </c>
      <c r="D61" s="470"/>
      <c r="E61" s="470"/>
      <c r="F61" s="470"/>
      <c r="G61" s="470"/>
      <c r="H61" s="470"/>
      <c r="I61" s="470"/>
      <c r="J61" s="470"/>
      <c r="K61" s="470"/>
      <c r="L61" s="471"/>
      <c r="M61" s="472"/>
      <c r="N61" s="929"/>
      <c r="O61" s="929"/>
      <c r="P61" s="1918"/>
      <c r="Q61" s="451"/>
    </row>
    <row r="62" spans="1:29" s="107" customFormat="1" ht="15.75" thickBot="1">
      <c r="A62" s="468"/>
      <c r="B62" s="457"/>
      <c r="C62" s="458">
        <v>100</v>
      </c>
      <c r="D62" s="459"/>
      <c r="E62" s="459"/>
      <c r="F62" s="459"/>
      <c r="G62" s="459"/>
      <c r="H62" s="459"/>
      <c r="I62" s="459"/>
      <c r="J62" s="459"/>
      <c r="K62" s="459"/>
      <c r="L62" s="459"/>
      <c r="M62" s="461"/>
      <c r="N62" s="929"/>
      <c r="O62" s="929"/>
      <c r="P62" s="1917"/>
      <c r="Q62" s="451"/>
    </row>
    <row r="63" spans="1:29">
      <c r="A63" s="474" t="s">
        <v>1719</v>
      </c>
      <c r="B63" s="475" t="s">
        <v>1685</v>
      </c>
      <c r="C63" s="476">
        <f>C9</f>
        <v>0</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c r="D68" s="496"/>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1"/>
      <c r="O85" s="931"/>
      <c r="P85" s="1919"/>
      <c r="Q85" s="451"/>
    </row>
    <row r="86" spans="1:17" s="107" customFormat="1" ht="15.75" thickTop="1">
      <c r="A86" s="526"/>
      <c r="B86" s="485" t="s">
        <v>1734</v>
      </c>
      <c r="C86" s="501"/>
      <c r="D86" s="501"/>
      <c r="E86" s="501"/>
      <c r="F86" s="501"/>
      <c r="G86" s="501"/>
      <c r="H86" s="501"/>
      <c r="I86" s="501"/>
      <c r="J86" s="501"/>
      <c r="K86" s="501"/>
      <c r="L86" s="527"/>
      <c r="M86" s="528"/>
      <c r="N86" s="929"/>
      <c r="O86" s="929"/>
      <c r="P86" s="1919"/>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7" customFormat="1" ht="15.75" thickTop="1">
      <c r="A88" s="526"/>
      <c r="B88" s="485" t="s">
        <v>1735</v>
      </c>
      <c r="C88" s="501"/>
      <c r="D88" s="501"/>
      <c r="E88" s="501"/>
      <c r="F88" s="1924"/>
      <c r="G88" s="501"/>
      <c r="H88" s="501"/>
      <c r="I88" s="501"/>
      <c r="J88" s="501"/>
      <c r="K88" s="501"/>
      <c r="L88" s="501"/>
      <c r="M88" s="528"/>
      <c r="N88" s="929"/>
      <c r="O88" s="929"/>
      <c r="P88" s="1919"/>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9"/>
      <c r="Q89" s="451"/>
    </row>
    <row r="90" spans="1:17" s="420" customFormat="1" ht="15.75" thickTop="1">
      <c r="A90" s="500"/>
      <c r="B90" s="485">
        <f>B27</f>
        <v>111</v>
      </c>
      <c r="C90" s="501"/>
      <c r="D90" s="501"/>
      <c r="E90" s="501"/>
      <c r="F90" s="501"/>
      <c r="G90" s="501"/>
      <c r="H90" s="502"/>
      <c r="I90" s="502"/>
      <c r="J90" s="502"/>
      <c r="K90" s="502"/>
      <c r="L90" s="503"/>
      <c r="M90" s="504"/>
      <c r="N90" s="932"/>
      <c r="O90" s="932"/>
      <c r="P90" s="1920"/>
      <c r="Q90" s="506"/>
    </row>
    <row r="91" spans="1:17" s="420" customFormat="1" ht="15.75" thickBot="1">
      <c r="A91" s="500"/>
      <c r="B91" s="490"/>
      <c r="C91" s="507"/>
      <c r="D91" s="507"/>
      <c r="E91" s="507"/>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477"/>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9"/>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c r="D103" s="542"/>
      <c r="E103" s="542"/>
      <c r="F103" s="542"/>
      <c r="G103" s="542"/>
      <c r="H103" s="542"/>
      <c r="I103" s="542"/>
      <c r="J103" s="543"/>
      <c r="K103" s="543"/>
      <c r="L103" s="544"/>
      <c r="M103" s="545"/>
      <c r="N103" s="932"/>
      <c r="O103" s="932"/>
      <c r="P103" s="1920"/>
      <c r="Q103" s="506"/>
    </row>
    <row r="104" spans="1:17" s="420" customFormat="1" ht="15.75" thickBot="1">
      <c r="A104" s="500"/>
      <c r="B104" s="490"/>
      <c r="C104" s="507"/>
      <c r="D104" s="483"/>
      <c r="E104" s="483"/>
      <c r="F104" s="483"/>
      <c r="G104" s="483"/>
      <c r="H104" s="483"/>
      <c r="I104" s="483"/>
      <c r="J104" s="483"/>
      <c r="K104" s="483"/>
      <c r="L104" s="483"/>
      <c r="M104" s="483"/>
      <c r="N104" s="931"/>
      <c r="O104" s="931"/>
      <c r="P104" s="1920"/>
      <c r="Q104" s="506"/>
    </row>
    <row r="105" spans="1:17" ht="15" thickTop="1">
      <c r="A105" s="546"/>
      <c r="B105" s="485" t="s">
        <v>1738</v>
      </c>
      <c r="C105" s="501"/>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9"/>
      <c r="Q115" s="451"/>
    </row>
    <row r="116" spans="1:17" ht="15" thickTop="1">
      <c r="A116" s="546"/>
      <c r="B116" s="485" t="s">
        <v>1742</v>
      </c>
      <c r="C116" s="501"/>
      <c r="D116" s="501"/>
      <c r="E116" s="501"/>
      <c r="F116" s="501"/>
      <c r="G116" s="501"/>
      <c r="H116" s="530"/>
      <c r="I116" s="530"/>
      <c r="J116" s="530"/>
      <c r="K116" s="531"/>
      <c r="L116" s="532"/>
      <c r="M116" s="533"/>
      <c r="N116" s="930"/>
      <c r="O116" s="930"/>
      <c r="P116" s="1919"/>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501"/>
      <c r="D122" s="501"/>
      <c r="E122" s="501"/>
      <c r="F122" s="530"/>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K37" sqref="K37"/>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673</v>
      </c>
      <c r="E1" s="3424" t="s">
        <v>3397</v>
      </c>
      <c r="F1" s="1876" t="s">
        <v>3398</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61219</v>
      </c>
      <c r="C3" s="352" t="s">
        <v>1768</v>
      </c>
      <c r="D3" s="351">
        <f>IF(D1="",'数据-汇总表'!E3,SUMIF('数据-汇总表'!$C19:$C33,D1,'数据-汇总表'!$E19:$E33))</f>
        <v>0</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3" t="s">
        <v>1769</v>
      </c>
      <c r="B4" s="354"/>
      <c r="C4" s="3886" t="s">
        <v>1770</v>
      </c>
      <c r="D4" s="3887"/>
      <c r="E4" s="3888" t="s">
        <v>1771</v>
      </c>
      <c r="F4" s="3889"/>
      <c r="G4" s="3886" t="s">
        <v>1772</v>
      </c>
      <c r="H4" s="3887"/>
      <c r="I4" s="3886" t="s">
        <v>1773</v>
      </c>
      <c r="J4" s="3887"/>
      <c r="K4" s="557" t="s">
        <v>1774</v>
      </c>
      <c r="L4" s="2712"/>
      <c r="M4" s="2713"/>
      <c r="N4" s="2713"/>
      <c r="O4" s="2713"/>
      <c r="P4" s="3890" t="s">
        <v>1775</v>
      </c>
      <c r="Q4" s="3891"/>
      <c r="R4" s="3896" t="s">
        <v>1771</v>
      </c>
      <c r="S4" s="3897"/>
      <c r="T4" s="3896" t="s">
        <v>1772</v>
      </c>
      <c r="U4" s="3897"/>
      <c r="V4" s="3902" t="s">
        <v>1773</v>
      </c>
      <c r="W4" s="3902"/>
      <c r="X4" s="1352"/>
      <c r="Y4" s="3896" t="s">
        <v>1775</v>
      </c>
      <c r="Z4" s="3897"/>
      <c r="AA4" s="3883" t="s">
        <v>1771</v>
      </c>
      <c r="AB4" s="3902" t="s">
        <v>1772</v>
      </c>
      <c r="AC4" s="3883" t="s">
        <v>1773</v>
      </c>
    </row>
    <row r="5" spans="1:29" ht="15">
      <c r="A5" s="356"/>
      <c r="B5" s="357"/>
      <c r="C5" s="3915" t="s">
        <v>3399</v>
      </c>
      <c r="D5" s="3906"/>
      <c r="E5" s="3914" t="s">
        <v>3406</v>
      </c>
      <c r="F5" s="3913"/>
      <c r="G5" s="3914" t="s">
        <v>3406</v>
      </c>
      <c r="H5" s="3913"/>
      <c r="I5" s="3915" t="s">
        <v>3408</v>
      </c>
      <c r="J5" s="3906"/>
      <c r="K5" s="557"/>
      <c r="L5" s="2712"/>
      <c r="M5" s="2713"/>
      <c r="N5" s="2713"/>
      <c r="O5" s="2713"/>
      <c r="P5" s="3892"/>
      <c r="Q5" s="3893"/>
      <c r="R5" s="3898"/>
      <c r="S5" s="3899"/>
      <c r="T5" s="3898"/>
      <c r="U5" s="3899"/>
      <c r="V5" s="3902"/>
      <c r="W5" s="3902"/>
      <c r="X5" s="1352"/>
      <c r="Y5" s="3898"/>
      <c r="Z5" s="3899"/>
      <c r="AA5" s="3884"/>
      <c r="AB5" s="3902"/>
      <c r="AC5" s="3884"/>
    </row>
    <row r="6" spans="1:29" ht="15.75" thickBot="1">
      <c r="A6" s="358"/>
      <c r="B6" s="359"/>
      <c r="C6" s="3903" t="s">
        <v>1677</v>
      </c>
      <c r="D6" s="3904"/>
      <c r="E6" s="3910" t="s">
        <v>1677</v>
      </c>
      <c r="F6" s="3911"/>
      <c r="G6" s="3903" t="s">
        <v>1677</v>
      </c>
      <c r="H6" s="3904"/>
      <c r="I6" s="3903" t="s">
        <v>1677</v>
      </c>
      <c r="J6" s="3904"/>
      <c r="K6" s="557" t="s">
        <v>1678</v>
      </c>
      <c r="L6" s="2712"/>
      <c r="M6" s="2713"/>
      <c r="N6" s="2713"/>
      <c r="O6" s="2713"/>
      <c r="P6" s="3894"/>
      <c r="Q6" s="3895"/>
      <c r="R6" s="3898"/>
      <c r="S6" s="3899"/>
      <c r="T6" s="3900"/>
      <c r="U6" s="3901"/>
      <c r="V6" s="3902"/>
      <c r="W6" s="3902"/>
      <c r="X6" s="1352"/>
      <c r="Y6" s="3900"/>
      <c r="Z6" s="3901"/>
      <c r="AA6" s="3885"/>
      <c r="AB6" s="3902"/>
      <c r="AC6" s="3885"/>
    </row>
    <row r="7" spans="1:29" s="107" customFormat="1" ht="15.75" thickBot="1">
      <c r="A7" s="360" t="s">
        <v>1679</v>
      </c>
      <c r="B7" s="361"/>
      <c r="C7" s="362">
        <f>'数据-取费表'!B2</f>
        <v>44937</v>
      </c>
      <c r="D7" s="363">
        <v>100</v>
      </c>
      <c r="E7" s="364">
        <v>44896</v>
      </c>
      <c r="F7" s="365">
        <f>SUMIF(58:58,YEAR(E7)&amp;"-"&amp;MONTH(E7),59:59)</f>
        <v>100</v>
      </c>
      <c r="G7" s="364">
        <v>44896</v>
      </c>
      <c r="H7" s="363">
        <f>SUMIF(58:58,YEAR(G7)&amp;"-"&amp;MONTH(G7),59:59)</f>
        <v>100</v>
      </c>
      <c r="I7" s="364">
        <v>44896</v>
      </c>
      <c r="J7" s="363">
        <f>SUMIF(58:58,YEAR(I7)&amp;"-"&amp;MONTH(I7),59:59)</f>
        <v>100</v>
      </c>
      <c r="K7" s="558"/>
      <c r="L7" s="2714"/>
      <c r="M7" s="2715"/>
      <c r="N7" s="2715"/>
      <c r="O7" s="2715"/>
      <c r="P7" s="3907" t="s">
        <v>1680</v>
      </c>
      <c r="Q7" s="3909"/>
      <c r="R7" s="698" t="s">
        <v>14</v>
      </c>
      <c r="S7" s="699">
        <f t="shared" ref="S7:S15" si="0">F7</f>
        <v>100</v>
      </c>
      <c r="T7" s="698" t="s">
        <v>14</v>
      </c>
      <c r="U7" s="699">
        <f t="shared" ref="U7:U15" si="1">H7</f>
        <v>100</v>
      </c>
      <c r="V7" s="698" t="s">
        <v>14</v>
      </c>
      <c r="W7" s="699">
        <f t="shared" ref="W7:W15" si="2">J7</f>
        <v>100</v>
      </c>
      <c r="X7" s="700"/>
      <c r="Y7" s="3907" t="s">
        <v>1680</v>
      </c>
      <c r="Z7" s="3908"/>
      <c r="AA7" s="701">
        <f>D7/F7</f>
        <v>1</v>
      </c>
      <c r="AB7" s="701">
        <f>D7/H7</f>
        <v>1</v>
      </c>
      <c r="AC7" s="701">
        <f>D7/J7</f>
        <v>1</v>
      </c>
    </row>
    <row r="8" spans="1:29" s="107" customFormat="1" ht="15.75" thickBot="1">
      <c r="A8" s="360" t="s">
        <v>1681</v>
      </c>
      <c r="B8" s="361"/>
      <c r="C8" s="366" t="s">
        <v>3400</v>
      </c>
      <c r="D8" s="363">
        <v>100</v>
      </c>
      <c r="E8" s="366" t="s">
        <v>3400</v>
      </c>
      <c r="F8" s="365">
        <f>SUMIF(61:61,E8,62:62)-SUMIF(61:61,C8,62:62)+100</f>
        <v>100</v>
      </c>
      <c r="G8" s="366" t="s">
        <v>3400</v>
      </c>
      <c r="H8" s="363">
        <f>SUMIF(61:61,G8,62:62)-SUMIF(61:61,C8,62:62)+100</f>
        <v>100</v>
      </c>
      <c r="I8" s="366" t="s">
        <v>3400</v>
      </c>
      <c r="J8" s="363">
        <f>SUMIF(61:61,I8,62:62)-SUMIF(61:61,C8,62:62)+100</f>
        <v>100</v>
      </c>
      <c r="K8" s="558"/>
      <c r="L8" s="2714"/>
      <c r="M8" s="2715"/>
      <c r="N8" s="2715"/>
      <c r="O8" s="2715"/>
      <c r="P8" s="3907" t="s">
        <v>1683</v>
      </c>
      <c r="Q8" s="3908"/>
      <c r="R8" s="698" t="s">
        <v>14</v>
      </c>
      <c r="S8" s="699">
        <f t="shared" si="0"/>
        <v>100</v>
      </c>
      <c r="T8" s="698" t="s">
        <v>14</v>
      </c>
      <c r="U8" s="699">
        <f t="shared" si="1"/>
        <v>100</v>
      </c>
      <c r="V8" s="698" t="s">
        <v>14</v>
      </c>
      <c r="W8" s="699">
        <f t="shared" si="2"/>
        <v>100</v>
      </c>
      <c r="X8" s="700"/>
      <c r="Y8" s="3907" t="s">
        <v>1683</v>
      </c>
      <c r="Z8" s="3908"/>
      <c r="AA8" s="701">
        <f t="shared" ref="AA8:AA46" si="3">D8/F8</f>
        <v>1</v>
      </c>
      <c r="AB8" s="701">
        <f t="shared" ref="AB8:AB46" si="4">D8/H8</f>
        <v>1</v>
      </c>
      <c r="AC8" s="701">
        <f t="shared" ref="AC8:AC46" si="5">D8/J8</f>
        <v>1</v>
      </c>
    </row>
    <row r="9" spans="1:29" s="107" customFormat="1">
      <c r="A9" s="367" t="s">
        <v>1684</v>
      </c>
      <c r="B9" s="63" t="s">
        <v>1685</v>
      </c>
      <c r="C9" s="3447" t="s">
        <v>3405</v>
      </c>
      <c r="D9" s="124">
        <v>100</v>
      </c>
      <c r="E9" s="369" t="s">
        <v>673</v>
      </c>
      <c r="F9" s="370">
        <f>SUMIF(63:63,E9,64:64)-SUMIF(63:63,C9,64:64)+100</f>
        <v>100</v>
      </c>
      <c r="G9" s="369" t="s">
        <v>673</v>
      </c>
      <c r="H9" s="124">
        <f>SUMIF(63:63,G9,64:64)-SUMIF(63:63,C9,64:64)+100</f>
        <v>100</v>
      </c>
      <c r="I9" s="369" t="s">
        <v>673</v>
      </c>
      <c r="J9" s="124">
        <f>SUMIF(63:63,I9,64:64)-SUMIF(63:63,C9,64:64)+100</f>
        <v>100</v>
      </c>
      <c r="K9" s="558"/>
      <c r="L9" s="2714"/>
      <c r="M9" s="2715"/>
      <c r="N9" s="2715"/>
      <c r="O9" s="2715"/>
      <c r="P9" s="3882" t="s">
        <v>1686</v>
      </c>
      <c r="Q9" s="1340" t="str">
        <f t="shared" ref="Q9:Q15" si="6">B9</f>
        <v>用途</v>
      </c>
      <c r="R9" s="698" t="s">
        <v>14</v>
      </c>
      <c r="S9" s="699">
        <f t="shared" si="0"/>
        <v>100</v>
      </c>
      <c r="T9" s="698" t="s">
        <v>14</v>
      </c>
      <c r="U9" s="699">
        <f t="shared" si="1"/>
        <v>100</v>
      </c>
      <c r="V9" s="698" t="s">
        <v>14</v>
      </c>
      <c r="W9" s="699">
        <f t="shared" si="2"/>
        <v>100</v>
      </c>
      <c r="X9" s="700"/>
      <c r="Y9" s="3746" t="s">
        <v>1687</v>
      </c>
      <c r="Z9" s="52" t="str">
        <f t="shared" ref="Z9:Z15" si="7">Q9</f>
        <v>用途</v>
      </c>
      <c r="AA9" s="701">
        <f t="shared" si="3"/>
        <v>1</v>
      </c>
      <c r="AB9" s="701">
        <f t="shared" si="4"/>
        <v>1</v>
      </c>
      <c r="AC9" s="701">
        <f t="shared" si="5"/>
        <v>1</v>
      </c>
    </row>
    <row r="10" spans="1:29" s="376" customFormat="1" ht="27">
      <c r="A10" s="372"/>
      <c r="B10" s="373" t="s">
        <v>1688</v>
      </c>
      <c r="C10" s="3432" t="s">
        <v>3401</v>
      </c>
      <c r="D10" s="125">
        <v>100</v>
      </c>
      <c r="E10" s="3432" t="s">
        <v>3407</v>
      </c>
      <c r="F10" s="374">
        <f>SUMIF(65:65,E10,66:66)-SUMIF(65:65,C10,66:66)+100</f>
        <v>105</v>
      </c>
      <c r="G10" s="3432" t="s">
        <v>3407</v>
      </c>
      <c r="H10" s="125">
        <f>SUMIF(65:65,G10,66:66)-SUMIF(65:65,C10,66:66)+100</f>
        <v>105</v>
      </c>
      <c r="I10" s="3432" t="s">
        <v>3407</v>
      </c>
      <c r="J10" s="125">
        <f>SUMIF(65:65,I10,66:66)-SUMIF(65:65,C10,66:66)+100</f>
        <v>105</v>
      </c>
      <c r="K10" s="558"/>
      <c r="L10" s="2716"/>
      <c r="M10" s="2717"/>
      <c r="N10" s="2717"/>
      <c r="O10" s="2717"/>
      <c r="P10" s="3882"/>
      <c r="Q10" s="1340" t="str">
        <f t="shared" si="6"/>
        <v>土地使用年限（年）</v>
      </c>
      <c r="R10" s="698" t="s">
        <v>14</v>
      </c>
      <c r="S10" s="699">
        <f t="shared" si="0"/>
        <v>105</v>
      </c>
      <c r="T10" s="698" t="s">
        <v>14</v>
      </c>
      <c r="U10" s="699">
        <f t="shared" si="1"/>
        <v>105</v>
      </c>
      <c r="V10" s="698" t="s">
        <v>14</v>
      </c>
      <c r="W10" s="699">
        <f t="shared" si="2"/>
        <v>105</v>
      </c>
      <c r="X10" s="700"/>
      <c r="Y10" s="3746"/>
      <c r="Z10" s="52" t="str">
        <f t="shared" si="7"/>
        <v>土地使用年限（年）</v>
      </c>
      <c r="AA10" s="701">
        <f t="shared" si="3"/>
        <v>0.95238095238095233</v>
      </c>
      <c r="AB10" s="701">
        <f t="shared" si="4"/>
        <v>0.95238095238095233</v>
      </c>
      <c r="AC10" s="701">
        <f t="shared" si="5"/>
        <v>0.95238095238095233</v>
      </c>
    </row>
    <row r="11" spans="1:29" ht="15">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8"/>
      <c r="M11" s="2713"/>
      <c r="N11" s="2713"/>
      <c r="O11" s="2713"/>
      <c r="P11" s="3882"/>
      <c r="Q11" s="1340" t="str">
        <f t="shared" si="6"/>
        <v>容积率</v>
      </c>
      <c r="R11" s="698" t="s">
        <v>14</v>
      </c>
      <c r="S11" s="699">
        <f t="shared" si="0"/>
        <v>100</v>
      </c>
      <c r="T11" s="698" t="s">
        <v>14</v>
      </c>
      <c r="U11" s="699">
        <f t="shared" si="1"/>
        <v>100</v>
      </c>
      <c r="V11" s="698" t="s">
        <v>14</v>
      </c>
      <c r="W11" s="699">
        <f t="shared" si="2"/>
        <v>100</v>
      </c>
      <c r="X11" s="700"/>
      <c r="Y11" s="3746"/>
      <c r="Z11" s="52" t="str">
        <f t="shared" si="7"/>
        <v>容积率</v>
      </c>
      <c r="AA11" s="701">
        <f t="shared" si="3"/>
        <v>1</v>
      </c>
      <c r="AB11" s="701">
        <f t="shared" si="4"/>
        <v>1</v>
      </c>
      <c r="AC11" s="701">
        <f t="shared" si="5"/>
        <v>1</v>
      </c>
    </row>
    <row r="12" spans="1:29" s="107" customFormat="1" ht="15">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4"/>
      <c r="M12" s="2715"/>
      <c r="N12" s="2715"/>
      <c r="O12" s="2715"/>
      <c r="P12" s="3882"/>
      <c r="Q12" s="1340">
        <f t="shared" si="6"/>
        <v>111</v>
      </c>
      <c r="R12" s="698" t="s">
        <v>14</v>
      </c>
      <c r="S12" s="699">
        <f t="shared" si="0"/>
        <v>100</v>
      </c>
      <c r="T12" s="698" t="s">
        <v>14</v>
      </c>
      <c r="U12" s="699">
        <f t="shared" si="1"/>
        <v>100</v>
      </c>
      <c r="V12" s="698" t="s">
        <v>14</v>
      </c>
      <c r="W12" s="699">
        <f t="shared" si="2"/>
        <v>100</v>
      </c>
      <c r="X12" s="700"/>
      <c r="Y12" s="3746"/>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9"/>
      <c r="M13" s="2713"/>
      <c r="N13" s="2713"/>
      <c r="O13" s="2713"/>
      <c r="P13" s="3882"/>
      <c r="Q13" s="1340">
        <f t="shared" si="6"/>
        <v>111</v>
      </c>
      <c r="R13" s="698" t="s">
        <v>14</v>
      </c>
      <c r="S13" s="699">
        <f t="shared" si="0"/>
        <v>100</v>
      </c>
      <c r="T13" s="698" t="s">
        <v>14</v>
      </c>
      <c r="U13" s="699">
        <f t="shared" si="1"/>
        <v>100</v>
      </c>
      <c r="V13" s="698" t="s">
        <v>14</v>
      </c>
      <c r="W13" s="699">
        <f t="shared" si="2"/>
        <v>100</v>
      </c>
      <c r="X13" s="700"/>
      <c r="Y13" s="3746"/>
      <c r="Z13" s="52">
        <f t="shared" si="7"/>
        <v>111</v>
      </c>
      <c r="AA13" s="701">
        <f t="shared" si="3"/>
        <v>1</v>
      </c>
      <c r="AB13" s="701">
        <f t="shared" si="4"/>
        <v>1</v>
      </c>
      <c r="AC13" s="701">
        <f t="shared" si="5"/>
        <v>1</v>
      </c>
    </row>
    <row r="14" spans="1:29" ht="15.75"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9"/>
      <c r="M14" s="2713"/>
      <c r="N14" s="2713"/>
      <c r="O14" s="2713"/>
      <c r="P14" s="3882"/>
      <c r="Q14" s="1340">
        <f t="shared" si="6"/>
        <v>111</v>
      </c>
      <c r="R14" s="698" t="s">
        <v>14</v>
      </c>
      <c r="S14" s="699">
        <f t="shared" si="0"/>
        <v>100</v>
      </c>
      <c r="T14" s="698" t="s">
        <v>14</v>
      </c>
      <c r="U14" s="699">
        <f t="shared" si="1"/>
        <v>100</v>
      </c>
      <c r="V14" s="698" t="s">
        <v>14</v>
      </c>
      <c r="W14" s="699">
        <f t="shared" si="2"/>
        <v>100</v>
      </c>
      <c r="X14" s="700"/>
      <c r="Y14" s="3746"/>
      <c r="Z14" s="5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9"/>
      <c r="M15" s="2713"/>
      <c r="N15" s="2713"/>
      <c r="O15" s="2713"/>
      <c r="P15" s="3880" t="s">
        <v>1691</v>
      </c>
      <c r="Q15" s="1349" t="str">
        <f t="shared" si="6"/>
        <v>商业繁华度</v>
      </c>
      <c r="R15" s="702" t="s">
        <v>14</v>
      </c>
      <c r="S15" s="703">
        <f t="shared" si="0"/>
        <v>100</v>
      </c>
      <c r="T15" s="702" t="s">
        <v>14</v>
      </c>
      <c r="U15" s="703">
        <f t="shared" si="1"/>
        <v>100</v>
      </c>
      <c r="V15" s="702" t="s">
        <v>14</v>
      </c>
      <c r="W15" s="703">
        <f t="shared" si="2"/>
        <v>100</v>
      </c>
      <c r="X15" s="1352"/>
      <c r="Y15" s="3873" t="s">
        <v>1691</v>
      </c>
      <c r="Z15" s="1353" t="str">
        <f t="shared" si="7"/>
        <v>商业繁华度</v>
      </c>
      <c r="AA15" s="1350">
        <f t="shared" si="3"/>
        <v>1</v>
      </c>
      <c r="AB15" s="1350">
        <f t="shared" si="4"/>
        <v>1</v>
      </c>
      <c r="AC15" s="1350">
        <f t="shared" si="5"/>
        <v>1</v>
      </c>
    </row>
    <row r="16" spans="1:29" ht="15">
      <c r="A16" s="377"/>
      <c r="B16" s="395"/>
      <c r="C16" s="396"/>
      <c r="D16" s="397"/>
      <c r="E16" s="396"/>
      <c r="F16" s="398"/>
      <c r="G16" s="396"/>
      <c r="H16" s="399"/>
      <c r="I16" s="396"/>
      <c r="J16" s="397"/>
      <c r="K16" s="562"/>
      <c r="L16" s="2719"/>
      <c r="M16" s="2713"/>
      <c r="N16" s="2713"/>
      <c r="O16" s="2713"/>
      <c r="P16" s="3881"/>
      <c r="Q16" s="1349"/>
      <c r="R16" s="702"/>
      <c r="S16" s="703"/>
      <c r="T16" s="702"/>
      <c r="U16" s="703"/>
      <c r="V16" s="702"/>
      <c r="W16" s="703"/>
      <c r="X16" s="1352"/>
      <c r="Y16" s="3874"/>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9"/>
      <c r="M17" s="2713"/>
      <c r="N17" s="2713"/>
      <c r="O17" s="2713"/>
      <c r="P17" s="3881"/>
      <c r="Q17" s="1349" t="str">
        <f>B17</f>
        <v>交通便捷度</v>
      </c>
      <c r="R17" s="702" t="s">
        <v>14</v>
      </c>
      <c r="S17" s="703">
        <f>F17</f>
        <v>100</v>
      </c>
      <c r="T17" s="702" t="s">
        <v>14</v>
      </c>
      <c r="U17" s="703">
        <f>H17</f>
        <v>100</v>
      </c>
      <c r="V17" s="702" t="s">
        <v>14</v>
      </c>
      <c r="W17" s="703">
        <f>J17</f>
        <v>100</v>
      </c>
      <c r="X17" s="1352"/>
      <c r="Y17" s="3874"/>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2719"/>
      <c r="M18" s="2713"/>
      <c r="N18" s="2713"/>
      <c r="O18" s="2713"/>
      <c r="P18" s="3881"/>
      <c r="Q18" s="1349"/>
      <c r="R18" s="702"/>
      <c r="S18" s="703"/>
      <c r="T18" s="702"/>
      <c r="U18" s="703"/>
      <c r="V18" s="702"/>
      <c r="W18" s="703"/>
      <c r="X18" s="1352"/>
      <c r="Y18" s="3874"/>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9"/>
      <c r="M19" s="2713"/>
      <c r="N19" s="2713"/>
      <c r="O19" s="2713"/>
      <c r="P19" s="3881"/>
      <c r="Q19" s="1349" t="str">
        <f>B19</f>
        <v>公共配套设施</v>
      </c>
      <c r="R19" s="702" t="s">
        <v>14</v>
      </c>
      <c r="S19" s="703">
        <f>F19</f>
        <v>100</v>
      </c>
      <c r="T19" s="702" t="s">
        <v>14</v>
      </c>
      <c r="U19" s="703">
        <f>H19</f>
        <v>100</v>
      </c>
      <c r="V19" s="702" t="s">
        <v>14</v>
      </c>
      <c r="W19" s="703">
        <f>J19</f>
        <v>100</v>
      </c>
      <c r="X19" s="1352"/>
      <c r="Y19" s="3874"/>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2719"/>
      <c r="M20" s="2713"/>
      <c r="N20" s="2713"/>
      <c r="O20" s="2713"/>
      <c r="P20" s="3881"/>
      <c r="Q20" s="1349"/>
      <c r="R20" s="702"/>
      <c r="S20" s="703"/>
      <c r="T20" s="702"/>
      <c r="U20" s="703"/>
      <c r="V20" s="702"/>
      <c r="W20" s="703"/>
      <c r="X20" s="1352"/>
      <c r="Y20" s="3874"/>
      <c r="Z20" s="1353"/>
      <c r="AA20" s="1350">
        <v>1</v>
      </c>
      <c r="AB20" s="1350">
        <v>1</v>
      </c>
      <c r="AC20" s="1350">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9"/>
      <c r="M21" s="2713"/>
      <c r="N21" s="2713"/>
      <c r="O21" s="2713"/>
      <c r="P21" s="3881"/>
      <c r="Q21" s="1349" t="str">
        <f>B21</f>
        <v>基础设施水平</v>
      </c>
      <c r="R21" s="702" t="s">
        <v>14</v>
      </c>
      <c r="S21" s="703">
        <f>F21</f>
        <v>100</v>
      </c>
      <c r="T21" s="702" t="s">
        <v>14</v>
      </c>
      <c r="U21" s="703">
        <f>H21</f>
        <v>100</v>
      </c>
      <c r="V21" s="702" t="s">
        <v>14</v>
      </c>
      <c r="W21" s="703">
        <f>J21</f>
        <v>100</v>
      </c>
      <c r="X21" s="1352"/>
      <c r="Y21" s="3874"/>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2719"/>
      <c r="M22" s="2713"/>
      <c r="N22" s="2713"/>
      <c r="O22" s="2713"/>
      <c r="P22" s="3881"/>
      <c r="Q22" s="1349"/>
      <c r="R22" s="702"/>
      <c r="S22" s="703"/>
      <c r="T22" s="702"/>
      <c r="U22" s="703"/>
      <c r="V22" s="702"/>
      <c r="W22" s="703"/>
      <c r="X22" s="1352"/>
      <c r="Y22" s="3874"/>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9"/>
      <c r="M23" s="2713"/>
      <c r="N23" s="2713"/>
      <c r="O23" s="2713"/>
      <c r="P23" s="3881"/>
      <c r="Q23" s="1349" t="str">
        <f>B23</f>
        <v>自然及人文环境</v>
      </c>
      <c r="R23" s="702" t="s">
        <v>14</v>
      </c>
      <c r="S23" s="703">
        <f>F23</f>
        <v>100</v>
      </c>
      <c r="T23" s="702" t="s">
        <v>14</v>
      </c>
      <c r="U23" s="703">
        <f>H23</f>
        <v>100</v>
      </c>
      <c r="V23" s="702" t="s">
        <v>14</v>
      </c>
      <c r="W23" s="703">
        <f>J23</f>
        <v>100</v>
      </c>
      <c r="X23" s="1352"/>
      <c r="Y23" s="3874"/>
      <c r="Z23" s="1353" t="str">
        <f>Q23</f>
        <v>自然及人文环境</v>
      </c>
      <c r="AA23" s="1350">
        <f t="shared" si="3"/>
        <v>1</v>
      </c>
      <c r="AB23" s="1350">
        <f t="shared" si="4"/>
        <v>1</v>
      </c>
      <c r="AC23" s="1350">
        <f t="shared" si="5"/>
        <v>1</v>
      </c>
    </row>
    <row r="24" spans="1:29" ht="15">
      <c r="A24" s="377"/>
      <c r="B24" s="405"/>
      <c r="C24" s="396"/>
      <c r="D24" s="397"/>
      <c r="E24" s="1895"/>
      <c r="F24" s="398"/>
      <c r="G24" s="1894"/>
      <c r="H24" s="397"/>
      <c r="I24" s="1895"/>
      <c r="J24" s="397"/>
      <c r="K24" s="562"/>
      <c r="L24" s="2719"/>
      <c r="M24" s="2713"/>
      <c r="N24" s="2713"/>
      <c r="O24" s="2713"/>
      <c r="P24" s="3881"/>
      <c r="Q24" s="1349"/>
      <c r="R24" s="702"/>
      <c r="S24" s="703"/>
      <c r="T24" s="702"/>
      <c r="U24" s="703"/>
      <c r="V24" s="702"/>
      <c r="W24" s="703"/>
      <c r="X24" s="1352"/>
      <c r="Y24" s="3874"/>
      <c r="Z24" s="1353"/>
      <c r="AA24" s="1350">
        <v>1</v>
      </c>
      <c r="AB24" s="1350">
        <v>1</v>
      </c>
      <c r="AC24" s="1350">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9"/>
      <c r="M25" s="2713"/>
      <c r="N25" s="2713"/>
      <c r="O25" s="2713"/>
      <c r="P25" s="3881"/>
      <c r="Q25" s="1349" t="str">
        <f t="shared" ref="Q25:Q46" si="11">B25</f>
        <v>临街状况</v>
      </c>
      <c r="R25" s="702" t="s">
        <v>14</v>
      </c>
      <c r="S25" s="703">
        <f>F25</f>
        <v>100</v>
      </c>
      <c r="T25" s="702" t="s">
        <v>14</v>
      </c>
      <c r="U25" s="703">
        <f>H25</f>
        <v>100</v>
      </c>
      <c r="V25" s="702" t="s">
        <v>14</v>
      </c>
      <c r="W25" s="703">
        <f>J25</f>
        <v>100</v>
      </c>
      <c r="X25" s="1352"/>
      <c r="Y25" s="3874"/>
      <c r="Z25" s="1353" t="str">
        <f>Q25</f>
        <v>临街状况</v>
      </c>
      <c r="AA25" s="1350">
        <f t="shared" si="3"/>
        <v>1</v>
      </c>
      <c r="AB25" s="1350">
        <f t="shared" si="4"/>
        <v>1</v>
      </c>
      <c r="AC25" s="1350">
        <f t="shared" si="5"/>
        <v>1</v>
      </c>
    </row>
    <row r="26" spans="1:29" ht="15">
      <c r="A26" s="377"/>
      <c r="B26" s="1130" t="s">
        <v>1781</v>
      </c>
      <c r="C26" s="383"/>
      <c r="D26" s="384">
        <v>100</v>
      </c>
      <c r="E26" s="383"/>
      <c r="F26" s="410">
        <f>SUMIF(88:88,E26,89:89)-SUMIF(88:88,C26,89:89)+100</f>
        <v>100</v>
      </c>
      <c r="G26" s="383"/>
      <c r="H26" s="384">
        <f>SUMIF(88:88,G26,89:89)-SUMIF(88:88,C26,89:89)+100</f>
        <v>100</v>
      </c>
      <c r="I26" s="383"/>
      <c r="J26" s="384">
        <f>SUMIF(88:88,I26,89:89)-SUMIF(88:88,C26,89:89)+100</f>
        <v>100</v>
      </c>
      <c r="K26" s="560"/>
      <c r="L26" s="2719"/>
      <c r="M26" s="2713"/>
      <c r="N26" s="2713"/>
      <c r="O26" s="2713"/>
      <c r="P26" s="3881"/>
      <c r="Q26" s="1349" t="str">
        <f t="shared" si="11"/>
        <v>平面位置/可视性</v>
      </c>
      <c r="R26" s="702" t="s">
        <v>14</v>
      </c>
      <c r="S26" s="703">
        <f>F26</f>
        <v>100</v>
      </c>
      <c r="T26" s="702" t="s">
        <v>14</v>
      </c>
      <c r="U26" s="703">
        <f>H26</f>
        <v>100</v>
      </c>
      <c r="V26" s="702" t="s">
        <v>14</v>
      </c>
      <c r="W26" s="703">
        <f>J26</f>
        <v>100</v>
      </c>
      <c r="X26" s="1352"/>
      <c r="Y26" s="3874"/>
      <c r="Z26" s="1353" t="str">
        <f>Q26</f>
        <v>平面位置/可视性</v>
      </c>
      <c r="AA26" s="1350">
        <f t="shared" si="3"/>
        <v>1</v>
      </c>
      <c r="AB26" s="1350">
        <f t="shared" si="4"/>
        <v>1</v>
      </c>
      <c r="AC26" s="1350">
        <f t="shared" si="5"/>
        <v>1</v>
      </c>
    </row>
    <row r="27" spans="1:29" s="107" customFormat="1" ht="15">
      <c r="A27" s="380"/>
      <c r="B27" s="400" t="s">
        <v>1782</v>
      </c>
      <c r="C27" s="1953"/>
      <c r="D27" s="411">
        <v>100</v>
      </c>
      <c r="E27" s="1953"/>
      <c r="F27" s="413">
        <f>SUMIF(90:90,E27,91:91)-SUMIF(90:90,C27,91:91)+100</f>
        <v>100</v>
      </c>
      <c r="G27" s="1953"/>
      <c r="H27" s="411">
        <f>SUMIF(90:90,G27,91:91)-SUMIF(90:90,C27,91:91)+100</f>
        <v>100</v>
      </c>
      <c r="I27" s="1953"/>
      <c r="J27" s="411">
        <f>SUMIF(90:90,I27,91:91)-SUMIF(90:90,C27,91:91)+100</f>
        <v>100</v>
      </c>
      <c r="K27" s="559"/>
      <c r="L27" s="2714"/>
      <c r="M27" s="2715"/>
      <c r="N27" s="2715"/>
      <c r="O27" s="2715"/>
      <c r="P27" s="3881"/>
      <c r="Q27" s="1340" t="str">
        <f t="shared" si="11"/>
        <v>人流量</v>
      </c>
      <c r="R27" s="698" t="s">
        <v>14</v>
      </c>
      <c r="S27" s="699">
        <f>F27</f>
        <v>100</v>
      </c>
      <c r="T27" s="698" t="s">
        <v>14</v>
      </c>
      <c r="U27" s="699">
        <f>H27</f>
        <v>100</v>
      </c>
      <c r="V27" s="698" t="s">
        <v>14</v>
      </c>
      <c r="W27" s="699">
        <f>J27</f>
        <v>100</v>
      </c>
      <c r="X27" s="700"/>
      <c r="Y27" s="3874"/>
      <c r="Z27" s="52" t="str">
        <f>Q27</f>
        <v>人流量</v>
      </c>
      <c r="AA27" s="1350">
        <f>D27/F27</f>
        <v>1</v>
      </c>
      <c r="AB27" s="1350">
        <f>D27/H27</f>
        <v>1</v>
      </c>
      <c r="AC27" s="1350">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9"/>
      <c r="M28" s="2713"/>
      <c r="N28" s="2713"/>
      <c r="O28" s="2713"/>
      <c r="P28" s="3881"/>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874"/>
      <c r="Z28" s="1353" t="str">
        <f t="shared" ref="Z28:Z46" si="15">Q28</f>
        <v>楼层</v>
      </c>
      <c r="AA28" s="1350">
        <f t="shared" si="3"/>
        <v>1</v>
      </c>
      <c r="AB28" s="1350">
        <f t="shared" si="4"/>
        <v>1</v>
      </c>
      <c r="AC28" s="1350">
        <f t="shared" si="5"/>
        <v>1</v>
      </c>
    </row>
    <row r="29" spans="1:29" ht="15">
      <c r="A29" s="377"/>
      <c r="B29" s="1130">
        <v>111</v>
      </c>
      <c r="C29" s="383"/>
      <c r="D29" s="384">
        <v>100</v>
      </c>
      <c r="E29" s="383"/>
      <c r="F29" s="410">
        <f>SUMIF(94:94,E29,95:95)-SUMIF(94:94,C29,95:95)+100</f>
        <v>100</v>
      </c>
      <c r="G29" s="383"/>
      <c r="H29" s="384">
        <f>SUMIF(94:94,G29,95:95)-SUMIF(94:94,C29,95:95)+100</f>
        <v>100</v>
      </c>
      <c r="I29" s="383"/>
      <c r="J29" s="384">
        <f>SUMIF(94:94,I29,95:95)-SUMIF(94:94,C29,95:95)+100</f>
        <v>100</v>
      </c>
      <c r="K29" s="560"/>
      <c r="L29" s="2719"/>
      <c r="M29" s="2713"/>
      <c r="N29" s="2713"/>
      <c r="O29" s="2713"/>
      <c r="P29" s="3881"/>
      <c r="Q29" s="1349">
        <f t="shared" si="11"/>
        <v>111</v>
      </c>
      <c r="R29" s="702" t="s">
        <v>14</v>
      </c>
      <c r="S29" s="703">
        <f t="shared" si="12"/>
        <v>100</v>
      </c>
      <c r="T29" s="702" t="s">
        <v>14</v>
      </c>
      <c r="U29" s="703">
        <f t="shared" si="13"/>
        <v>100</v>
      </c>
      <c r="V29" s="702" t="s">
        <v>14</v>
      </c>
      <c r="W29" s="703">
        <f t="shared" si="14"/>
        <v>100</v>
      </c>
      <c r="X29" s="1352"/>
      <c r="Y29" s="3874"/>
      <c r="Z29" s="1353">
        <f t="shared" si="15"/>
        <v>111</v>
      </c>
      <c r="AA29" s="1350">
        <f t="shared" si="3"/>
        <v>1</v>
      </c>
      <c r="AB29" s="1350">
        <f t="shared" si="4"/>
        <v>1</v>
      </c>
      <c r="AC29" s="1350">
        <f t="shared" si="5"/>
        <v>1</v>
      </c>
    </row>
    <row r="30" spans="1:29" ht="15">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9"/>
      <c r="M30" s="2713"/>
      <c r="N30" s="2713"/>
      <c r="O30" s="2713"/>
      <c r="P30" s="3881"/>
      <c r="Q30" s="1349">
        <f t="shared" si="11"/>
        <v>111</v>
      </c>
      <c r="R30" s="702" t="s">
        <v>14</v>
      </c>
      <c r="S30" s="703">
        <f t="shared" si="12"/>
        <v>100</v>
      </c>
      <c r="T30" s="702" t="s">
        <v>14</v>
      </c>
      <c r="U30" s="703">
        <f t="shared" si="13"/>
        <v>100</v>
      </c>
      <c r="V30" s="702" t="s">
        <v>14</v>
      </c>
      <c r="W30" s="703">
        <f t="shared" si="14"/>
        <v>100</v>
      </c>
      <c r="X30" s="1352"/>
      <c r="Y30" s="3874"/>
      <c r="Z30" s="1353">
        <f t="shared" si="15"/>
        <v>111</v>
      </c>
      <c r="AA30" s="1350">
        <f t="shared" si="3"/>
        <v>1</v>
      </c>
      <c r="AB30" s="1350">
        <f t="shared" si="4"/>
        <v>1</v>
      </c>
      <c r="AC30" s="1350">
        <f t="shared" si="5"/>
        <v>1</v>
      </c>
    </row>
    <row r="31" spans="1:29" ht="15.75"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9"/>
      <c r="M31" s="2713"/>
      <c r="N31" s="2713"/>
      <c r="O31" s="2713"/>
      <c r="P31" s="3881"/>
      <c r="Q31" s="1349">
        <f t="shared" si="11"/>
        <v>111</v>
      </c>
      <c r="R31" s="702" t="s">
        <v>14</v>
      </c>
      <c r="S31" s="703">
        <f t="shared" si="12"/>
        <v>100</v>
      </c>
      <c r="T31" s="702" t="s">
        <v>14</v>
      </c>
      <c r="U31" s="703">
        <f t="shared" si="13"/>
        <v>100</v>
      </c>
      <c r="V31" s="702" t="s">
        <v>14</v>
      </c>
      <c r="W31" s="703">
        <f t="shared" si="14"/>
        <v>100</v>
      </c>
      <c r="X31" s="1352"/>
      <c r="Y31" s="3874"/>
      <c r="Z31" s="1353">
        <f t="shared" si="15"/>
        <v>111</v>
      </c>
      <c r="AA31" s="1350">
        <f t="shared" si="3"/>
        <v>1</v>
      </c>
      <c r="AB31" s="1350">
        <f t="shared" si="4"/>
        <v>1</v>
      </c>
      <c r="AC31" s="1350">
        <f t="shared" si="5"/>
        <v>1</v>
      </c>
    </row>
    <row r="32" spans="1:29" ht="15">
      <c r="A32" s="389" t="s">
        <v>1694</v>
      </c>
      <c r="B32" s="63" t="s">
        <v>1784</v>
      </c>
      <c r="C32" s="1907"/>
      <c r="D32" s="416">
        <v>100</v>
      </c>
      <c r="E32" s="1907"/>
      <c r="F32" s="410">
        <f>SUMIF(100:100,E32,101:101)-SUMIF(100:100,C32,101:101)+100</f>
        <v>100</v>
      </c>
      <c r="G32" s="1907"/>
      <c r="H32" s="384">
        <f>SUMIF(100:100,G32,101:101)-SUMIF(100:100,C32,101:101)+100</f>
        <v>100</v>
      </c>
      <c r="I32" s="1907"/>
      <c r="J32" s="416">
        <f>SUMIF(100:100,I32,101:101)-SUMIF(100:100,C32,101:101)+100</f>
        <v>100</v>
      </c>
      <c r="K32" s="559"/>
      <c r="L32" s="2719"/>
      <c r="M32" s="2713"/>
      <c r="N32" s="2713"/>
      <c r="O32" s="2713"/>
      <c r="P32" s="3875" t="s">
        <v>1696</v>
      </c>
      <c r="Q32" s="1349" t="str">
        <f t="shared" si="11"/>
        <v>商业类型</v>
      </c>
      <c r="R32" s="702" t="s">
        <v>14</v>
      </c>
      <c r="S32" s="703">
        <f t="shared" si="12"/>
        <v>100</v>
      </c>
      <c r="T32" s="702" t="s">
        <v>14</v>
      </c>
      <c r="U32" s="703">
        <f t="shared" si="13"/>
        <v>100</v>
      </c>
      <c r="V32" s="702" t="s">
        <v>14</v>
      </c>
      <c r="W32" s="703">
        <f t="shared" si="14"/>
        <v>100</v>
      </c>
      <c r="X32" s="1352"/>
      <c r="Y32" s="3878" t="s">
        <v>1696</v>
      </c>
      <c r="Z32" s="1353" t="str">
        <f t="shared" si="15"/>
        <v>商业类型</v>
      </c>
      <c r="AA32" s="1350">
        <f t="shared" si="3"/>
        <v>1</v>
      </c>
      <c r="AB32" s="1350">
        <f t="shared" si="4"/>
        <v>1</v>
      </c>
      <c r="AC32" s="1350">
        <f t="shared" si="5"/>
        <v>1</v>
      </c>
    </row>
    <row r="33" spans="1:29" s="420" customFormat="1" ht="15">
      <c r="A33" s="417"/>
      <c r="B33" s="373" t="s">
        <v>1697</v>
      </c>
      <c r="C33" s="418">
        <v>913.89</v>
      </c>
      <c r="D33" s="125">
        <v>100</v>
      </c>
      <c r="E33" s="379">
        <v>122.13</v>
      </c>
      <c r="F33" s="374">
        <f>LOOKUP(E33,103:103,104:104)-LOOKUP(C33,103:103,104:104)+100</f>
        <v>104</v>
      </c>
      <c r="G33" s="378">
        <v>105.28</v>
      </c>
      <c r="H33" s="125">
        <f>LOOKUP(G33,103:103,104:104)-LOOKUP(C33,103:103,104:104)+100</f>
        <v>104</v>
      </c>
      <c r="I33" s="378">
        <v>73.95</v>
      </c>
      <c r="J33" s="125">
        <f>LOOKUP(I33,103:103,104:104)-LOOKUP(C33,103:103,104:104)+100</f>
        <v>104</v>
      </c>
      <c r="K33" s="560"/>
      <c r="L33" s="2718"/>
      <c r="M33" s="2720"/>
      <c r="N33" s="2720"/>
      <c r="O33" s="2720"/>
      <c r="P33" s="3876"/>
      <c r="Q33" s="704" t="str">
        <f t="shared" si="11"/>
        <v>项目建筑规模</v>
      </c>
      <c r="R33" s="705" t="s">
        <v>14</v>
      </c>
      <c r="S33" s="706">
        <f t="shared" si="12"/>
        <v>104</v>
      </c>
      <c r="T33" s="705" t="s">
        <v>14</v>
      </c>
      <c r="U33" s="706">
        <f t="shared" si="13"/>
        <v>104</v>
      </c>
      <c r="V33" s="705" t="s">
        <v>14</v>
      </c>
      <c r="W33" s="706">
        <f t="shared" si="14"/>
        <v>104</v>
      </c>
      <c r="X33" s="707"/>
      <c r="Y33" s="3878"/>
      <c r="Z33" s="708" t="str">
        <f t="shared" si="15"/>
        <v>项目建筑规模</v>
      </c>
      <c r="AA33" s="1350">
        <f t="shared" si="3"/>
        <v>0.96153846153846156</v>
      </c>
      <c r="AB33" s="1350">
        <f t="shared" si="4"/>
        <v>0.96153846153846156</v>
      </c>
      <c r="AC33" s="1350">
        <f t="shared" si="5"/>
        <v>0.96153846153846156</v>
      </c>
    </row>
    <row r="34" spans="1:29" ht="15">
      <c r="A34" s="421"/>
      <c r="B34" s="373" t="s">
        <v>1698</v>
      </c>
      <c r="C34" s="1909"/>
      <c r="D34" s="384">
        <v>100</v>
      </c>
      <c r="E34" s="1909"/>
      <c r="F34" s="410">
        <f>SUMIF(105:105,E34,106:106)-SUMIF(105:105,C34,106:106)+100</f>
        <v>100</v>
      </c>
      <c r="G34" s="1909"/>
      <c r="H34" s="384">
        <f>SUMIF(105:105,G34,106:106)-SUMIF(105:105,C34,106:106)+100</f>
        <v>100</v>
      </c>
      <c r="I34" s="1909"/>
      <c r="J34" s="384">
        <f>SUMIF(105:105,I34,106:106)-SUMIF(105:105,C34,106:106)+100</f>
        <v>100</v>
      </c>
      <c r="K34" s="559"/>
      <c r="L34" s="2719"/>
      <c r="M34" s="2713"/>
      <c r="N34" s="2713"/>
      <c r="O34" s="2713"/>
      <c r="P34" s="3876"/>
      <c r="Q34" s="1349" t="str">
        <f t="shared" si="11"/>
        <v>建筑结构</v>
      </c>
      <c r="R34" s="702" t="s">
        <v>14</v>
      </c>
      <c r="S34" s="703">
        <f t="shared" si="12"/>
        <v>100</v>
      </c>
      <c r="T34" s="702" t="s">
        <v>14</v>
      </c>
      <c r="U34" s="703">
        <f t="shared" si="13"/>
        <v>100</v>
      </c>
      <c r="V34" s="702" t="s">
        <v>14</v>
      </c>
      <c r="W34" s="703">
        <f t="shared" si="14"/>
        <v>100</v>
      </c>
      <c r="X34" s="1352"/>
      <c r="Y34" s="3878"/>
      <c r="Z34" s="1353" t="str">
        <f t="shared" si="15"/>
        <v>建筑结构</v>
      </c>
      <c r="AA34" s="1350">
        <f t="shared" si="3"/>
        <v>1</v>
      </c>
      <c r="AB34" s="1350">
        <f t="shared" si="4"/>
        <v>1</v>
      </c>
      <c r="AC34" s="1350">
        <f t="shared" si="5"/>
        <v>1</v>
      </c>
    </row>
    <row r="35" spans="1:29" ht="15">
      <c r="A35" s="421"/>
      <c r="B35" s="373" t="s">
        <v>1785</v>
      </c>
      <c r="C35" s="1903"/>
      <c r="D35" s="384">
        <v>100</v>
      </c>
      <c r="E35" s="1903"/>
      <c r="F35" s="410">
        <f>SUMIF(107:107,E35,108:108)-SUMIF(107:107,C35,108:108)+100</f>
        <v>100</v>
      </c>
      <c r="G35" s="1903"/>
      <c r="H35" s="384">
        <f>SUMIF(107:107,G35,108:108)-SUMIF(107:107,C35,108:108)+100</f>
        <v>100</v>
      </c>
      <c r="I35" s="1903"/>
      <c r="J35" s="384">
        <f>SUMIF(107:107,I35,108:108)-SUMIF(107:107,C35,108:108)+100</f>
        <v>100</v>
      </c>
      <c r="K35" s="559"/>
      <c r="L35" s="2719"/>
      <c r="M35" s="2713"/>
      <c r="N35" s="2713"/>
      <c r="O35" s="2713"/>
      <c r="P35" s="3876"/>
      <c r="Q35" s="1349" t="str">
        <f t="shared" si="11"/>
        <v>公共部分装修</v>
      </c>
      <c r="R35" s="702" t="s">
        <v>14</v>
      </c>
      <c r="S35" s="703">
        <f t="shared" si="12"/>
        <v>100</v>
      </c>
      <c r="T35" s="702" t="s">
        <v>14</v>
      </c>
      <c r="U35" s="703">
        <f t="shared" si="13"/>
        <v>100</v>
      </c>
      <c r="V35" s="702" t="s">
        <v>14</v>
      </c>
      <c r="W35" s="703">
        <f t="shared" si="14"/>
        <v>100</v>
      </c>
      <c r="X35" s="1352"/>
      <c r="Y35" s="3878"/>
      <c r="Z35" s="1353" t="str">
        <f t="shared" si="15"/>
        <v>公共部分装修</v>
      </c>
      <c r="AA35" s="1350">
        <f t="shared" si="3"/>
        <v>1</v>
      </c>
      <c r="AB35" s="1350">
        <f t="shared" si="4"/>
        <v>1</v>
      </c>
      <c r="AC35" s="1350">
        <f t="shared" si="5"/>
        <v>1</v>
      </c>
    </row>
    <row r="36" spans="1:29" ht="15">
      <c r="A36" s="421"/>
      <c r="B36" s="373" t="s">
        <v>1786</v>
      </c>
      <c r="C36" s="423">
        <v>0.82</v>
      </c>
      <c r="D36" s="384">
        <v>100</v>
      </c>
      <c r="E36" s="423">
        <v>0.9</v>
      </c>
      <c r="F36" s="410">
        <f>LOOKUP(E36,110:110,111:111)-LOOKUP(C36,110:110,111:111)+100</f>
        <v>101</v>
      </c>
      <c r="G36" s="423">
        <v>0.9</v>
      </c>
      <c r="H36" s="410">
        <f>LOOKUP(G36,110:110,111:111)-LOOKUP(C36,110:110,111:111)+100</f>
        <v>101</v>
      </c>
      <c r="I36" s="423">
        <v>0.9</v>
      </c>
      <c r="J36" s="384">
        <f>LOOKUP(I36,110:110,111:111)-LOOKUP(C36,110:110,111:111)+100</f>
        <v>101</v>
      </c>
      <c r="K36" s="559">
        <v>1</v>
      </c>
      <c r="L36" s="2719"/>
      <c r="M36" s="2713"/>
      <c r="N36" s="2713"/>
      <c r="O36" s="2713"/>
      <c r="P36" s="3876"/>
      <c r="Q36" s="1349" t="str">
        <f t="shared" si="11"/>
        <v>成新度</v>
      </c>
      <c r="R36" s="702" t="s">
        <v>14</v>
      </c>
      <c r="S36" s="703">
        <f t="shared" si="12"/>
        <v>101</v>
      </c>
      <c r="T36" s="702" t="s">
        <v>14</v>
      </c>
      <c r="U36" s="703">
        <f t="shared" si="13"/>
        <v>101</v>
      </c>
      <c r="V36" s="702" t="s">
        <v>14</v>
      </c>
      <c r="W36" s="703">
        <f t="shared" si="14"/>
        <v>101</v>
      </c>
      <c r="X36" s="1352"/>
      <c r="Y36" s="3878"/>
      <c r="Z36" s="1353" t="str">
        <f t="shared" si="15"/>
        <v>成新度</v>
      </c>
      <c r="AA36" s="1350">
        <f t="shared" si="3"/>
        <v>0.99009900990099009</v>
      </c>
      <c r="AB36" s="1350">
        <f t="shared" si="4"/>
        <v>0.99009900990099009</v>
      </c>
      <c r="AC36" s="1350">
        <f t="shared" si="5"/>
        <v>0.99009900990099009</v>
      </c>
    </row>
    <row r="37" spans="1:29" s="107" customFormat="1" ht="15">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4"/>
      <c r="M37" s="2715"/>
      <c r="N37" s="2715"/>
      <c r="O37" s="2715"/>
      <c r="P37" s="3876"/>
      <c r="Q37" s="1340" t="str">
        <f t="shared" si="11"/>
        <v>市政基础设施</v>
      </c>
      <c r="R37" s="698" t="s">
        <v>14</v>
      </c>
      <c r="S37" s="699">
        <f t="shared" si="12"/>
        <v>100</v>
      </c>
      <c r="T37" s="698" t="s">
        <v>14</v>
      </c>
      <c r="U37" s="699">
        <f t="shared" si="13"/>
        <v>100</v>
      </c>
      <c r="V37" s="698" t="s">
        <v>14</v>
      </c>
      <c r="W37" s="699">
        <f t="shared" si="14"/>
        <v>100</v>
      </c>
      <c r="X37" s="700"/>
      <c r="Y37" s="3878"/>
      <c r="Z37" s="52" t="str">
        <f t="shared" si="15"/>
        <v>市政基础设施</v>
      </c>
      <c r="AA37" s="701">
        <f t="shared" si="3"/>
        <v>1</v>
      </c>
      <c r="AB37" s="701">
        <f t="shared" si="4"/>
        <v>1</v>
      </c>
      <c r="AC37" s="701">
        <f t="shared" si="5"/>
        <v>1</v>
      </c>
    </row>
    <row r="38" spans="1:29" ht="15">
      <c r="A38" s="421"/>
      <c r="B38" s="373" t="s">
        <v>1788</v>
      </c>
      <c r="C38" s="1903"/>
      <c r="D38" s="384">
        <v>100</v>
      </c>
      <c r="E38" s="1903"/>
      <c r="F38" s="410">
        <f>SUMIF(114:114,E38,115:115)-SUMIF(114:114,C38,115:115)+100</f>
        <v>100</v>
      </c>
      <c r="G38" s="1903"/>
      <c r="H38" s="384">
        <f>SUMIF(114:114,G38,115:115)-SUMIF(114:114,C38,115:115)+100</f>
        <v>100</v>
      </c>
      <c r="I38" s="1903"/>
      <c r="J38" s="384">
        <f>SUMIF(114:114,I38,115:115)-SUMIF(114:114,C38,115:115)+100</f>
        <v>100</v>
      </c>
      <c r="K38" s="559"/>
      <c r="L38" s="2719"/>
      <c r="M38" s="2713"/>
      <c r="N38" s="2713"/>
      <c r="O38" s="2713"/>
      <c r="P38" s="3876" t="s">
        <v>1696</v>
      </c>
      <c r="Q38" s="1349" t="str">
        <f t="shared" si="11"/>
        <v>业态</v>
      </c>
      <c r="R38" s="702" t="s">
        <v>14</v>
      </c>
      <c r="S38" s="703">
        <f t="shared" si="12"/>
        <v>100</v>
      </c>
      <c r="T38" s="702" t="s">
        <v>14</v>
      </c>
      <c r="U38" s="703">
        <f t="shared" si="13"/>
        <v>100</v>
      </c>
      <c r="V38" s="702" t="s">
        <v>14</v>
      </c>
      <c r="W38" s="703">
        <f t="shared" si="14"/>
        <v>100</v>
      </c>
      <c r="X38" s="1352"/>
      <c r="Y38" s="3878" t="s">
        <v>1696</v>
      </c>
      <c r="Z38" s="1353" t="str">
        <f t="shared" si="15"/>
        <v>业态</v>
      </c>
      <c r="AA38" s="1350">
        <f t="shared" si="3"/>
        <v>1</v>
      </c>
      <c r="AB38" s="1350">
        <f t="shared" si="4"/>
        <v>1</v>
      </c>
      <c r="AC38" s="1350">
        <f t="shared" si="5"/>
        <v>1</v>
      </c>
    </row>
    <row r="39" spans="1:29" ht="15">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9"/>
      <c r="M39" s="2713"/>
      <c r="N39" s="2713"/>
      <c r="O39" s="2713"/>
      <c r="P39" s="3876"/>
      <c r="Q39" s="1349" t="str">
        <f t="shared" si="11"/>
        <v>层高</v>
      </c>
      <c r="R39" s="702" t="s">
        <v>14</v>
      </c>
      <c r="S39" s="703">
        <f t="shared" si="12"/>
        <v>100</v>
      </c>
      <c r="T39" s="702" t="s">
        <v>14</v>
      </c>
      <c r="U39" s="703">
        <f t="shared" si="13"/>
        <v>100</v>
      </c>
      <c r="V39" s="702" t="s">
        <v>14</v>
      </c>
      <c r="W39" s="703">
        <f t="shared" si="14"/>
        <v>100</v>
      </c>
      <c r="X39" s="1352"/>
      <c r="Y39" s="3878"/>
      <c r="Z39" s="1353" t="str">
        <f t="shared" si="15"/>
        <v>层高</v>
      </c>
      <c r="AA39" s="1350">
        <f t="shared" si="3"/>
        <v>1</v>
      </c>
      <c r="AB39" s="1350">
        <f t="shared" si="4"/>
        <v>1</v>
      </c>
      <c r="AC39" s="1350">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9"/>
      <c r="M40" s="2713"/>
      <c r="N40" s="2713"/>
      <c r="O40" s="2713"/>
      <c r="P40" s="3876"/>
      <c r="Q40" s="1349" t="str">
        <f t="shared" si="11"/>
        <v>单套建筑面积</v>
      </c>
      <c r="R40" s="702" t="s">
        <v>14</v>
      </c>
      <c r="S40" s="703">
        <f t="shared" si="12"/>
        <v>100</v>
      </c>
      <c r="T40" s="702" t="s">
        <v>14</v>
      </c>
      <c r="U40" s="703">
        <f t="shared" si="13"/>
        <v>100</v>
      </c>
      <c r="V40" s="702" t="s">
        <v>14</v>
      </c>
      <c r="W40" s="703">
        <f t="shared" si="14"/>
        <v>100</v>
      </c>
      <c r="X40" s="1352"/>
      <c r="Y40" s="3878"/>
      <c r="Z40" s="1353" t="str">
        <f t="shared" si="15"/>
        <v>单套建筑面积</v>
      </c>
      <c r="AA40" s="1350">
        <f t="shared" si="3"/>
        <v>1</v>
      </c>
      <c r="AB40" s="1350">
        <f t="shared" si="4"/>
        <v>1</v>
      </c>
      <c r="AC40" s="1350">
        <f t="shared" si="5"/>
        <v>1</v>
      </c>
    </row>
    <row r="41" spans="1:29" s="420" customFormat="1" ht="15">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8"/>
      <c r="M41" s="2720"/>
      <c r="N41" s="2720"/>
      <c r="O41" s="2720"/>
      <c r="P41" s="3876"/>
      <c r="Q41" s="704" t="str">
        <f t="shared" si="11"/>
        <v>进深比</v>
      </c>
      <c r="R41" s="705" t="s">
        <v>14</v>
      </c>
      <c r="S41" s="706">
        <f t="shared" si="12"/>
        <v>100</v>
      </c>
      <c r="T41" s="705" t="s">
        <v>14</v>
      </c>
      <c r="U41" s="706">
        <f t="shared" si="13"/>
        <v>100</v>
      </c>
      <c r="V41" s="705" t="s">
        <v>14</v>
      </c>
      <c r="W41" s="706">
        <f t="shared" si="14"/>
        <v>100</v>
      </c>
      <c r="X41" s="707"/>
      <c r="Y41" s="3878"/>
      <c r="Z41" s="708" t="str">
        <f t="shared" si="15"/>
        <v>进深比</v>
      </c>
      <c r="AA41" s="1350">
        <f t="shared" si="3"/>
        <v>1</v>
      </c>
      <c r="AB41" s="1350">
        <f t="shared" si="4"/>
        <v>1</v>
      </c>
      <c r="AC41" s="1350">
        <f t="shared" si="5"/>
        <v>1</v>
      </c>
    </row>
    <row r="42" spans="1:29" ht="15">
      <c r="A42" s="421"/>
      <c r="B42" s="373" t="s">
        <v>1792</v>
      </c>
      <c r="C42" s="1903"/>
      <c r="D42" s="384">
        <v>100</v>
      </c>
      <c r="E42" s="1903"/>
      <c r="F42" s="410">
        <f>SUMIF(122:122,E42,123:123)-SUMIF(122:122,C42,123:123)+100</f>
        <v>100</v>
      </c>
      <c r="G42" s="1903"/>
      <c r="H42" s="384">
        <f>SUMIF(122:122,G42,123:123)-SUMIF(122:122,C42,123:123)+100</f>
        <v>100</v>
      </c>
      <c r="I42" s="1903"/>
      <c r="J42" s="384">
        <f>SUMIF(122:122,I42,123:123)-SUMIF(122:122,C42,123:123)+100</f>
        <v>100</v>
      </c>
      <c r="K42" s="559"/>
      <c r="L42" s="2719"/>
      <c r="M42" s="2713"/>
      <c r="N42" s="2713"/>
      <c r="O42" s="2713"/>
      <c r="P42" s="3876"/>
      <c r="Q42" s="1349" t="str">
        <f t="shared" si="11"/>
        <v>内部装修</v>
      </c>
      <c r="R42" s="702" t="s">
        <v>14</v>
      </c>
      <c r="S42" s="703">
        <f t="shared" si="12"/>
        <v>100</v>
      </c>
      <c r="T42" s="702" t="s">
        <v>14</v>
      </c>
      <c r="U42" s="703">
        <f t="shared" si="13"/>
        <v>100</v>
      </c>
      <c r="V42" s="702" t="s">
        <v>14</v>
      </c>
      <c r="W42" s="703">
        <f t="shared" si="14"/>
        <v>100</v>
      </c>
      <c r="X42" s="1352"/>
      <c r="Y42" s="3878"/>
      <c r="Z42" s="1353" t="str">
        <f t="shared" si="15"/>
        <v>内部装修</v>
      </c>
      <c r="AA42" s="1350">
        <f t="shared" si="3"/>
        <v>1</v>
      </c>
      <c r="AB42" s="1350">
        <f t="shared" si="4"/>
        <v>1</v>
      </c>
      <c r="AC42" s="1350">
        <f t="shared" si="5"/>
        <v>1</v>
      </c>
    </row>
    <row r="43" spans="1:29" ht="15">
      <c r="A43" s="421"/>
      <c r="B43" s="373" t="s">
        <v>1707</v>
      </c>
      <c r="C43" s="1903"/>
      <c r="D43" s="384">
        <v>100</v>
      </c>
      <c r="E43" s="1903"/>
      <c r="F43" s="410">
        <f>SUMIF(124:124,E43,125:125)-SUMIF(124:124,C43,125:125)+100</f>
        <v>100</v>
      </c>
      <c r="G43" s="1903"/>
      <c r="H43" s="384">
        <f>SUMIF(124:124,G43,125:125)-SUMIF(124:124,C43,125:125)+100</f>
        <v>100</v>
      </c>
      <c r="I43" s="1903"/>
      <c r="J43" s="384">
        <f>SUMIF(124:124,I43,125:125)-SUMIF(124:124,C43,125:125)+100</f>
        <v>100</v>
      </c>
      <c r="K43" s="559"/>
      <c r="L43" s="2719"/>
      <c r="M43" s="2713"/>
      <c r="N43" s="2713"/>
      <c r="O43" s="2713"/>
      <c r="P43" s="3876"/>
      <c r="Q43" s="1349" t="str">
        <f t="shared" si="11"/>
        <v>内部装修维护情况</v>
      </c>
      <c r="R43" s="702" t="s">
        <v>14</v>
      </c>
      <c r="S43" s="703">
        <f t="shared" si="12"/>
        <v>100</v>
      </c>
      <c r="T43" s="702" t="s">
        <v>14</v>
      </c>
      <c r="U43" s="703">
        <f t="shared" si="13"/>
        <v>100</v>
      </c>
      <c r="V43" s="702" t="s">
        <v>14</v>
      </c>
      <c r="W43" s="703">
        <f t="shared" si="14"/>
        <v>100</v>
      </c>
      <c r="X43" s="1352"/>
      <c r="Y43" s="3878"/>
      <c r="Z43" s="1353" t="str">
        <f t="shared" si="15"/>
        <v>内部装修维护情况</v>
      </c>
      <c r="AA43" s="1350">
        <f t="shared" si="3"/>
        <v>1</v>
      </c>
      <c r="AB43" s="1350">
        <f t="shared" si="4"/>
        <v>1</v>
      </c>
      <c r="AC43" s="1350">
        <f t="shared" si="5"/>
        <v>1</v>
      </c>
    </row>
    <row r="44" spans="1:29" s="107" customFormat="1" ht="15">
      <c r="A44" s="422"/>
      <c r="B44" s="1130">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4"/>
      <c r="M44" s="2715"/>
      <c r="N44" s="2715"/>
      <c r="O44" s="2715"/>
      <c r="P44" s="3876"/>
      <c r="Q44" s="1340">
        <f t="shared" si="11"/>
        <v>111</v>
      </c>
      <c r="R44" s="698" t="s">
        <v>14</v>
      </c>
      <c r="S44" s="699">
        <f t="shared" si="12"/>
        <v>100</v>
      </c>
      <c r="T44" s="698" t="s">
        <v>14</v>
      </c>
      <c r="U44" s="699">
        <f t="shared" si="13"/>
        <v>100</v>
      </c>
      <c r="V44" s="698" t="s">
        <v>14</v>
      </c>
      <c r="W44" s="699">
        <f t="shared" si="14"/>
        <v>100</v>
      </c>
      <c r="X44" s="700"/>
      <c r="Y44" s="3878"/>
      <c r="Z44" s="52">
        <f t="shared" si="15"/>
        <v>111</v>
      </c>
      <c r="AA44" s="701">
        <f t="shared" si="3"/>
        <v>1</v>
      </c>
      <c r="AB44" s="701">
        <f t="shared" si="4"/>
        <v>1</v>
      </c>
      <c r="AC44" s="701">
        <f t="shared" si="5"/>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9"/>
      <c r="M45" s="2713"/>
      <c r="N45" s="2713"/>
      <c r="O45" s="2713"/>
      <c r="P45" s="3876"/>
      <c r="Q45" s="1349">
        <f t="shared" si="11"/>
        <v>111</v>
      </c>
      <c r="R45" s="702" t="s">
        <v>14</v>
      </c>
      <c r="S45" s="703">
        <f t="shared" si="12"/>
        <v>100</v>
      </c>
      <c r="T45" s="702" t="s">
        <v>14</v>
      </c>
      <c r="U45" s="703">
        <f t="shared" si="13"/>
        <v>100</v>
      </c>
      <c r="V45" s="702" t="s">
        <v>14</v>
      </c>
      <c r="W45" s="703">
        <f t="shared" si="14"/>
        <v>100</v>
      </c>
      <c r="X45" s="1352"/>
      <c r="Y45" s="3878"/>
      <c r="Z45" s="1353">
        <f t="shared" si="15"/>
        <v>111</v>
      </c>
      <c r="AA45" s="1350">
        <f t="shared" si="3"/>
        <v>1</v>
      </c>
      <c r="AB45" s="1350">
        <f t="shared" si="4"/>
        <v>1</v>
      </c>
      <c r="AC45" s="1350">
        <f t="shared" si="5"/>
        <v>1</v>
      </c>
    </row>
    <row r="46" spans="1:29" ht="15.75" thickBot="1">
      <c r="A46" s="427"/>
      <c r="B46" s="1892">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9"/>
      <c r="M46" s="2713"/>
      <c r="N46" s="2713"/>
      <c r="O46" s="2713"/>
      <c r="P46" s="3877"/>
      <c r="Q46" s="1349">
        <f t="shared" si="11"/>
        <v>111</v>
      </c>
      <c r="R46" s="702" t="s">
        <v>14</v>
      </c>
      <c r="S46" s="703">
        <f t="shared" si="12"/>
        <v>100</v>
      </c>
      <c r="T46" s="702" t="s">
        <v>14</v>
      </c>
      <c r="U46" s="703">
        <f t="shared" si="13"/>
        <v>100</v>
      </c>
      <c r="V46" s="702" t="s">
        <v>14</v>
      </c>
      <c r="W46" s="703">
        <f t="shared" si="14"/>
        <v>100</v>
      </c>
      <c r="X46" s="1352"/>
      <c r="Y46" s="3879"/>
      <c r="Z46" s="1353">
        <f t="shared" si="15"/>
        <v>111</v>
      </c>
      <c r="AA46" s="1350">
        <f t="shared" si="3"/>
        <v>1</v>
      </c>
      <c r="AB46" s="1350">
        <f t="shared" si="4"/>
        <v>1</v>
      </c>
      <c r="AC46" s="1350">
        <f t="shared" si="5"/>
        <v>1</v>
      </c>
    </row>
    <row r="47" spans="1:29" ht="15">
      <c r="A47" s="428" t="s">
        <v>1708</v>
      </c>
      <c r="B47" s="429"/>
      <c r="C47" s="1151" t="s">
        <v>0</v>
      </c>
      <c r="D47" s="1152"/>
      <c r="E47" s="1153">
        <f>65995*E50</f>
        <v>64015.15</v>
      </c>
      <c r="F47" s="1154"/>
      <c r="G47" s="1155">
        <f>66014*E50</f>
        <v>64033.58</v>
      </c>
      <c r="H47" s="1156"/>
      <c r="I47" s="1153">
        <f>78431*I50</f>
        <v>74509.45</v>
      </c>
      <c r="J47" s="1156"/>
      <c r="K47" s="711"/>
      <c r="L47" s="2721"/>
      <c r="M47" s="2722"/>
      <c r="N47" s="2713"/>
      <c r="O47" s="2722"/>
      <c r="P47" s="3871" t="str">
        <f>A47</f>
        <v>成交单价（元/平方米）</v>
      </c>
      <c r="Q47" s="3871"/>
      <c r="R47" s="3902">
        <f>E47</f>
        <v>64015.15</v>
      </c>
      <c r="S47" s="3902"/>
      <c r="T47" s="3902">
        <f>G47</f>
        <v>64033.58</v>
      </c>
      <c r="U47" s="3902"/>
      <c r="V47" s="3902">
        <f>I47</f>
        <v>74509.45</v>
      </c>
      <c r="W47" s="3902"/>
      <c r="X47" s="687"/>
      <c r="Y47" s="709"/>
      <c r="Z47" s="687"/>
      <c r="AA47" s="687"/>
      <c r="AB47" s="687"/>
      <c r="AC47" s="687"/>
    </row>
    <row r="48" spans="1:29" ht="15.75" thickBot="1">
      <c r="A48" s="435" t="s">
        <v>1793</v>
      </c>
      <c r="B48" s="436"/>
      <c r="C48" s="1157">
        <f>R49</f>
        <v>61219</v>
      </c>
      <c r="D48" s="2314" t="s">
        <v>2138</v>
      </c>
      <c r="E48" s="1158">
        <f>R48</f>
        <v>58042</v>
      </c>
      <c r="F48" s="2315"/>
      <c r="G48" s="1157">
        <f>T48</f>
        <v>58058</v>
      </c>
      <c r="H48" s="2315"/>
      <c r="I48" s="1158">
        <f>V48</f>
        <v>67557</v>
      </c>
      <c r="J48" s="2315"/>
      <c r="K48" s="2317">
        <f>F48+H48+J48</f>
        <v>0</v>
      </c>
      <c r="L48" s="2721"/>
      <c r="M48" s="2722"/>
      <c r="N48" s="2713"/>
      <c r="O48" s="2722"/>
      <c r="P48" s="3871" t="str">
        <f>A48</f>
        <v>比较价值（元/平方米）</v>
      </c>
      <c r="Q48" s="3871"/>
      <c r="R48" s="3872">
        <f>IF(F1="售价",ROUND(PRODUCT(R47,AA7:AA46),0),ROUND(PRODUCT(R47,AA7:AA46),1))</f>
        <v>58042</v>
      </c>
      <c r="S48" s="3872"/>
      <c r="T48" s="3872">
        <f>IF(F1="售价",ROUND(PRODUCT(T47,AB7:AB46),0),ROUND(PRODUCT(T47,AB7:AB46),1))</f>
        <v>58058</v>
      </c>
      <c r="U48" s="3872"/>
      <c r="V48" s="3872">
        <f>IF(F1="售价",ROUND(PRODUCT(V47,AC7:AC46),0),ROUND(PRODUCT(V47,AC7:AC46),1))</f>
        <v>67557</v>
      </c>
      <c r="W48" s="3872"/>
      <c r="X48" s="687"/>
      <c r="Y48" s="687"/>
      <c r="Z48" s="687"/>
      <c r="AA48" s="687"/>
      <c r="AB48" s="687"/>
      <c r="AC48" s="687"/>
    </row>
    <row r="49" spans="1:29" ht="15.75" thickBot="1">
      <c r="A49" s="439" t="s">
        <v>1794</v>
      </c>
      <c r="B49" s="440"/>
      <c r="C49" s="1160">
        <f>R49</f>
        <v>61219</v>
      </c>
      <c r="D49" s="1160"/>
      <c r="E49" s="1160"/>
      <c r="F49" s="1160"/>
      <c r="G49" s="1160"/>
      <c r="H49" s="1160"/>
      <c r="I49" s="1160"/>
      <c r="J49" s="1160"/>
      <c r="K49" s="712"/>
      <c r="L49" s="2721"/>
      <c r="M49" s="2722"/>
      <c r="N49" s="2713"/>
      <c r="O49" s="2722"/>
      <c r="P49" s="3868" t="str">
        <f>A49</f>
        <v>估价对象XX用房的比较价值（楼面单价，元/平方米）</v>
      </c>
      <c r="Q49" s="3869"/>
      <c r="R49" s="3870">
        <f>IF(F1="售价",ROUND(IF(D48="简单平均",AVERAGE(R48:V48),R48*F48+T48*H48+V48*J48),0),ROUND(IF(D48="简单平均",AVERAGE(R48:V48),R48*F48+T48*H48+V48*J48),1))</f>
        <v>61219</v>
      </c>
      <c r="S49" s="3870"/>
      <c r="T49" s="3870"/>
      <c r="U49" s="3870"/>
      <c r="V49" s="3870"/>
      <c r="W49" s="3870"/>
      <c r="X49" s="687"/>
      <c r="Y49" s="687"/>
      <c r="Z49" s="687"/>
      <c r="AA49" s="687"/>
      <c r="AB49" s="687"/>
      <c r="AC49" s="687"/>
    </row>
    <row r="50" spans="1:29">
      <c r="A50" s="2722"/>
      <c r="B50" s="2722"/>
      <c r="C50" s="2722"/>
      <c r="D50" s="2722"/>
      <c r="E50" s="2722">
        <v>0.97</v>
      </c>
      <c r="F50" s="2722"/>
      <c r="G50" s="2726"/>
      <c r="H50" s="2722"/>
      <c r="I50" s="2722">
        <v>0.95</v>
      </c>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4" t="s">
        <v>1795</v>
      </c>
      <c r="D52" s="445"/>
      <c r="E52" s="446">
        <f>IF(E47&lt;E48,E48/E47-1,E47/E48-1)</f>
        <v>0.10291082319699529</v>
      </c>
      <c r="F52" s="447" t="str">
        <f>IF(OR(E52&gt;=0.3,E52&lt;=-0.3),"超过30%","")</f>
        <v/>
      </c>
      <c r="G52" s="446">
        <f>IF(G47&lt;G48,G48/G47-1,G47/G48-1)</f>
        <v>0.10292431706224803</v>
      </c>
      <c r="H52" s="447" t="str">
        <f>IF(OR(G52&gt;=0.3,G52&lt;=-0.3),"超过30%","")</f>
        <v/>
      </c>
      <c r="I52" s="446">
        <f>IF(I47&lt;I48,I48/I47-1,I47/I48-1)</f>
        <v>0.10291235549239897</v>
      </c>
      <c r="J52" s="447"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4" t="s">
        <v>1796</v>
      </c>
      <c r="D53" s="448"/>
      <c r="E53" s="446">
        <f>IF(E48&lt;G48,G48/E48-1,E48/G48-1)</f>
        <v>2.7566245132826239E-4</v>
      </c>
      <c r="F53" s="447" t="str">
        <f>IF(OR(E53&gt;=0.2,E53&lt;=-0.2),"超过20%","")</f>
        <v/>
      </c>
      <c r="G53" s="446">
        <f>IF(G48&lt;I48,I48/G48-1,G48/I48-1)</f>
        <v>0.16361224981914635</v>
      </c>
      <c r="H53" s="447" t="str">
        <f>IF(OR(G53&gt;=0.2,G53&lt;=-0.2),"超过20%","")</f>
        <v/>
      </c>
      <c r="I53" s="446">
        <f>IF(I48&lt;E48,E48/I48-1,I48/E48-1)</f>
        <v>0.16393301402432714</v>
      </c>
      <c r="J53" s="447"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49" customFormat="1" ht="13.5" customHeight="1">
      <c r="A54" s="2725"/>
      <c r="B54" s="2725"/>
      <c r="C54" s="444" t="s">
        <v>1797</v>
      </c>
      <c r="D54" s="448"/>
      <c r="E54" s="446">
        <f>IF(E47&lt;G47,G47/E47-1,E47/G47-1)</f>
        <v>2.8790059853012195E-4</v>
      </c>
      <c r="F54" s="447" t="str">
        <f>IF(OR(E54&gt;=0.3,E54&lt;=-0.3),"超过30%","")</f>
        <v/>
      </c>
      <c r="G54" s="446">
        <f>IF(G47&lt;I47,I47/G47-1,G47/I47-1)</f>
        <v>0.16359963006909806</v>
      </c>
      <c r="H54" s="447" t="str">
        <f>IF(OR(G54&gt;=0.3,G54&lt;=-0.3),"超过30%","")</f>
        <v/>
      </c>
      <c r="I54" s="446">
        <f>IF(I47&lt;E47,E47/I47-1,I47/E47-1)</f>
        <v>0.16393463109904438</v>
      </c>
      <c r="J54" s="447"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49"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1" t="s">
        <v>1798</v>
      </c>
      <c r="B57" s="687"/>
      <c r="C57" s="692"/>
      <c r="D57" s="692"/>
      <c r="E57" s="692"/>
      <c r="F57" s="693"/>
      <c r="G57" s="693"/>
      <c r="H57" s="692"/>
      <c r="I57" s="692"/>
      <c r="J57" s="692"/>
      <c r="K57" s="694"/>
      <c r="L57" s="939"/>
      <c r="M57" s="937"/>
      <c r="N57" s="937"/>
      <c r="O57" s="937"/>
      <c r="P57" s="2735"/>
      <c r="Q57" s="2736"/>
      <c r="R57" s="2722"/>
      <c r="S57" s="2722"/>
      <c r="T57" s="2722"/>
      <c r="U57" s="2722"/>
      <c r="V57" s="2722"/>
      <c r="W57" s="2722"/>
      <c r="X57" s="2722"/>
      <c r="Y57" s="2722"/>
      <c r="Z57" s="2722"/>
      <c r="AA57" s="2722"/>
      <c r="AB57" s="2722"/>
      <c r="AC57" s="2722"/>
    </row>
    <row r="58" spans="1:29" s="455" customFormat="1" ht="15">
      <c r="A58" s="452" t="s">
        <v>1679</v>
      </c>
      <c r="B58" s="453"/>
      <c r="C58" s="1181" t="str">
        <f>YEAR(C7)&amp;"-"&amp;MONTH(C7)</f>
        <v>2023-1</v>
      </c>
      <c r="D58" s="1182">
        <f>EDATE(C58,-1)</f>
        <v>44896</v>
      </c>
      <c r="E58" s="1182">
        <f t="shared" ref="E58:N58" si="16">EDATE(D58,-1)</f>
        <v>44866</v>
      </c>
      <c r="F58" s="1182">
        <f t="shared" si="16"/>
        <v>44835</v>
      </c>
      <c r="G58" s="1182">
        <f t="shared" si="16"/>
        <v>44805</v>
      </c>
      <c r="H58" s="1182">
        <f t="shared" si="16"/>
        <v>44774</v>
      </c>
      <c r="I58" s="1182">
        <f t="shared" si="16"/>
        <v>44743</v>
      </c>
      <c r="J58" s="1182">
        <f t="shared" si="16"/>
        <v>44713</v>
      </c>
      <c r="K58" s="1182">
        <f t="shared" si="16"/>
        <v>44682</v>
      </c>
      <c r="L58" s="1182">
        <f t="shared" si="16"/>
        <v>44652</v>
      </c>
      <c r="M58" s="1182">
        <f t="shared" si="16"/>
        <v>44621</v>
      </c>
      <c r="N58" s="1182">
        <f t="shared" si="16"/>
        <v>44593</v>
      </c>
      <c r="O58" s="1182">
        <f>EDATE(N58,-1)</f>
        <v>44562</v>
      </c>
      <c r="P58" s="2737"/>
      <c r="Q58" s="2738"/>
      <c r="R58" s="2738"/>
      <c r="S58" s="2738"/>
      <c r="T58" s="2738"/>
      <c r="U58" s="2738"/>
      <c r="V58" s="2738"/>
      <c r="W58" s="2738"/>
      <c r="X58" s="2738"/>
      <c r="Y58" s="2738"/>
      <c r="Z58" s="2738"/>
      <c r="AA58" s="2738"/>
      <c r="AB58" s="2738"/>
      <c r="AC58" s="2738"/>
    </row>
    <row r="59" spans="1:29" s="107" customFormat="1" ht="15">
      <c r="A59" s="456"/>
      <c r="B59" s="457"/>
      <c r="C59" s="1180">
        <v>100</v>
      </c>
      <c r="D59" s="459">
        <v>100</v>
      </c>
      <c r="E59" s="459"/>
      <c r="F59" s="459"/>
      <c r="G59" s="459"/>
      <c r="H59" s="459"/>
      <c r="I59" s="459"/>
      <c r="J59" s="459"/>
      <c r="K59" s="459"/>
      <c r="L59" s="459"/>
      <c r="M59" s="460"/>
      <c r="N59" s="459"/>
      <c r="O59" s="460"/>
      <c r="P59" s="2739"/>
      <c r="Q59" s="2658"/>
      <c r="R59" s="2658"/>
      <c r="S59" s="2658"/>
      <c r="T59" s="2658"/>
      <c r="U59" s="2658"/>
      <c r="V59" s="2658"/>
      <c r="W59" s="2658"/>
      <c r="X59" s="2658"/>
      <c r="Y59" s="2658"/>
      <c r="Z59" s="2658"/>
      <c r="AA59" s="2658"/>
      <c r="AB59" s="2658"/>
      <c r="AC59" s="2658"/>
    </row>
    <row r="60" spans="1:29" s="107" customFormat="1" ht="15.75" thickBot="1">
      <c r="A60" s="462" t="s">
        <v>1716</v>
      </c>
      <c r="B60" s="463"/>
      <c r="C60" s="464"/>
      <c r="D60" s="465"/>
      <c r="E60" s="465"/>
      <c r="F60" s="465"/>
      <c r="G60" s="465"/>
      <c r="H60" s="465"/>
      <c r="I60" s="465"/>
      <c r="J60" s="465"/>
      <c r="K60" s="465"/>
      <c r="L60" s="465"/>
      <c r="M60" s="466"/>
      <c r="N60" s="465"/>
      <c r="O60" s="466"/>
      <c r="P60" s="2739"/>
      <c r="Q60" s="2736"/>
      <c r="R60" s="2658"/>
      <c r="S60" s="2658"/>
      <c r="T60" s="2658"/>
      <c r="U60" s="2658"/>
      <c r="V60" s="2658"/>
      <c r="W60" s="2658"/>
      <c r="X60" s="2658"/>
      <c r="Y60" s="2658"/>
      <c r="Z60" s="2658"/>
      <c r="AA60" s="2658"/>
      <c r="AB60" s="2658"/>
      <c r="AC60" s="2658"/>
    </row>
    <row r="61" spans="1:29" s="107" customFormat="1" ht="15">
      <c r="A61" s="468" t="s">
        <v>1681</v>
      </c>
      <c r="B61" s="457"/>
      <c r="C61" s="469" t="s">
        <v>1776</v>
      </c>
      <c r="D61" s="470"/>
      <c r="E61" s="470"/>
      <c r="F61" s="470"/>
      <c r="G61" s="470"/>
      <c r="H61" s="470"/>
      <c r="I61" s="470"/>
      <c r="J61" s="470"/>
      <c r="K61" s="470"/>
      <c r="L61" s="471"/>
      <c r="M61" s="472"/>
      <c r="N61" s="2749"/>
      <c r="O61" s="2749"/>
      <c r="P61" s="2740"/>
      <c r="Q61" s="2736"/>
      <c r="R61" s="2658"/>
      <c r="S61" s="2658"/>
      <c r="T61" s="2658"/>
      <c r="U61" s="2658"/>
      <c r="V61" s="2658"/>
      <c r="W61" s="2658"/>
      <c r="X61" s="2658"/>
      <c r="Y61" s="2658"/>
      <c r="Z61" s="2658"/>
      <c r="AA61" s="2658"/>
      <c r="AB61" s="2658"/>
      <c r="AC61" s="2658"/>
    </row>
    <row r="62" spans="1:29" s="107" customFormat="1" ht="15.75" thickBot="1">
      <c r="A62" s="468"/>
      <c r="B62" s="457"/>
      <c r="C62" s="458">
        <v>100</v>
      </c>
      <c r="D62" s="459"/>
      <c r="E62" s="459"/>
      <c r="F62" s="459"/>
      <c r="G62" s="459"/>
      <c r="H62" s="459"/>
      <c r="I62" s="459"/>
      <c r="J62" s="459"/>
      <c r="K62" s="459"/>
      <c r="L62" s="459"/>
      <c r="M62" s="461"/>
      <c r="N62" s="2749"/>
      <c r="O62" s="2749"/>
      <c r="P62" s="2739"/>
      <c r="Q62" s="2736"/>
      <c r="R62" s="2658"/>
      <c r="S62" s="2658"/>
      <c r="T62" s="2658"/>
      <c r="U62" s="2658"/>
      <c r="V62" s="2658"/>
      <c r="W62" s="2658"/>
      <c r="X62" s="2658"/>
      <c r="Y62" s="2658"/>
      <c r="Z62" s="2658"/>
      <c r="AA62" s="2658"/>
      <c r="AB62" s="2658"/>
      <c r="AC62" s="2658"/>
    </row>
    <row r="63" spans="1:29">
      <c r="A63" s="474" t="s">
        <v>1719</v>
      </c>
      <c r="B63" s="475" t="s">
        <v>1685</v>
      </c>
      <c r="C63" s="476" t="str">
        <f>C9</f>
        <v>商业</v>
      </c>
      <c r="D63" s="477"/>
      <c r="E63" s="477"/>
      <c r="F63" s="477"/>
      <c r="G63" s="477"/>
      <c r="H63" s="477"/>
      <c r="I63" s="477"/>
      <c r="J63" s="477"/>
      <c r="K63" s="478"/>
      <c r="L63" s="479"/>
      <c r="M63" s="480"/>
      <c r="N63" s="2750"/>
      <c r="O63" s="2750"/>
      <c r="P63" s="2741"/>
      <c r="Q63" s="2736"/>
      <c r="R63" s="2722"/>
      <c r="S63" s="2722"/>
      <c r="T63" s="2722"/>
      <c r="U63" s="2722"/>
      <c r="V63" s="2722"/>
      <c r="W63" s="2722"/>
      <c r="X63" s="2722"/>
      <c r="Y63" s="2722"/>
      <c r="Z63" s="2722"/>
      <c r="AA63" s="2722"/>
      <c r="AB63" s="2722"/>
      <c r="AC63" s="2722"/>
    </row>
    <row r="64" spans="1:29" ht="15.75" thickBot="1">
      <c r="A64" s="481"/>
      <c r="B64" s="482"/>
      <c r="C64" s="483">
        <v>100</v>
      </c>
      <c r="D64" s="483"/>
      <c r="E64" s="483"/>
      <c r="F64" s="483"/>
      <c r="G64" s="483"/>
      <c r="H64" s="483"/>
      <c r="I64" s="483"/>
      <c r="J64" s="483"/>
      <c r="K64" s="483"/>
      <c r="L64" s="483"/>
      <c r="M64" s="484"/>
      <c r="N64" s="2751"/>
      <c r="O64" s="2751"/>
      <c r="P64" s="2741"/>
      <c r="Q64" s="2736"/>
      <c r="R64" s="2722"/>
      <c r="S64" s="2722"/>
      <c r="T64" s="2722"/>
      <c r="U64" s="2722"/>
      <c r="V64" s="2722"/>
      <c r="W64" s="2722"/>
      <c r="X64" s="2722"/>
      <c r="Y64" s="2722"/>
      <c r="Z64" s="2722"/>
      <c r="AA64" s="2722"/>
      <c r="AB64" s="2722"/>
      <c r="AC64" s="2722"/>
    </row>
    <row r="65" spans="1:29" ht="27.75" thickTop="1">
      <c r="A65" s="481"/>
      <c r="B65" s="485" t="s">
        <v>1688</v>
      </c>
      <c r="C65" s="3432" t="s">
        <v>3401</v>
      </c>
      <c r="D65" s="530" t="s">
        <v>3402</v>
      </c>
      <c r="E65" s="530"/>
      <c r="F65" s="530"/>
      <c r="G65" s="530"/>
      <c r="H65" s="530"/>
      <c r="I65" s="530"/>
      <c r="J65" s="530"/>
      <c r="K65" s="531"/>
      <c r="L65" s="532"/>
      <c r="M65" s="533"/>
      <c r="N65" s="2750"/>
      <c r="O65" s="2750"/>
      <c r="P65" s="2741"/>
      <c r="Q65" s="2736"/>
      <c r="R65" s="2722"/>
      <c r="S65" s="2722"/>
      <c r="T65" s="2722"/>
      <c r="U65" s="2722"/>
      <c r="V65" s="2722"/>
      <c r="W65" s="2722"/>
      <c r="X65" s="2722"/>
      <c r="Y65" s="2722"/>
      <c r="Z65" s="2722"/>
      <c r="AA65" s="2722"/>
      <c r="AB65" s="2722"/>
      <c r="AC65" s="2722"/>
    </row>
    <row r="66" spans="1:29" ht="15.75" thickBot="1">
      <c r="A66" s="481"/>
      <c r="B66" s="490"/>
      <c r="C66" s="483">
        <v>100</v>
      </c>
      <c r="D66" s="483">
        <v>105</v>
      </c>
      <c r="E66" s="483"/>
      <c r="F66" s="483"/>
      <c r="G66" s="483"/>
      <c r="H66" s="483"/>
      <c r="I66" s="483"/>
      <c r="J66" s="483"/>
      <c r="K66" s="483"/>
      <c r="L66" s="483"/>
      <c r="M66" s="484"/>
      <c r="N66" s="2751"/>
      <c r="O66" s="2751"/>
      <c r="P66" s="2741"/>
      <c r="Q66" s="2736"/>
      <c r="R66" s="2722"/>
      <c r="S66" s="2722"/>
      <c r="T66" s="2722"/>
      <c r="U66" s="2722"/>
      <c r="V66" s="2722"/>
      <c r="W66" s="2722"/>
      <c r="X66" s="2722"/>
      <c r="Y66" s="2722"/>
      <c r="Z66" s="2722"/>
      <c r="AA66" s="2722"/>
      <c r="AB66" s="2722"/>
      <c r="AC66" s="2722"/>
    </row>
    <row r="67" spans="1:29" ht="15.75" thickTop="1">
      <c r="A67" s="481"/>
      <c r="B67" s="493" t="s">
        <v>1689</v>
      </c>
      <c r="C67" s="494" t="str">
        <f>C68&amp;"（含）"&amp;"-"&amp;D68</f>
        <v>0（含）-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1"/>
      <c r="B68" s="495"/>
      <c r="C68" s="496">
        <v>0</v>
      </c>
      <c r="D68" s="496"/>
      <c r="E68" s="496"/>
      <c r="F68" s="496"/>
      <c r="G68" s="496"/>
      <c r="H68" s="496"/>
      <c r="I68" s="496"/>
      <c r="J68" s="496"/>
      <c r="K68" s="497"/>
      <c r="L68" s="498"/>
      <c r="M68" s="499"/>
      <c r="N68" s="2750"/>
      <c r="O68" s="2750"/>
      <c r="P68" s="2741"/>
      <c r="Q68" s="2736"/>
      <c r="R68" s="2722"/>
      <c r="S68" s="2722"/>
      <c r="T68" s="2722"/>
      <c r="U68" s="2722"/>
      <c r="V68" s="2722"/>
      <c r="W68" s="2722"/>
      <c r="X68" s="2722"/>
      <c r="Y68" s="2722"/>
      <c r="Z68" s="2722"/>
      <c r="AA68" s="2722"/>
      <c r="AB68" s="2722"/>
      <c r="AC68" s="2722"/>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1"/>
      <c r="O69" s="2751"/>
      <c r="P69" s="2741"/>
      <c r="Q69" s="2736"/>
      <c r="R69" s="2722"/>
      <c r="S69" s="2722"/>
      <c r="T69" s="2722"/>
      <c r="U69" s="2722"/>
      <c r="V69" s="2722"/>
      <c r="W69" s="2722"/>
      <c r="X69" s="2722"/>
      <c r="Y69" s="2722"/>
      <c r="Z69" s="2722"/>
      <c r="AA69" s="2722"/>
      <c r="AB69" s="2722"/>
      <c r="AC69" s="2722"/>
    </row>
    <row r="70" spans="1:29" s="420" customFormat="1" ht="15.75" thickTop="1">
      <c r="A70" s="500"/>
      <c r="B70" s="485">
        <f>B12</f>
        <v>111</v>
      </c>
      <c r="C70" s="501"/>
      <c r="D70" s="501"/>
      <c r="E70" s="501"/>
      <c r="F70" s="501"/>
      <c r="G70" s="501"/>
      <c r="H70" s="502"/>
      <c r="I70" s="502"/>
      <c r="J70" s="502"/>
      <c r="K70" s="502"/>
      <c r="L70" s="503"/>
      <c r="M70" s="504"/>
      <c r="N70" s="2752"/>
      <c r="O70" s="2752"/>
      <c r="P70" s="2742"/>
      <c r="Q70" s="2743"/>
      <c r="R70" s="2744"/>
      <c r="S70" s="2744"/>
      <c r="T70" s="2744"/>
      <c r="U70" s="2744"/>
      <c r="V70" s="2744"/>
      <c r="W70" s="2744"/>
      <c r="X70" s="2744"/>
      <c r="Y70" s="2744"/>
      <c r="Z70" s="2744"/>
      <c r="AA70" s="2744"/>
      <c r="AB70" s="2744"/>
      <c r="AC70" s="2744"/>
    </row>
    <row r="71" spans="1:29" s="420" customFormat="1" ht="15.75" thickBot="1">
      <c r="A71" s="500"/>
      <c r="B71" s="490"/>
      <c r="C71" s="507"/>
      <c r="D71" s="483"/>
      <c r="E71" s="483"/>
      <c r="F71" s="483"/>
      <c r="G71" s="483"/>
      <c r="H71" s="483"/>
      <c r="I71" s="483"/>
      <c r="J71" s="483"/>
      <c r="K71" s="483"/>
      <c r="L71" s="483"/>
      <c r="M71" s="484"/>
      <c r="N71" s="2751"/>
      <c r="O71" s="2751"/>
      <c r="P71" s="2742"/>
      <c r="Q71" s="2743"/>
      <c r="R71" s="2744"/>
      <c r="S71" s="2744"/>
      <c r="T71" s="2744"/>
      <c r="U71" s="2744"/>
      <c r="V71" s="2744"/>
      <c r="W71" s="2744"/>
      <c r="X71" s="2744"/>
      <c r="Y71" s="2744"/>
      <c r="Z71" s="2744"/>
      <c r="AA71" s="2744"/>
      <c r="AB71" s="2744"/>
      <c r="AC71" s="2744"/>
    </row>
    <row r="72" spans="1:29" s="420" customFormat="1" ht="15.75" thickTop="1">
      <c r="A72" s="500"/>
      <c r="B72" s="485">
        <f>B13</f>
        <v>111</v>
      </c>
      <c r="C72" s="501"/>
      <c r="D72" s="501"/>
      <c r="E72" s="501"/>
      <c r="F72" s="501"/>
      <c r="G72" s="501"/>
      <c r="H72" s="502"/>
      <c r="I72" s="502"/>
      <c r="J72" s="502"/>
      <c r="K72" s="502"/>
      <c r="L72" s="503"/>
      <c r="M72" s="504"/>
      <c r="N72" s="2752"/>
      <c r="O72" s="2752"/>
      <c r="P72" s="2745"/>
      <c r="Q72" s="2746"/>
      <c r="R72" s="2744"/>
      <c r="S72" s="2744"/>
      <c r="T72" s="2744"/>
      <c r="U72" s="2744"/>
      <c r="V72" s="2744"/>
      <c r="W72" s="2744"/>
      <c r="X72" s="2744"/>
      <c r="Y72" s="2744"/>
      <c r="Z72" s="2744"/>
      <c r="AA72" s="2744"/>
      <c r="AB72" s="2744"/>
      <c r="AC72" s="2744"/>
    </row>
    <row r="73" spans="1:29" s="420" customFormat="1" ht="15.75" thickBot="1">
      <c r="A73" s="500"/>
      <c r="B73" s="490"/>
      <c r="C73" s="507"/>
      <c r="D73" s="483"/>
      <c r="E73" s="483"/>
      <c r="F73" s="483"/>
      <c r="G73" s="507"/>
      <c r="H73" s="509"/>
      <c r="I73" s="509"/>
      <c r="J73" s="509"/>
      <c r="K73" s="509"/>
      <c r="L73" s="509"/>
      <c r="M73" s="510"/>
      <c r="N73" s="2752"/>
      <c r="O73" s="2752"/>
      <c r="P73" s="2742"/>
      <c r="Q73" s="2743"/>
      <c r="R73" s="2744"/>
      <c r="S73" s="2744"/>
      <c r="T73" s="2744"/>
      <c r="U73" s="2744"/>
      <c r="V73" s="2744"/>
      <c r="W73" s="2744"/>
      <c r="X73" s="2744"/>
      <c r="Y73" s="2744"/>
      <c r="Z73" s="2744"/>
      <c r="AA73" s="2744"/>
      <c r="AB73" s="2744"/>
      <c r="AC73" s="2744"/>
    </row>
    <row r="74" spans="1:29" s="420" customFormat="1" ht="15.75" thickTop="1">
      <c r="A74" s="500"/>
      <c r="B74" s="493">
        <f>B14</f>
        <v>111</v>
      </c>
      <c r="C74" s="501"/>
      <c r="D74" s="501"/>
      <c r="E74" s="501"/>
      <c r="F74" s="501"/>
      <c r="G74" s="470"/>
      <c r="H74" s="511"/>
      <c r="I74" s="511"/>
      <c r="J74" s="511"/>
      <c r="K74" s="511"/>
      <c r="L74" s="512"/>
      <c r="M74" s="513"/>
      <c r="N74" s="2752"/>
      <c r="O74" s="2752"/>
      <c r="P74" s="2747"/>
      <c r="Q74" s="2743"/>
      <c r="R74" s="2744"/>
      <c r="S74" s="2744"/>
      <c r="T74" s="2744"/>
      <c r="U74" s="2744"/>
      <c r="V74" s="2744"/>
      <c r="W74" s="2744"/>
      <c r="X74" s="2744"/>
      <c r="Y74" s="2744"/>
      <c r="Z74" s="2744"/>
      <c r="AA74" s="2744"/>
      <c r="AB74" s="2744"/>
      <c r="AC74" s="2744"/>
    </row>
    <row r="75" spans="1:29" s="420" customFormat="1" ht="15.75" thickBot="1">
      <c r="A75" s="515"/>
      <c r="B75" s="516"/>
      <c r="C75" s="517"/>
      <c r="D75" s="517"/>
      <c r="E75" s="517"/>
      <c r="F75" s="517"/>
      <c r="G75" s="517"/>
      <c r="H75" s="518"/>
      <c r="I75" s="518"/>
      <c r="J75" s="518"/>
      <c r="K75" s="518"/>
      <c r="L75" s="518"/>
      <c r="M75" s="519"/>
      <c r="N75" s="2752"/>
      <c r="O75" s="2752"/>
      <c r="P75" s="2742"/>
      <c r="Q75" s="2743"/>
      <c r="R75" s="2744"/>
      <c r="S75" s="2744"/>
      <c r="T75" s="2744"/>
      <c r="U75" s="2744"/>
      <c r="V75" s="2744"/>
      <c r="W75" s="2744"/>
      <c r="X75" s="2744"/>
      <c r="Y75" s="2744"/>
      <c r="Z75" s="2744"/>
      <c r="AA75" s="2744"/>
      <c r="AB75" s="2744"/>
      <c r="AC75" s="2744"/>
    </row>
    <row r="76" spans="1:29">
      <c r="A76" s="474" t="s">
        <v>1690</v>
      </c>
      <c r="B76" s="475" t="s">
        <v>1720</v>
      </c>
      <c r="C76" s="520" t="s">
        <v>1721</v>
      </c>
      <c r="D76" s="520" t="s">
        <v>1722</v>
      </c>
      <c r="E76" s="520" t="s">
        <v>1723</v>
      </c>
      <c r="F76" s="520" t="s">
        <v>1724</v>
      </c>
      <c r="G76" s="520" t="s">
        <v>1725</v>
      </c>
      <c r="H76" s="476"/>
      <c r="I76" s="476"/>
      <c r="J76" s="476"/>
      <c r="K76" s="521"/>
      <c r="L76" s="522"/>
      <c r="M76" s="523"/>
      <c r="N76" s="2750"/>
      <c r="O76" s="2750"/>
      <c r="P76" s="2748"/>
      <c r="Q76" s="2736"/>
      <c r="R76" s="2722"/>
      <c r="S76" s="2722"/>
      <c r="T76" s="2722"/>
      <c r="U76" s="2722"/>
      <c r="V76" s="2722"/>
      <c r="W76" s="2722"/>
      <c r="X76" s="2722"/>
      <c r="Y76" s="2722"/>
      <c r="Z76" s="2722"/>
      <c r="AA76" s="2722"/>
      <c r="AB76" s="2722"/>
      <c r="AC76" s="2722"/>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1"/>
      <c r="O77" s="2751"/>
      <c r="P77" s="2741"/>
      <c r="Q77" s="2736"/>
      <c r="R77" s="2722"/>
      <c r="S77" s="2722"/>
      <c r="T77" s="2722"/>
      <c r="U77" s="2722"/>
      <c r="V77" s="2722"/>
      <c r="W77" s="2722"/>
      <c r="X77" s="2722"/>
      <c r="Y77" s="2722"/>
      <c r="Z77" s="2722"/>
      <c r="AA77" s="2722"/>
      <c r="AB77" s="2722"/>
      <c r="AC77" s="2722"/>
    </row>
    <row r="78" spans="1:29" ht="15.75" thickTop="1">
      <c r="A78" s="481"/>
      <c r="B78" s="485" t="s">
        <v>1726</v>
      </c>
      <c r="C78" s="525" t="s">
        <v>1721</v>
      </c>
      <c r="D78" s="525" t="s">
        <v>1722</v>
      </c>
      <c r="E78" s="525" t="s">
        <v>1723</v>
      </c>
      <c r="F78" s="525" t="s">
        <v>1724</v>
      </c>
      <c r="G78" s="525" t="s">
        <v>1725</v>
      </c>
      <c r="H78" s="486"/>
      <c r="I78" s="486"/>
      <c r="J78" s="486"/>
      <c r="K78" s="487"/>
      <c r="L78" s="488"/>
      <c r="M78" s="489"/>
      <c r="N78" s="2750"/>
      <c r="O78" s="2750"/>
      <c r="P78" s="2741"/>
      <c r="Q78" s="2736"/>
      <c r="R78" s="2722"/>
      <c r="S78" s="2722"/>
      <c r="T78" s="2722"/>
      <c r="U78" s="2722"/>
      <c r="V78" s="2722"/>
      <c r="W78" s="2722"/>
      <c r="X78" s="2722"/>
      <c r="Y78" s="2722"/>
      <c r="Z78" s="2722"/>
      <c r="AA78" s="2722"/>
      <c r="AB78" s="2722"/>
      <c r="AC78" s="2722"/>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1"/>
      <c r="O79" s="2751"/>
      <c r="P79" s="2741"/>
      <c r="Q79" s="2736"/>
      <c r="R79" s="2722"/>
      <c r="S79" s="2722"/>
      <c r="T79" s="2722"/>
      <c r="U79" s="2722"/>
      <c r="V79" s="2722"/>
      <c r="W79" s="2722"/>
      <c r="X79" s="2722"/>
      <c r="Y79" s="2722"/>
      <c r="Z79" s="2722"/>
      <c r="AA79" s="2722"/>
      <c r="AB79" s="2722"/>
      <c r="AC79" s="2722"/>
    </row>
    <row r="80" spans="1:29" ht="15.75" thickTop="1">
      <c r="A80" s="481"/>
      <c r="B80" s="485" t="s">
        <v>1727</v>
      </c>
      <c r="C80" s="525" t="s">
        <v>1721</v>
      </c>
      <c r="D80" s="525" t="s">
        <v>1722</v>
      </c>
      <c r="E80" s="525" t="s">
        <v>1723</v>
      </c>
      <c r="F80" s="525" t="s">
        <v>1724</v>
      </c>
      <c r="G80" s="525" t="s">
        <v>1725</v>
      </c>
      <c r="H80" s="486"/>
      <c r="I80" s="486"/>
      <c r="J80" s="486"/>
      <c r="K80" s="487"/>
      <c r="L80" s="488"/>
      <c r="M80" s="489"/>
      <c r="N80" s="2750"/>
      <c r="O80" s="2750"/>
      <c r="P80" s="2741"/>
      <c r="Q80" s="2736"/>
      <c r="R80" s="2722"/>
      <c r="S80" s="2722"/>
      <c r="T80" s="2722"/>
      <c r="U80" s="2722"/>
      <c r="V80" s="2722"/>
      <c r="W80" s="2722"/>
      <c r="X80" s="2722"/>
      <c r="Y80" s="2722"/>
      <c r="Z80" s="2722"/>
      <c r="AA80" s="2722"/>
      <c r="AB80" s="2722"/>
      <c r="AC80" s="2722"/>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1"/>
      <c r="O81" s="2751"/>
      <c r="P81" s="2741"/>
      <c r="Q81" s="2736"/>
      <c r="R81" s="2722"/>
      <c r="S81" s="2722"/>
      <c r="T81" s="2722"/>
      <c r="U81" s="2722"/>
      <c r="V81" s="2722"/>
      <c r="W81" s="2722"/>
      <c r="X81" s="2722"/>
      <c r="Y81" s="2722"/>
      <c r="Z81" s="2722"/>
      <c r="AA81" s="2722"/>
      <c r="AB81" s="2722"/>
      <c r="AC81" s="2722"/>
    </row>
    <row r="82" spans="1:29" ht="15.75" thickTop="1">
      <c r="A82" s="481"/>
      <c r="B82" s="493" t="s">
        <v>1779</v>
      </c>
      <c r="C82" s="606" t="s">
        <v>1799</v>
      </c>
      <c r="D82" s="606" t="s">
        <v>1800</v>
      </c>
      <c r="E82" s="606" t="s">
        <v>1801</v>
      </c>
      <c r="F82" s="606" t="s">
        <v>1802</v>
      </c>
      <c r="G82" s="606" t="s">
        <v>1803</v>
      </c>
      <c r="H82" s="486"/>
      <c r="I82" s="486"/>
      <c r="J82" s="486"/>
      <c r="K82" s="486"/>
      <c r="L82" s="486"/>
      <c r="M82" s="1126"/>
      <c r="N82" s="2751"/>
      <c r="O82" s="2751"/>
      <c r="P82" s="2741"/>
      <c r="Q82" s="2736"/>
      <c r="R82" s="2722"/>
      <c r="S82" s="2722"/>
      <c r="T82" s="2722"/>
      <c r="U82" s="2722"/>
      <c r="V82" s="2722"/>
      <c r="W82" s="2722"/>
      <c r="X82" s="2722"/>
      <c r="Y82" s="2722"/>
      <c r="Z82" s="2722"/>
      <c r="AA82" s="2722"/>
      <c r="AB82" s="2722"/>
      <c r="AC82" s="2722"/>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1"/>
      <c r="O83" s="2751"/>
      <c r="P83" s="2741"/>
      <c r="Q83" s="2736"/>
      <c r="R83" s="2722"/>
      <c r="S83" s="2722"/>
      <c r="T83" s="2722"/>
      <c r="U83" s="2722"/>
      <c r="V83" s="2722"/>
      <c r="W83" s="2722"/>
      <c r="X83" s="2722"/>
      <c r="Y83" s="2722"/>
      <c r="Z83" s="2722"/>
      <c r="AA83" s="2722"/>
      <c r="AB83" s="2722"/>
      <c r="AC83" s="2722"/>
    </row>
    <row r="84" spans="1:29" ht="15.75" thickTop="1">
      <c r="A84" s="481"/>
      <c r="B84" s="485" t="s">
        <v>1733</v>
      </c>
      <c r="C84" s="525" t="s">
        <v>1721</v>
      </c>
      <c r="D84" s="525" t="s">
        <v>1722</v>
      </c>
      <c r="E84" s="525" t="s">
        <v>1723</v>
      </c>
      <c r="F84" s="525" t="s">
        <v>1724</v>
      </c>
      <c r="G84" s="525" t="s">
        <v>1725</v>
      </c>
      <c r="H84" s="486"/>
      <c r="I84" s="486"/>
      <c r="J84" s="486"/>
      <c r="K84" s="487"/>
      <c r="L84" s="488"/>
      <c r="M84" s="489"/>
      <c r="N84" s="2750"/>
      <c r="O84" s="2750"/>
      <c r="P84" s="2741"/>
      <c r="Q84" s="2736"/>
      <c r="R84" s="2722"/>
      <c r="S84" s="2722"/>
      <c r="T84" s="2722"/>
      <c r="U84" s="2722"/>
      <c r="V84" s="2722"/>
      <c r="W84" s="2722"/>
      <c r="X84" s="2722"/>
      <c r="Y84" s="2722"/>
      <c r="Z84" s="2722"/>
      <c r="AA84" s="2722"/>
      <c r="AB84" s="2722"/>
      <c r="AC84" s="2722"/>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1"/>
      <c r="O85" s="2751"/>
      <c r="P85" s="2741"/>
      <c r="Q85" s="2736"/>
      <c r="R85" s="2722"/>
      <c r="S85" s="2722"/>
      <c r="T85" s="2722"/>
      <c r="U85" s="2722"/>
      <c r="V85" s="2722"/>
      <c r="W85" s="2722"/>
      <c r="X85" s="2722"/>
      <c r="Y85" s="2722"/>
      <c r="Z85" s="2722"/>
      <c r="AA85" s="2722"/>
      <c r="AB85" s="2722"/>
      <c r="AC85" s="2722"/>
    </row>
    <row r="86" spans="1:29" s="107" customFormat="1" ht="15.75" thickTop="1">
      <c r="A86" s="526"/>
      <c r="B86" s="485" t="s">
        <v>1804</v>
      </c>
      <c r="C86" s="501"/>
      <c r="D86" s="501"/>
      <c r="E86" s="501"/>
      <c r="F86" s="501"/>
      <c r="G86" s="501"/>
      <c r="H86" s="501"/>
      <c r="I86" s="501"/>
      <c r="J86" s="501"/>
      <c r="K86" s="501"/>
      <c r="L86" s="527"/>
      <c r="M86" s="528"/>
      <c r="N86" s="2749"/>
      <c r="O86" s="2749"/>
      <c r="P86" s="2741"/>
      <c r="Q86" s="2736"/>
      <c r="R86" s="2658"/>
      <c r="S86" s="2658"/>
      <c r="T86" s="2658"/>
      <c r="U86" s="2658"/>
      <c r="V86" s="2658"/>
      <c r="W86" s="2658"/>
      <c r="X86" s="2658"/>
      <c r="Y86" s="2658"/>
      <c r="Z86" s="2658"/>
      <c r="AA86" s="2658"/>
      <c r="AB86" s="2658"/>
      <c r="AC86" s="2658"/>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1"/>
      <c r="O87" s="2751"/>
      <c r="P87" s="2741"/>
      <c r="Q87" s="2736"/>
      <c r="R87" s="2658"/>
      <c r="S87" s="2658"/>
      <c r="T87" s="2658"/>
      <c r="U87" s="2658"/>
      <c r="V87" s="2658"/>
      <c r="W87" s="2658"/>
      <c r="X87" s="2658"/>
      <c r="Y87" s="2658"/>
      <c r="Z87" s="2658"/>
      <c r="AA87" s="2658"/>
      <c r="AB87" s="2658"/>
      <c r="AC87" s="2658"/>
    </row>
    <row r="88" spans="1:29" s="107" customFormat="1" ht="15.75" thickTop="1">
      <c r="A88" s="526"/>
      <c r="B88" s="485" t="str">
        <f>B26</f>
        <v>平面位置/可视性</v>
      </c>
      <c r="C88" s="501"/>
      <c r="D88" s="501"/>
      <c r="E88" s="501"/>
      <c r="F88" s="1924"/>
      <c r="G88" s="501"/>
      <c r="H88" s="501"/>
      <c r="I88" s="501"/>
      <c r="J88" s="501"/>
      <c r="K88" s="501"/>
      <c r="L88" s="501"/>
      <c r="M88" s="528"/>
      <c r="N88" s="2749"/>
      <c r="O88" s="2749"/>
      <c r="P88" s="2741"/>
      <c r="Q88" s="2736"/>
      <c r="R88" s="2658"/>
      <c r="S88" s="2658"/>
      <c r="T88" s="2658"/>
      <c r="U88" s="2658"/>
      <c r="V88" s="2658"/>
      <c r="W88" s="2658"/>
      <c r="X88" s="2658"/>
      <c r="Y88" s="2658"/>
      <c r="Z88" s="2658"/>
      <c r="AA88" s="2658"/>
      <c r="AB88" s="2658"/>
      <c r="AC88" s="2658"/>
    </row>
    <row r="89" spans="1:29" s="107" customFormat="1" ht="15.75" thickBot="1">
      <c r="A89" s="526"/>
      <c r="B89" s="490"/>
      <c r="C89" s="507"/>
      <c r="D89" s="483"/>
      <c r="E89" s="483"/>
      <c r="F89" s="483"/>
      <c r="G89" s="483"/>
      <c r="H89" s="483"/>
      <c r="I89" s="483"/>
      <c r="J89" s="483"/>
      <c r="K89" s="483"/>
      <c r="L89" s="483"/>
      <c r="M89" s="483"/>
      <c r="N89" s="2751"/>
      <c r="O89" s="2751"/>
      <c r="P89" s="2741"/>
      <c r="Q89" s="2736"/>
      <c r="R89" s="2658"/>
      <c r="S89" s="2658"/>
      <c r="T89" s="2658"/>
      <c r="U89" s="2658"/>
      <c r="V89" s="2658"/>
      <c r="W89" s="2658"/>
      <c r="X89" s="2658"/>
      <c r="Y89" s="2658"/>
      <c r="Z89" s="2658"/>
      <c r="AA89" s="2658"/>
      <c r="AB89" s="2658"/>
      <c r="AC89" s="2658"/>
    </row>
    <row r="90" spans="1:29" s="420" customFormat="1" ht="15.75" thickTop="1">
      <c r="A90" s="500"/>
      <c r="B90" s="485" t="str">
        <f>B27</f>
        <v>人流量</v>
      </c>
      <c r="C90" s="501"/>
      <c r="D90" s="501"/>
      <c r="E90" s="501"/>
      <c r="F90" s="501"/>
      <c r="G90" s="501"/>
      <c r="H90" s="502"/>
      <c r="I90" s="502"/>
      <c r="J90" s="502"/>
      <c r="K90" s="502"/>
      <c r="L90" s="503"/>
      <c r="M90" s="504"/>
      <c r="N90" s="2752"/>
      <c r="O90" s="2752"/>
      <c r="P90" s="2742"/>
      <c r="Q90" s="2743"/>
      <c r="R90" s="2744"/>
      <c r="S90" s="2744"/>
      <c r="T90" s="2744"/>
      <c r="U90" s="2744"/>
      <c r="V90" s="2744"/>
      <c r="W90" s="2744"/>
      <c r="X90" s="2744"/>
      <c r="Y90" s="2744"/>
      <c r="Z90" s="2744"/>
      <c r="AA90" s="2744"/>
      <c r="AB90" s="2744"/>
      <c r="AC90" s="2744"/>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1"/>
      <c r="B92" s="485" t="str">
        <f>B28</f>
        <v>楼层</v>
      </c>
      <c r="C92" s="501"/>
      <c r="D92" s="501"/>
      <c r="E92" s="501"/>
      <c r="F92" s="501"/>
      <c r="G92" s="501"/>
      <c r="H92" s="501"/>
      <c r="I92" s="501"/>
      <c r="J92" s="501"/>
      <c r="K92" s="501"/>
      <c r="L92" s="527"/>
      <c r="M92" s="528"/>
      <c r="N92" s="2750"/>
      <c r="O92" s="2750"/>
      <c r="P92" s="2741"/>
      <c r="Q92" s="2736"/>
      <c r="R92" s="2722"/>
      <c r="S92" s="2722"/>
      <c r="T92" s="2722"/>
      <c r="U92" s="2722"/>
      <c r="V92" s="2722"/>
      <c r="W92" s="2722"/>
      <c r="X92" s="2722"/>
      <c r="Y92" s="2722"/>
      <c r="Z92" s="2722"/>
      <c r="AA92" s="2722"/>
      <c r="AB92" s="2722"/>
      <c r="AC92" s="2722"/>
    </row>
    <row r="93" spans="1:29" ht="15.75" thickBot="1">
      <c r="A93" s="481"/>
      <c r="B93" s="490"/>
      <c r="C93" s="483"/>
      <c r="D93" s="483"/>
      <c r="E93" s="483"/>
      <c r="F93" s="483"/>
      <c r="G93" s="483"/>
      <c r="H93" s="483"/>
      <c r="I93" s="483"/>
      <c r="J93" s="483"/>
      <c r="K93" s="483"/>
      <c r="L93" s="483"/>
      <c r="M93" s="484"/>
      <c r="N93" s="2751"/>
      <c r="O93" s="2751"/>
      <c r="P93" s="2741"/>
      <c r="Q93" s="2736"/>
      <c r="R93" s="2722"/>
      <c r="S93" s="2722"/>
      <c r="T93" s="2722"/>
      <c r="U93" s="2722"/>
      <c r="V93" s="2722"/>
      <c r="W93" s="2722"/>
      <c r="X93" s="2722"/>
      <c r="Y93" s="2722"/>
      <c r="Z93" s="2722"/>
      <c r="AA93" s="2722"/>
      <c r="AB93" s="2722"/>
      <c r="AC93" s="2722"/>
    </row>
    <row r="94" spans="1:29" ht="15.75" thickTop="1">
      <c r="A94" s="481"/>
      <c r="B94" s="485">
        <f>B29</f>
        <v>111</v>
      </c>
      <c r="C94" s="501"/>
      <c r="D94" s="501"/>
      <c r="E94" s="501"/>
      <c r="F94" s="501"/>
      <c r="G94" s="530"/>
      <c r="H94" s="530"/>
      <c r="I94" s="530"/>
      <c r="J94" s="530"/>
      <c r="K94" s="531"/>
      <c r="L94" s="532"/>
      <c r="M94" s="533"/>
      <c r="N94" s="2750"/>
      <c r="O94" s="2750"/>
      <c r="P94" s="2741"/>
      <c r="Q94" s="2736"/>
      <c r="R94" s="2722"/>
      <c r="S94" s="2722"/>
      <c r="T94" s="2722"/>
      <c r="U94" s="2722"/>
      <c r="V94" s="2722"/>
      <c r="W94" s="2722"/>
      <c r="X94" s="2722"/>
      <c r="Y94" s="2722"/>
      <c r="Z94" s="2722"/>
      <c r="AA94" s="2722"/>
      <c r="AB94" s="2722"/>
      <c r="AC94" s="2722"/>
    </row>
    <row r="95" spans="1:29" ht="15.75" thickBot="1">
      <c r="A95" s="481"/>
      <c r="B95" s="490"/>
      <c r="C95" s="507"/>
      <c r="D95" s="483"/>
      <c r="E95" s="483"/>
      <c r="F95" s="483"/>
      <c r="G95" s="483"/>
      <c r="H95" s="483"/>
      <c r="I95" s="483"/>
      <c r="J95" s="483"/>
      <c r="K95" s="483"/>
      <c r="L95" s="483"/>
      <c r="M95" s="484"/>
      <c r="N95" s="2751"/>
      <c r="O95" s="2751"/>
      <c r="P95" s="2741"/>
      <c r="Q95" s="2736"/>
      <c r="R95" s="2722"/>
      <c r="S95" s="2722"/>
      <c r="T95" s="2722"/>
      <c r="U95" s="2722"/>
      <c r="V95" s="2722"/>
      <c r="W95" s="2722"/>
      <c r="X95" s="2722"/>
      <c r="Y95" s="2722"/>
      <c r="Z95" s="2722"/>
      <c r="AA95" s="2722"/>
      <c r="AB95" s="2722"/>
      <c r="AC95" s="2722"/>
    </row>
    <row r="96" spans="1:29" ht="15.75" thickTop="1">
      <c r="A96" s="481"/>
      <c r="B96" s="485">
        <f>B30</f>
        <v>111</v>
      </c>
      <c r="C96" s="501"/>
      <c r="D96" s="501"/>
      <c r="E96" s="501"/>
      <c r="F96" s="501"/>
      <c r="G96" s="530"/>
      <c r="H96" s="530"/>
      <c r="I96" s="530"/>
      <c r="J96" s="530"/>
      <c r="K96" s="531"/>
      <c r="L96" s="532"/>
      <c r="M96" s="533"/>
      <c r="N96" s="2750"/>
      <c r="O96" s="2750"/>
      <c r="P96" s="2741"/>
      <c r="Q96" s="2736"/>
      <c r="R96" s="2722"/>
      <c r="S96" s="2722"/>
      <c r="T96" s="2722"/>
      <c r="U96" s="2722"/>
      <c r="V96" s="2722"/>
      <c r="W96" s="2722"/>
      <c r="X96" s="2722"/>
      <c r="Y96" s="2722"/>
      <c r="Z96" s="2722"/>
      <c r="AA96" s="2722"/>
      <c r="AB96" s="2722"/>
      <c r="AC96" s="2722"/>
    </row>
    <row r="97" spans="1:29" ht="15.75" thickBot="1">
      <c r="A97" s="481"/>
      <c r="B97" s="490"/>
      <c r="C97" s="507"/>
      <c r="D97" s="483"/>
      <c r="E97" s="483"/>
      <c r="F97" s="483"/>
      <c r="G97" s="483"/>
      <c r="H97" s="483"/>
      <c r="I97" s="483"/>
      <c r="J97" s="483"/>
      <c r="K97" s="483"/>
      <c r="L97" s="483"/>
      <c r="M97" s="484"/>
      <c r="N97" s="2751"/>
      <c r="O97" s="2751"/>
      <c r="P97" s="2741"/>
      <c r="Q97" s="2736"/>
      <c r="R97" s="2722"/>
      <c r="S97" s="2722"/>
      <c r="T97" s="2722"/>
      <c r="U97" s="2722"/>
      <c r="V97" s="2722"/>
      <c r="W97" s="2722"/>
      <c r="X97" s="2722"/>
      <c r="Y97" s="2722"/>
      <c r="Z97" s="2722"/>
      <c r="AA97" s="2722"/>
      <c r="AB97" s="2722"/>
      <c r="AC97" s="2722"/>
    </row>
    <row r="98" spans="1:29" ht="15.75" thickTop="1">
      <c r="A98" s="481"/>
      <c r="B98" s="493">
        <f>B31</f>
        <v>111</v>
      </c>
      <c r="C98" s="501"/>
      <c r="D98" s="501"/>
      <c r="E98" s="501"/>
      <c r="F98" s="501"/>
      <c r="G98" s="534"/>
      <c r="H98" s="534"/>
      <c r="I98" s="534"/>
      <c r="J98" s="534"/>
      <c r="K98" s="535"/>
      <c r="L98" s="536"/>
      <c r="M98" s="537"/>
      <c r="N98" s="2750"/>
      <c r="O98" s="2750"/>
      <c r="P98" s="2741"/>
      <c r="Q98" s="2736"/>
      <c r="R98" s="2722"/>
      <c r="S98" s="2722"/>
      <c r="T98" s="2722"/>
      <c r="U98" s="2722"/>
      <c r="V98" s="2722"/>
      <c r="W98" s="2722"/>
      <c r="X98" s="2722"/>
      <c r="Y98" s="2722"/>
      <c r="Z98" s="2722"/>
      <c r="AA98" s="2722"/>
      <c r="AB98" s="2722"/>
      <c r="AC98" s="2722"/>
    </row>
    <row r="99" spans="1:29" ht="15.75" thickBot="1">
      <c r="A99" s="1925"/>
      <c r="B99" s="516"/>
      <c r="C99" s="517"/>
      <c r="D99" s="517"/>
      <c r="E99" s="517"/>
      <c r="F99" s="517"/>
      <c r="G99" s="538"/>
      <c r="H99" s="538"/>
      <c r="I99" s="538"/>
      <c r="J99" s="538"/>
      <c r="K99" s="538"/>
      <c r="L99" s="538"/>
      <c r="M99" s="539"/>
      <c r="N99" s="2751"/>
      <c r="O99" s="2751"/>
      <c r="P99" s="2741"/>
      <c r="Q99" s="2736"/>
      <c r="R99" s="2722"/>
      <c r="S99" s="2722"/>
      <c r="T99" s="2722"/>
      <c r="U99" s="2722"/>
      <c r="V99" s="2722"/>
      <c r="W99" s="2722"/>
      <c r="X99" s="2722"/>
      <c r="Y99" s="2722"/>
      <c r="Z99" s="2722"/>
      <c r="AA99" s="2722"/>
      <c r="AB99" s="2722"/>
      <c r="AC99" s="2722"/>
    </row>
    <row r="100" spans="1:29">
      <c r="A100" s="474" t="s">
        <v>1694</v>
      </c>
      <c r="B100" s="475" t="s">
        <v>1805</v>
      </c>
      <c r="C100" s="477"/>
      <c r="D100" s="477"/>
      <c r="E100" s="477"/>
      <c r="F100" s="477"/>
      <c r="G100" s="477"/>
      <c r="H100" s="477"/>
      <c r="I100" s="477"/>
      <c r="J100" s="477"/>
      <c r="K100" s="478"/>
      <c r="L100" s="479"/>
      <c r="M100" s="480"/>
      <c r="N100" s="2750"/>
      <c r="O100" s="2750"/>
      <c r="P100" s="2741"/>
      <c r="Q100" s="2736"/>
      <c r="R100" s="2722"/>
      <c r="S100" s="2722"/>
      <c r="T100" s="2722"/>
      <c r="U100" s="2722"/>
      <c r="V100" s="2722"/>
      <c r="W100" s="2722"/>
      <c r="X100" s="2722"/>
      <c r="Y100" s="2722"/>
      <c r="Z100" s="2722"/>
      <c r="AA100" s="2722"/>
      <c r="AB100" s="2722"/>
      <c r="AC100" s="2722"/>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1"/>
      <c r="B102" s="485" t="s">
        <v>1737</v>
      </c>
      <c r="C102" s="525" t="str">
        <f>C103&amp;"(含)"&amp;"-"&amp;D103</f>
        <v>0(含)-400</v>
      </c>
      <c r="D102" s="525" t="str">
        <f t="shared" ref="D102:L102" si="23">D103&amp;"(含)"&amp;"-"&amp;E103</f>
        <v>400(含)-800</v>
      </c>
      <c r="E102" s="525" t="str">
        <f t="shared" si="23"/>
        <v>800(含)-1200</v>
      </c>
      <c r="F102" s="525" t="str">
        <f t="shared" si="23"/>
        <v>1200(含)-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0" customFormat="1">
      <c r="A103" s="540"/>
      <c r="B103" s="541"/>
      <c r="C103" s="542">
        <v>0</v>
      </c>
      <c r="D103" s="542">
        <v>400</v>
      </c>
      <c r="E103" s="542">
        <v>800</v>
      </c>
      <c r="F103" s="542">
        <v>1200</v>
      </c>
      <c r="G103" s="542"/>
      <c r="H103" s="542"/>
      <c r="I103" s="542"/>
      <c r="J103" s="543"/>
      <c r="K103" s="543"/>
      <c r="L103" s="544"/>
      <c r="M103" s="545"/>
      <c r="N103" s="2752"/>
      <c r="O103" s="2752"/>
      <c r="P103" s="2742"/>
      <c r="Q103" s="2743"/>
      <c r="R103" s="2744"/>
      <c r="S103" s="2744"/>
      <c r="T103" s="2744"/>
      <c r="U103" s="2744"/>
      <c r="V103" s="2744"/>
      <c r="W103" s="2744"/>
      <c r="X103" s="2744"/>
      <c r="Y103" s="2744"/>
      <c r="Z103" s="2744"/>
      <c r="AA103" s="2744"/>
      <c r="AB103" s="2744"/>
      <c r="AC103" s="2744"/>
    </row>
    <row r="104" spans="1:29" s="420" customFormat="1" ht="15.75" thickBot="1">
      <c r="A104" s="500"/>
      <c r="B104" s="490"/>
      <c r="C104" s="507">
        <v>100</v>
      </c>
      <c r="D104" s="483">
        <v>98</v>
      </c>
      <c r="E104" s="483">
        <v>96</v>
      </c>
      <c r="F104" s="483">
        <v>94</v>
      </c>
      <c r="G104" s="483"/>
      <c r="H104" s="483"/>
      <c r="I104" s="483"/>
      <c r="J104" s="483"/>
      <c r="K104" s="483"/>
      <c r="L104" s="483"/>
      <c r="M104" s="484"/>
      <c r="N104" s="2751"/>
      <c r="O104" s="2751"/>
      <c r="P104" s="2742"/>
      <c r="Q104" s="2743"/>
      <c r="R104" s="2744"/>
      <c r="S104" s="2744"/>
      <c r="T104" s="2744"/>
      <c r="U104" s="2744"/>
      <c r="V104" s="2744"/>
      <c r="W104" s="2744"/>
      <c r="X104" s="2744"/>
      <c r="Y104" s="2744"/>
      <c r="Z104" s="2744"/>
      <c r="AA104" s="2744"/>
      <c r="AB104" s="2744"/>
      <c r="AC104" s="2744"/>
    </row>
    <row r="105" spans="1:29" ht="15" thickTop="1">
      <c r="A105" s="546"/>
      <c r="B105" s="485" t="s">
        <v>1738</v>
      </c>
      <c r="C105" s="501"/>
      <c r="D105" s="501"/>
      <c r="E105" s="530"/>
      <c r="F105" s="530"/>
      <c r="G105" s="530"/>
      <c r="H105" s="530"/>
      <c r="I105" s="530"/>
      <c r="J105" s="530"/>
      <c r="K105" s="531"/>
      <c r="L105" s="532"/>
      <c r="M105" s="533"/>
      <c r="N105" s="2750"/>
      <c r="O105" s="2750"/>
      <c r="P105" s="2741"/>
      <c r="Q105" s="2736"/>
      <c r="R105" s="2722"/>
      <c r="S105" s="2722"/>
      <c r="T105" s="2722"/>
      <c r="U105" s="2722"/>
      <c r="V105" s="2722"/>
      <c r="W105" s="2722"/>
      <c r="X105" s="2722"/>
      <c r="Y105" s="2722"/>
      <c r="Z105" s="2722"/>
      <c r="AA105" s="2722"/>
      <c r="AB105" s="2722"/>
      <c r="AC105" s="2722"/>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6"/>
      <c r="B107" s="485" t="s">
        <v>1740</v>
      </c>
      <c r="C107" s="501"/>
      <c r="D107" s="501"/>
      <c r="E107" s="501"/>
      <c r="F107" s="530"/>
      <c r="G107" s="530"/>
      <c r="H107" s="530"/>
      <c r="I107" s="530"/>
      <c r="J107" s="530"/>
      <c r="K107" s="531"/>
      <c r="L107" s="532"/>
      <c r="M107" s="533"/>
      <c r="N107" s="2750"/>
      <c r="O107" s="2750"/>
      <c r="P107" s="2741"/>
      <c r="Q107" s="2736"/>
      <c r="R107" s="2722"/>
      <c r="S107" s="2722"/>
      <c r="T107" s="2722"/>
      <c r="U107" s="2722"/>
      <c r="V107" s="2722"/>
      <c r="W107" s="2722"/>
      <c r="X107" s="2722"/>
      <c r="Y107" s="2722"/>
      <c r="Z107" s="2722"/>
      <c r="AA107" s="2722"/>
      <c r="AB107" s="2722"/>
      <c r="AC107" s="2722"/>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50"/>
      <c r="O109" s="2750"/>
      <c r="P109" s="2741"/>
      <c r="Q109" s="2736"/>
      <c r="R109" s="2722"/>
      <c r="S109" s="2722"/>
      <c r="T109" s="2722"/>
      <c r="U109" s="2722"/>
      <c r="V109" s="2722"/>
      <c r="W109" s="2722"/>
      <c r="X109" s="2722"/>
      <c r="Y109" s="2722"/>
      <c r="Z109" s="2722"/>
      <c r="AA109" s="2722"/>
      <c r="AB109" s="2722"/>
      <c r="AC109" s="2722"/>
    </row>
    <row r="110" spans="1:29">
      <c r="A110" s="546"/>
      <c r="B110" s="493"/>
      <c r="C110" s="550">
        <v>0.5</v>
      </c>
      <c r="D110" s="550">
        <v>0.6</v>
      </c>
      <c r="E110" s="550">
        <v>0.7</v>
      </c>
      <c r="F110" s="550">
        <v>0.8</v>
      </c>
      <c r="G110" s="550">
        <v>0.9</v>
      </c>
      <c r="H110" s="550">
        <v>1.0001</v>
      </c>
      <c r="I110" s="569"/>
      <c r="J110" s="569"/>
      <c r="K110" s="570"/>
      <c r="L110" s="571"/>
      <c r="M110" s="572"/>
      <c r="N110" s="2750"/>
      <c r="O110" s="2750"/>
      <c r="P110" s="2741"/>
      <c r="Q110" s="2736"/>
      <c r="R110" s="2722"/>
      <c r="S110" s="2722"/>
      <c r="T110" s="2722"/>
      <c r="U110" s="2722"/>
      <c r="V110" s="2722"/>
      <c r="W110" s="2722"/>
      <c r="X110" s="2722"/>
      <c r="Y110" s="2722"/>
      <c r="Z110" s="2722"/>
      <c r="AA110" s="2722"/>
      <c r="AB110" s="2722"/>
      <c r="AC110" s="2722"/>
    </row>
    <row r="111" spans="1:29" ht="15.75" thickBot="1">
      <c r="A111" s="481"/>
      <c r="B111" s="490"/>
      <c r="C111" s="529">
        <v>100</v>
      </c>
      <c r="D111" s="491">
        <f>C111+$K36</f>
        <v>101</v>
      </c>
      <c r="E111" s="491">
        <f t="shared" ref="E111:M111" si="26">D111+$K36</f>
        <v>102</v>
      </c>
      <c r="F111" s="491">
        <f t="shared" si="26"/>
        <v>103</v>
      </c>
      <c r="G111" s="491">
        <f t="shared" si="26"/>
        <v>104</v>
      </c>
      <c r="H111" s="491">
        <f t="shared" si="26"/>
        <v>105</v>
      </c>
      <c r="I111" s="491">
        <f t="shared" si="26"/>
        <v>106</v>
      </c>
      <c r="J111" s="491">
        <f t="shared" si="26"/>
        <v>107</v>
      </c>
      <c r="K111" s="491">
        <f t="shared" si="26"/>
        <v>108</v>
      </c>
      <c r="L111" s="491">
        <f t="shared" si="26"/>
        <v>109</v>
      </c>
      <c r="M111" s="491">
        <f t="shared" si="26"/>
        <v>110</v>
      </c>
      <c r="N111" s="2751"/>
      <c r="O111" s="2751"/>
      <c r="P111" s="2741"/>
      <c r="Q111" s="2736"/>
      <c r="R111" s="2722"/>
      <c r="S111" s="2722"/>
      <c r="T111" s="2722"/>
      <c r="U111" s="2722"/>
      <c r="V111" s="2722"/>
      <c r="W111" s="2722"/>
      <c r="X111" s="2722"/>
      <c r="Y111" s="2722"/>
      <c r="Z111" s="2722"/>
      <c r="AA111" s="2722"/>
      <c r="AB111" s="2722"/>
      <c r="AC111" s="2722"/>
    </row>
    <row r="112" spans="1:29" s="420" customFormat="1" ht="15" thickTop="1">
      <c r="A112" s="540"/>
      <c r="B112" s="485" t="s">
        <v>1742</v>
      </c>
      <c r="C112" s="501"/>
      <c r="D112" s="501"/>
      <c r="E112" s="501"/>
      <c r="F112" s="501"/>
      <c r="G112" s="501"/>
      <c r="H112" s="530"/>
      <c r="I112" s="530"/>
      <c r="J112" s="530"/>
      <c r="K112" s="531"/>
      <c r="L112" s="532"/>
      <c r="M112" s="533"/>
      <c r="N112" s="2752"/>
      <c r="O112" s="2752"/>
      <c r="P112" s="2742"/>
      <c r="Q112" s="2743"/>
      <c r="R112" s="2744"/>
      <c r="S112" s="2744"/>
      <c r="T112" s="2744"/>
      <c r="U112" s="2744"/>
      <c r="V112" s="2744"/>
      <c r="W112" s="2744"/>
      <c r="X112" s="2744"/>
      <c r="Y112" s="2744"/>
      <c r="Z112" s="2744"/>
      <c r="AA112" s="2744"/>
      <c r="AB112" s="2744"/>
      <c r="AC112" s="2744"/>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6"/>
      <c r="B114" s="485" t="s">
        <v>1806</v>
      </c>
      <c r="C114" s="501"/>
      <c r="D114" s="501"/>
      <c r="E114" s="530"/>
      <c r="F114" s="530"/>
      <c r="G114" s="530"/>
      <c r="H114" s="530"/>
      <c r="I114" s="530"/>
      <c r="J114" s="530"/>
      <c r="K114" s="531"/>
      <c r="L114" s="532"/>
      <c r="M114" s="533"/>
      <c r="N114" s="2750"/>
      <c r="O114" s="2750"/>
      <c r="P114" s="2741"/>
      <c r="Q114" s="2736"/>
      <c r="R114" s="2722"/>
      <c r="S114" s="2722"/>
      <c r="T114" s="2722"/>
      <c r="U114" s="2722"/>
      <c r="V114" s="2722"/>
      <c r="W114" s="2722"/>
      <c r="X114" s="2722"/>
      <c r="Y114" s="2722"/>
      <c r="Z114" s="2722"/>
      <c r="AA114" s="2722"/>
      <c r="AB114" s="2722"/>
      <c r="AC114" s="2722"/>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6"/>
      <c r="B116" s="485" t="s">
        <v>1807</v>
      </c>
      <c r="C116" s="501"/>
      <c r="D116" s="501"/>
      <c r="E116" s="501"/>
      <c r="F116" s="501"/>
      <c r="G116" s="501"/>
      <c r="H116" s="530"/>
      <c r="I116" s="530"/>
      <c r="J116" s="530"/>
      <c r="K116" s="531"/>
      <c r="L116" s="532"/>
      <c r="M116" s="533"/>
      <c r="N116" s="2750"/>
      <c r="O116" s="2750"/>
      <c r="P116" s="2741"/>
      <c r="Q116" s="2736"/>
      <c r="R116" s="2722"/>
      <c r="S116" s="2722"/>
      <c r="T116" s="2722"/>
      <c r="U116" s="2722"/>
      <c r="V116" s="2722"/>
      <c r="W116" s="2722"/>
      <c r="X116" s="2722"/>
      <c r="Y116" s="2722"/>
      <c r="Z116" s="2722"/>
      <c r="AA116" s="2722"/>
      <c r="AB116" s="2722"/>
      <c r="AC116" s="2722"/>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1"/>
      <c r="O117" s="2751"/>
      <c r="P117" s="2741"/>
      <c r="Q117" s="2736"/>
      <c r="R117" s="2722"/>
      <c r="S117" s="2722"/>
      <c r="T117" s="2722"/>
      <c r="U117" s="2722"/>
      <c r="V117" s="2722"/>
      <c r="W117" s="2722"/>
      <c r="X117" s="2722"/>
      <c r="Y117" s="2722"/>
      <c r="Z117" s="2722"/>
      <c r="AA117" s="2722"/>
      <c r="AB117" s="2722"/>
      <c r="AC117" s="2722"/>
    </row>
    <row r="118" spans="1:29" ht="15" thickTop="1">
      <c r="A118" s="546"/>
      <c r="B118" s="485" t="s">
        <v>1808</v>
      </c>
      <c r="C118" s="573"/>
      <c r="D118" s="573"/>
      <c r="E118" s="573"/>
      <c r="F118" s="573"/>
      <c r="G118" s="573"/>
      <c r="H118" s="502"/>
      <c r="I118" s="502"/>
      <c r="J118" s="502"/>
      <c r="K118" s="502"/>
      <c r="L118" s="503"/>
      <c r="M118" s="504"/>
      <c r="N118" s="2750"/>
      <c r="O118" s="2750"/>
      <c r="P118" s="2741"/>
      <c r="Q118" s="2736"/>
      <c r="R118" s="2722"/>
      <c r="S118" s="2722"/>
      <c r="T118" s="2722"/>
      <c r="U118" s="2722"/>
      <c r="V118" s="2722"/>
      <c r="W118" s="2722"/>
      <c r="X118" s="2722"/>
      <c r="Y118" s="2722"/>
      <c r="Z118" s="2722"/>
      <c r="AA118" s="2722"/>
      <c r="AB118" s="2722"/>
      <c r="AC118" s="2722"/>
    </row>
    <row r="119" spans="1:29" ht="15.75" thickBot="1">
      <c r="A119" s="481"/>
      <c r="B119" s="490"/>
      <c r="C119" s="507"/>
      <c r="D119" s="483"/>
      <c r="E119" s="483"/>
      <c r="F119" s="483"/>
      <c r="G119" s="483"/>
      <c r="H119" s="483"/>
      <c r="I119" s="483"/>
      <c r="J119" s="483"/>
      <c r="K119" s="483"/>
      <c r="L119" s="483"/>
      <c r="M119" s="484"/>
      <c r="N119" s="2751"/>
      <c r="O119" s="2751"/>
      <c r="P119" s="2741"/>
      <c r="Q119" s="2736"/>
      <c r="R119" s="2722"/>
      <c r="S119" s="2722"/>
      <c r="T119" s="2722"/>
      <c r="U119" s="2722"/>
      <c r="V119" s="2722"/>
      <c r="W119" s="2722"/>
      <c r="X119" s="2722"/>
      <c r="Y119" s="2722"/>
      <c r="Z119" s="2722"/>
      <c r="AA119" s="2722"/>
      <c r="AB119" s="2722"/>
      <c r="AC119" s="2722"/>
    </row>
    <row r="120" spans="1:29" s="420" customFormat="1" ht="15" thickTop="1">
      <c r="A120" s="540"/>
      <c r="B120" s="485" t="s">
        <v>1809</v>
      </c>
      <c r="C120" s="530"/>
      <c r="D120" s="530"/>
      <c r="E120" s="530"/>
      <c r="F120" s="530"/>
      <c r="G120" s="502"/>
      <c r="H120" s="502"/>
      <c r="I120" s="502"/>
      <c r="J120" s="502"/>
      <c r="K120" s="502"/>
      <c r="L120" s="503"/>
      <c r="M120" s="504"/>
      <c r="N120" s="2752"/>
      <c r="O120" s="2752"/>
      <c r="P120" s="2742"/>
      <c r="Q120" s="2743"/>
      <c r="R120" s="2744"/>
      <c r="S120" s="2744"/>
      <c r="T120" s="2744"/>
      <c r="U120" s="2744"/>
      <c r="V120" s="2744"/>
      <c r="W120" s="2744"/>
      <c r="X120" s="2744"/>
      <c r="Y120" s="2744"/>
      <c r="Z120" s="2744"/>
      <c r="AA120" s="2744"/>
      <c r="AB120" s="2744"/>
      <c r="AC120" s="2744"/>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6"/>
      <c r="B122" s="485" t="s">
        <v>1744</v>
      </c>
      <c r="C122" s="501"/>
      <c r="D122" s="501"/>
      <c r="E122" s="501"/>
      <c r="F122" s="530"/>
      <c r="G122" s="530"/>
      <c r="H122" s="530"/>
      <c r="I122" s="530"/>
      <c r="J122" s="530"/>
      <c r="K122" s="531"/>
      <c r="L122" s="532"/>
      <c r="M122" s="533"/>
      <c r="N122" s="2750"/>
      <c r="O122" s="2750"/>
      <c r="P122" s="2741"/>
      <c r="Q122" s="2736"/>
      <c r="R122" s="2722"/>
      <c r="S122" s="2722"/>
      <c r="T122" s="2722"/>
      <c r="U122" s="2722"/>
      <c r="V122" s="2722"/>
      <c r="W122" s="2722"/>
      <c r="X122" s="2722"/>
      <c r="Y122" s="2722"/>
      <c r="Z122" s="2722"/>
      <c r="AA122" s="2722"/>
      <c r="AB122" s="2722"/>
      <c r="AC122" s="2722"/>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50"/>
      <c r="O124" s="2750"/>
      <c r="P124" s="2742"/>
      <c r="Q124" s="2736"/>
      <c r="R124" s="2722"/>
      <c r="S124" s="2722"/>
      <c r="T124" s="2722"/>
      <c r="U124" s="2722"/>
      <c r="V124" s="2722"/>
      <c r="W124" s="2722"/>
      <c r="X124" s="2722"/>
      <c r="Y124" s="2722"/>
      <c r="Z124" s="2722"/>
      <c r="AA124" s="2722"/>
      <c r="AB124" s="2722"/>
      <c r="AC124" s="2722"/>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1"/>
      <c r="O125" s="2751"/>
      <c r="P125" s="2741"/>
      <c r="Q125" s="2736"/>
      <c r="R125" s="2722"/>
      <c r="S125" s="2722"/>
      <c r="T125" s="2722"/>
      <c r="U125" s="2722"/>
      <c r="V125" s="2722"/>
      <c r="W125" s="2722"/>
      <c r="X125" s="2722"/>
      <c r="Y125" s="2722"/>
      <c r="Z125" s="2722"/>
      <c r="AA125" s="2722"/>
      <c r="AB125" s="2722"/>
      <c r="AC125" s="2722"/>
    </row>
    <row r="126" spans="1:29" s="420" customFormat="1" ht="15" thickTop="1">
      <c r="A126" s="540"/>
      <c r="B126" s="485">
        <f>B44</f>
        <v>111</v>
      </c>
      <c r="C126" s="501"/>
      <c r="D126" s="501"/>
      <c r="E126" s="501"/>
      <c r="F126" s="501"/>
      <c r="G126" s="501"/>
      <c r="H126" s="502"/>
      <c r="I126" s="502"/>
      <c r="J126" s="502"/>
      <c r="K126" s="502"/>
      <c r="L126" s="503"/>
      <c r="M126" s="504"/>
      <c r="N126" s="2752"/>
      <c r="O126" s="2752"/>
      <c r="P126" s="2742"/>
      <c r="Q126" s="2743"/>
      <c r="R126" s="2744"/>
      <c r="S126" s="2744"/>
      <c r="T126" s="2744"/>
      <c r="U126" s="2744"/>
      <c r="V126" s="2744"/>
      <c r="W126" s="2744"/>
      <c r="X126" s="2744"/>
      <c r="Y126" s="2744"/>
      <c r="Z126" s="2744"/>
      <c r="AA126" s="2744"/>
      <c r="AB126" s="2744"/>
      <c r="AC126" s="2744"/>
    </row>
    <row r="127" spans="1:29" s="420" customFormat="1" ht="15.75" thickBot="1">
      <c r="A127" s="500"/>
      <c r="B127" s="490"/>
      <c r="C127" s="507"/>
      <c r="D127" s="483"/>
      <c r="E127" s="483"/>
      <c r="F127" s="483"/>
      <c r="G127" s="507"/>
      <c r="H127" s="509"/>
      <c r="I127" s="509"/>
      <c r="J127" s="509"/>
      <c r="K127" s="509"/>
      <c r="L127" s="509"/>
      <c r="M127" s="510"/>
      <c r="N127" s="2752"/>
      <c r="O127" s="2752"/>
      <c r="P127" s="2742"/>
      <c r="Q127" s="2743"/>
      <c r="R127" s="2744"/>
      <c r="S127" s="2744"/>
      <c r="T127" s="2744"/>
      <c r="U127" s="2744"/>
      <c r="V127" s="2744"/>
      <c r="W127" s="2744"/>
      <c r="X127" s="2744"/>
      <c r="Y127" s="2744"/>
      <c r="Z127" s="2744"/>
      <c r="AA127" s="2744"/>
      <c r="AB127" s="2744"/>
      <c r="AC127" s="2744"/>
    </row>
    <row r="128" spans="1:29" ht="15" thickTop="1">
      <c r="A128" s="546"/>
      <c r="B128" s="485">
        <f>B45</f>
        <v>111</v>
      </c>
      <c r="C128" s="501"/>
      <c r="D128" s="501"/>
      <c r="E128" s="501"/>
      <c r="F128" s="501"/>
      <c r="G128" s="530"/>
      <c r="H128" s="530"/>
      <c r="I128" s="530"/>
      <c r="J128" s="530"/>
      <c r="K128" s="531"/>
      <c r="L128" s="532"/>
      <c r="M128" s="533"/>
      <c r="N128" s="2750"/>
      <c r="O128" s="2750"/>
      <c r="P128" s="2741"/>
      <c r="Q128" s="2736"/>
      <c r="R128" s="2722"/>
      <c r="S128" s="2722"/>
      <c r="T128" s="2722"/>
      <c r="U128" s="2722"/>
      <c r="V128" s="2722"/>
      <c r="W128" s="2722"/>
      <c r="X128" s="2722"/>
      <c r="Y128" s="2722"/>
      <c r="Z128" s="2722"/>
      <c r="AA128" s="2722"/>
      <c r="AB128" s="2722"/>
      <c r="AC128" s="2722"/>
    </row>
    <row r="129" spans="1:29" ht="15.75" thickBot="1">
      <c r="A129" s="481"/>
      <c r="B129" s="490"/>
      <c r="C129" s="507"/>
      <c r="D129" s="483"/>
      <c r="E129" s="483"/>
      <c r="F129" s="483"/>
      <c r="G129" s="483"/>
      <c r="H129" s="483"/>
      <c r="I129" s="483"/>
      <c r="J129" s="483"/>
      <c r="K129" s="483"/>
      <c r="L129" s="483"/>
      <c r="M129" s="484"/>
      <c r="N129" s="2751"/>
      <c r="O129" s="2751"/>
      <c r="P129" s="2741"/>
      <c r="Q129" s="2736"/>
      <c r="R129" s="2722"/>
      <c r="S129" s="2722"/>
      <c r="T129" s="2722"/>
      <c r="U129" s="2722"/>
      <c r="V129" s="2722"/>
      <c r="W129" s="2722"/>
      <c r="X129" s="2722"/>
      <c r="Y129" s="2722"/>
      <c r="Z129" s="2722"/>
      <c r="AA129" s="2722"/>
      <c r="AB129" s="2722"/>
      <c r="AC129" s="2722"/>
    </row>
    <row r="130" spans="1:29" ht="15" thickTop="1">
      <c r="A130" s="546"/>
      <c r="B130" s="493">
        <f>B46</f>
        <v>111</v>
      </c>
      <c r="C130" s="501"/>
      <c r="D130" s="501"/>
      <c r="E130" s="501"/>
      <c r="F130" s="501"/>
      <c r="G130" s="534"/>
      <c r="H130" s="534"/>
      <c r="I130" s="534"/>
      <c r="J130" s="534"/>
      <c r="K130" s="470"/>
      <c r="L130" s="471"/>
      <c r="M130" s="537"/>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6"/>
      <c r="C131" s="517"/>
      <c r="D131" s="517"/>
      <c r="E131" s="517"/>
      <c r="F131" s="517"/>
      <c r="G131" s="538"/>
      <c r="H131" s="538"/>
      <c r="I131" s="538"/>
      <c r="J131" s="538"/>
      <c r="K131" s="538"/>
      <c r="L131" s="538"/>
      <c r="M131" s="539"/>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zoomScaleSheetLayoutView="70" workbookViewId="0">
      <selection activeCell="I20" sqref="I20"/>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7" style="355" customWidth="1"/>
    <col min="6" max="6" width="12.25" style="355" customWidth="1"/>
    <col min="7" max="7" width="16" style="355" customWidth="1"/>
    <col min="8" max="8" width="12.25" style="355" customWidth="1"/>
    <col min="9" max="9" width="16"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3" width="11.62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t="s">
        <v>21</v>
      </c>
      <c r="E1" s="3431" t="s">
        <v>3570</v>
      </c>
      <c r="F1" s="1876" t="s">
        <v>3398</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f>IF(E1="项目模式",IF(C2="——",ROUND(C50*D3/10000,0),ROUND(C50*D3/10000,0)-D2),IF(E1="单套模式",IF(C2="——",ROUND(C50*D3/10000,4),ROUND(C50*D3/10000,4)-D2)))</f>
        <v>48530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49643</v>
      </c>
      <c r="C3" s="352" t="s">
        <v>1768</v>
      </c>
      <c r="D3" s="3475">
        <f>'数据-汇总表'!F19</f>
        <v>9775.8700000000008</v>
      </c>
      <c r="E3" s="1951"/>
      <c r="F3" s="906">
        <f>ROUND(B2/'数据-汇总表'!E19*10000,0)</f>
        <v>40441</v>
      </c>
      <c r="G3" s="905"/>
      <c r="H3" s="905"/>
      <c r="I3" s="905"/>
      <c r="J3" s="905"/>
      <c r="K3" s="907"/>
      <c r="L3" s="2731"/>
      <c r="M3" s="2732"/>
      <c r="N3" s="2732"/>
      <c r="O3" s="2732"/>
      <c r="P3" s="696"/>
      <c r="Q3" s="696"/>
      <c r="R3" s="696"/>
      <c r="S3" s="696"/>
      <c r="T3" s="696"/>
      <c r="U3" s="696"/>
      <c r="V3" s="696"/>
      <c r="W3" s="696"/>
      <c r="X3" s="696"/>
      <c r="Y3" s="696"/>
      <c r="Z3" s="696"/>
      <c r="AA3" s="696"/>
      <c r="AB3" s="696"/>
      <c r="AC3" s="697"/>
    </row>
    <row r="4" spans="1:29" ht="15">
      <c r="A4" s="353" t="s">
        <v>1769</v>
      </c>
      <c r="B4" s="354"/>
      <c r="C4" s="3886" t="s">
        <v>1770</v>
      </c>
      <c r="D4" s="3887"/>
      <c r="E4" s="3888" t="s">
        <v>1771</v>
      </c>
      <c r="F4" s="3889"/>
      <c r="G4" s="3886" t="s">
        <v>1772</v>
      </c>
      <c r="H4" s="3887"/>
      <c r="I4" s="3886" t="s">
        <v>1773</v>
      </c>
      <c r="J4" s="3887"/>
      <c r="K4" s="557" t="s">
        <v>1774</v>
      </c>
      <c r="L4" s="2712"/>
      <c r="M4" s="2713"/>
      <c r="N4" s="2713"/>
      <c r="O4" s="2713"/>
      <c r="P4" s="3922" t="s">
        <v>1775</v>
      </c>
      <c r="Q4" s="3923"/>
      <c r="R4" s="3926" t="s">
        <v>1771</v>
      </c>
      <c r="S4" s="3927"/>
      <c r="T4" s="3926" t="s">
        <v>1772</v>
      </c>
      <c r="U4" s="3927"/>
      <c r="V4" s="3928" t="s">
        <v>1773</v>
      </c>
      <c r="W4" s="3928"/>
      <c r="X4" s="1955"/>
      <c r="Y4" s="3926" t="s">
        <v>1775</v>
      </c>
      <c r="Z4" s="3927"/>
      <c r="AA4" s="3930" t="s">
        <v>1771</v>
      </c>
      <c r="AB4" s="3930" t="s">
        <v>1772</v>
      </c>
      <c r="AC4" s="3919" t="s">
        <v>1773</v>
      </c>
    </row>
    <row r="5" spans="1:29" ht="15">
      <c r="A5" s="356"/>
      <c r="B5" s="357"/>
      <c r="C5" s="3915" t="s">
        <v>3571</v>
      </c>
      <c r="D5" s="3906"/>
      <c r="E5" s="3915" t="str">
        <f>大宗!E31</f>
        <v>博瑞大厦</v>
      </c>
      <c r="F5" s="3906"/>
      <c r="G5" s="3915" t="str">
        <f>大宗!E30</f>
        <v>德胜国际中心BE座</v>
      </c>
      <c r="H5" s="3906"/>
      <c r="I5" s="3915" t="str">
        <f>大宗!E19</f>
        <v>北京来福士中心</v>
      </c>
      <c r="J5" s="3906"/>
      <c r="K5" s="557"/>
      <c r="L5" s="2712"/>
      <c r="M5" s="2713"/>
      <c r="N5" s="2713"/>
      <c r="O5" s="2713"/>
      <c r="P5" s="3924"/>
      <c r="Q5" s="3893"/>
      <c r="R5" s="3898"/>
      <c r="S5" s="3899"/>
      <c r="T5" s="3898"/>
      <c r="U5" s="3899"/>
      <c r="V5" s="3902"/>
      <c r="W5" s="3902"/>
      <c r="X5" s="1352"/>
      <c r="Y5" s="3898"/>
      <c r="Z5" s="3899"/>
      <c r="AA5" s="3884"/>
      <c r="AB5" s="3884"/>
      <c r="AC5" s="3920"/>
    </row>
    <row r="6" spans="1:29" ht="15.75" thickBot="1">
      <c r="A6" s="358"/>
      <c r="B6" s="359"/>
      <c r="C6" s="3903" t="s">
        <v>1677</v>
      </c>
      <c r="D6" s="3904"/>
      <c r="E6" s="3910" t="s">
        <v>1677</v>
      </c>
      <c r="F6" s="3911"/>
      <c r="G6" s="3903" t="s">
        <v>1677</v>
      </c>
      <c r="H6" s="3904"/>
      <c r="I6" s="3903" t="s">
        <v>1677</v>
      </c>
      <c r="J6" s="3904"/>
      <c r="K6" s="557" t="s">
        <v>1678</v>
      </c>
      <c r="L6" s="2712"/>
      <c r="M6" s="2713"/>
      <c r="N6" s="2713"/>
      <c r="O6" s="2713"/>
      <c r="P6" s="3925"/>
      <c r="Q6" s="3895"/>
      <c r="R6" s="3898"/>
      <c r="S6" s="3899"/>
      <c r="T6" s="3900"/>
      <c r="U6" s="3901"/>
      <c r="V6" s="3902"/>
      <c r="W6" s="3902"/>
      <c r="X6" s="1352"/>
      <c r="Y6" s="3900"/>
      <c r="Z6" s="3901"/>
      <c r="AA6" s="3885"/>
      <c r="AB6" s="3885"/>
      <c r="AC6" s="3921"/>
    </row>
    <row r="7" spans="1:29" s="107" customFormat="1" ht="15.75" thickBot="1">
      <c r="A7" s="360" t="s">
        <v>1679</v>
      </c>
      <c r="B7" s="361"/>
      <c r="C7" s="362">
        <f>'数据-取费表'!B2</f>
        <v>44937</v>
      </c>
      <c r="D7" s="363">
        <v>100</v>
      </c>
      <c r="E7" s="364">
        <f>大宗!C31</f>
        <v>44835</v>
      </c>
      <c r="F7" s="365">
        <f>SUMIF(59:59,YEAR(E7)&amp;"-"&amp;MONTH(E7),60:60)</f>
        <v>99</v>
      </c>
      <c r="G7" s="364" t="str">
        <f>大宗!C30</f>
        <v>2021年9月</v>
      </c>
      <c r="H7" s="363">
        <f>SUMIF(59:59,YEAR(G7)&amp;"-"&amp;MONTH(G7),60:60)</f>
        <v>98</v>
      </c>
      <c r="I7" s="364" t="str">
        <f>大宗!C19</f>
        <v>2021年6月</v>
      </c>
      <c r="J7" s="363">
        <f>SUMIF(59:59,YEAR(I7)&amp;"-"&amp;MONTH(I7),60:60)</f>
        <v>98</v>
      </c>
      <c r="K7" s="558"/>
      <c r="L7" s="2714"/>
      <c r="M7" s="2715"/>
      <c r="N7" s="2715"/>
      <c r="O7" s="2715"/>
      <c r="P7" s="3929" t="s">
        <v>1680</v>
      </c>
      <c r="Q7" s="3909"/>
      <c r="R7" s="698" t="s">
        <v>14</v>
      </c>
      <c r="S7" s="699">
        <f t="shared" ref="S7:S15" si="0">F7</f>
        <v>99</v>
      </c>
      <c r="T7" s="698" t="s">
        <v>14</v>
      </c>
      <c r="U7" s="699">
        <f t="shared" ref="U7:U15" si="1">H7</f>
        <v>98</v>
      </c>
      <c r="V7" s="698" t="s">
        <v>14</v>
      </c>
      <c r="W7" s="699">
        <f t="shared" ref="W7:W15" si="2">J7</f>
        <v>98</v>
      </c>
      <c r="X7" s="700"/>
      <c r="Y7" s="3907" t="s">
        <v>1680</v>
      </c>
      <c r="Z7" s="3908"/>
      <c r="AA7" s="701">
        <f>D7/F7</f>
        <v>1.0101010101010102</v>
      </c>
      <c r="AB7" s="701">
        <f>D7/H7</f>
        <v>1.0204081632653061</v>
      </c>
      <c r="AC7" s="1956">
        <f>D7/J7</f>
        <v>1.0204081632653061</v>
      </c>
    </row>
    <row r="8" spans="1:29" s="107" customFormat="1" ht="15.75" thickBot="1">
      <c r="A8" s="360" t="s">
        <v>1681</v>
      </c>
      <c r="B8" s="361"/>
      <c r="C8" s="366" t="s">
        <v>3400</v>
      </c>
      <c r="D8" s="363">
        <v>100</v>
      </c>
      <c r="E8" s="3650" t="s">
        <v>3730</v>
      </c>
      <c r="F8" s="365">
        <f>SUMIF(62:62,E8,63:63)-SUMIF(62:62,C8,63:63)+100</f>
        <v>80</v>
      </c>
      <c r="G8" s="366" t="s">
        <v>3400</v>
      </c>
      <c r="H8" s="363">
        <f>SUMIF(62:62,G8,63:63)-SUMIF(62:62,C8,63:63)+100</f>
        <v>100</v>
      </c>
      <c r="I8" s="366" t="s">
        <v>3400</v>
      </c>
      <c r="J8" s="363">
        <f>SUMIF(62:62,I8,63:63)-SUMIF(62:62,C8,63:63)+100</f>
        <v>100</v>
      </c>
      <c r="K8" s="558"/>
      <c r="L8" s="2714"/>
      <c r="M8" s="2715"/>
      <c r="N8" s="2715"/>
      <c r="O8" s="2715"/>
      <c r="P8" s="3929" t="s">
        <v>1683</v>
      </c>
      <c r="Q8" s="3908"/>
      <c r="R8" s="698" t="s">
        <v>14</v>
      </c>
      <c r="S8" s="699">
        <f t="shared" si="0"/>
        <v>80</v>
      </c>
      <c r="T8" s="698" t="s">
        <v>14</v>
      </c>
      <c r="U8" s="699">
        <f t="shared" si="1"/>
        <v>100</v>
      </c>
      <c r="V8" s="698" t="s">
        <v>14</v>
      </c>
      <c r="W8" s="699">
        <f t="shared" si="2"/>
        <v>100</v>
      </c>
      <c r="X8" s="700"/>
      <c r="Y8" s="3907" t="s">
        <v>1683</v>
      </c>
      <c r="Z8" s="3908"/>
      <c r="AA8" s="701">
        <f t="shared" ref="AA8:AA47" si="3">D8/F8</f>
        <v>1.25</v>
      </c>
      <c r="AB8" s="701">
        <f t="shared" ref="AB8:AB47" si="4">D8/H8</f>
        <v>1</v>
      </c>
      <c r="AC8" s="1956">
        <f t="shared" ref="AC8:AC47" si="5">D8/J8</f>
        <v>1</v>
      </c>
    </row>
    <row r="9" spans="1:29" s="107" customFormat="1">
      <c r="A9" s="367" t="s">
        <v>1684</v>
      </c>
      <c r="B9" s="63" t="s">
        <v>1685</v>
      </c>
      <c r="C9" s="3447" t="s">
        <v>3588</v>
      </c>
      <c r="D9" s="124">
        <v>100</v>
      </c>
      <c r="E9" s="371" t="s">
        <v>21</v>
      </c>
      <c r="F9" s="124">
        <f>SUMIF(64:64,E9,65:65)-SUMIF(64:64,C9,65:65)+100</f>
        <v>100</v>
      </c>
      <c r="G9" s="369" t="s">
        <v>21</v>
      </c>
      <c r="H9" s="124">
        <f>SUMIF(64:64,G9,65:65)-SUMIF(64:64,C9,65:65)+100</f>
        <v>100</v>
      </c>
      <c r="I9" s="369" t="s">
        <v>21</v>
      </c>
      <c r="J9" s="124">
        <f>SUMIF(64:64,I9,65:65)-SUMIF(64:64,C9,65:65)+100</f>
        <v>100</v>
      </c>
      <c r="K9" s="558"/>
      <c r="L9" s="2714"/>
      <c r="M9" s="2715"/>
      <c r="N9" s="2715"/>
      <c r="O9" s="2715"/>
      <c r="P9" s="3882" t="s">
        <v>1686</v>
      </c>
      <c r="Q9" s="1340" t="str">
        <f t="shared" ref="Q9:Q15" si="6">B9</f>
        <v>用途</v>
      </c>
      <c r="R9" s="698" t="s">
        <v>14</v>
      </c>
      <c r="S9" s="699">
        <f t="shared" si="0"/>
        <v>100</v>
      </c>
      <c r="T9" s="698" t="s">
        <v>14</v>
      </c>
      <c r="U9" s="699">
        <f t="shared" si="1"/>
        <v>100</v>
      </c>
      <c r="V9" s="698" t="s">
        <v>14</v>
      </c>
      <c r="W9" s="699">
        <f t="shared" si="2"/>
        <v>100</v>
      </c>
      <c r="X9" s="700"/>
      <c r="Y9" s="3746" t="s">
        <v>1687</v>
      </c>
      <c r="Z9" s="52" t="str">
        <f t="shared" ref="Z9:Z15" si="7">Q9</f>
        <v>用途</v>
      </c>
      <c r="AA9" s="701">
        <f t="shared" si="3"/>
        <v>1</v>
      </c>
      <c r="AB9" s="701">
        <f t="shared" si="4"/>
        <v>1</v>
      </c>
      <c r="AC9" s="1956">
        <f t="shared" si="5"/>
        <v>1</v>
      </c>
    </row>
    <row r="10" spans="1:29" s="376" customFormat="1" ht="27">
      <c r="A10" s="372"/>
      <c r="B10" s="373" t="s">
        <v>1688</v>
      </c>
      <c r="C10" s="3651" t="s">
        <v>3754</v>
      </c>
      <c r="D10" s="125">
        <v>100</v>
      </c>
      <c r="E10" s="3652" t="s">
        <v>3753</v>
      </c>
      <c r="F10" s="125">
        <f>SUMIF(66:66,E10,67:67)-SUMIF(66:66,C10,67:67)+100</f>
        <v>110</v>
      </c>
      <c r="G10" s="3652" t="s">
        <v>3753</v>
      </c>
      <c r="H10" s="125">
        <f>SUMIF(66:66,G10,67:67)-SUMIF(66:66,C10,67:67)+100</f>
        <v>110</v>
      </c>
      <c r="I10" s="3652" t="s">
        <v>3755</v>
      </c>
      <c r="J10" s="125">
        <f>SUMIF(66:66,I10,67:67)-SUMIF(66:66,C10,67:67)+100</f>
        <v>115</v>
      </c>
      <c r="K10" s="558"/>
      <c r="L10" s="2716"/>
      <c r="M10" s="2717"/>
      <c r="N10" s="2717"/>
      <c r="O10" s="2717"/>
      <c r="P10" s="3882"/>
      <c r="Q10" s="1340" t="str">
        <f t="shared" si="6"/>
        <v>土地使用年限（年）</v>
      </c>
      <c r="R10" s="698" t="s">
        <v>14</v>
      </c>
      <c r="S10" s="699">
        <f t="shared" si="0"/>
        <v>110</v>
      </c>
      <c r="T10" s="698" t="s">
        <v>14</v>
      </c>
      <c r="U10" s="699">
        <f t="shared" si="1"/>
        <v>110</v>
      </c>
      <c r="V10" s="698" t="s">
        <v>14</v>
      </c>
      <c r="W10" s="699">
        <f t="shared" si="2"/>
        <v>115</v>
      </c>
      <c r="X10" s="700"/>
      <c r="Y10" s="3746"/>
      <c r="Z10" s="52" t="str">
        <f t="shared" si="7"/>
        <v>土地使用年限（年）</v>
      </c>
      <c r="AA10" s="701">
        <f t="shared" si="3"/>
        <v>0.90909090909090906</v>
      </c>
      <c r="AB10" s="701">
        <f t="shared" si="4"/>
        <v>0.90909090909090906</v>
      </c>
      <c r="AC10" s="1956">
        <f t="shared" si="5"/>
        <v>0.86956521739130432</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8"/>
      <c r="M11" s="2713"/>
      <c r="N11" s="2713"/>
      <c r="O11" s="2713"/>
      <c r="P11" s="3882"/>
      <c r="Q11" s="1340" t="str">
        <f t="shared" si="6"/>
        <v>容积率</v>
      </c>
      <c r="R11" s="698" t="s">
        <v>14</v>
      </c>
      <c r="S11" s="699">
        <f t="shared" si="0"/>
        <v>100</v>
      </c>
      <c r="T11" s="698" t="s">
        <v>14</v>
      </c>
      <c r="U11" s="699">
        <f t="shared" si="1"/>
        <v>100</v>
      </c>
      <c r="V11" s="698" t="s">
        <v>14</v>
      </c>
      <c r="W11" s="699">
        <f t="shared" si="2"/>
        <v>100</v>
      </c>
      <c r="X11" s="700"/>
      <c r="Y11" s="3746"/>
      <c r="Z11" s="52" t="str">
        <f t="shared" si="7"/>
        <v>容积率</v>
      </c>
      <c r="AA11" s="701">
        <f t="shared" si="3"/>
        <v>1</v>
      </c>
      <c r="AB11" s="701">
        <f t="shared" si="4"/>
        <v>1</v>
      </c>
      <c r="AC11" s="1956">
        <f t="shared" si="5"/>
        <v>1</v>
      </c>
    </row>
    <row r="12" spans="1:29" s="107" customFormat="1" ht="27">
      <c r="A12" s="380"/>
      <c r="B12" s="3649" t="s">
        <v>3757</v>
      </c>
      <c r="C12" s="3643" t="s">
        <v>3746</v>
      </c>
      <c r="D12" s="382">
        <v>100</v>
      </c>
      <c r="E12" s="3643" t="s">
        <v>3747</v>
      </c>
      <c r="F12" s="125">
        <f>SUMIF(71:71,E12,72:72)-SUMIF(71:71,C12,72:72)+100</f>
        <v>105</v>
      </c>
      <c r="G12" s="3643" t="s">
        <v>3747</v>
      </c>
      <c r="H12" s="125">
        <f>SUMIF(71:71,G12,72:72)-SUMIF(71:71,C12,72:72)+100</f>
        <v>105</v>
      </c>
      <c r="I12" s="3643" t="s">
        <v>3747</v>
      </c>
      <c r="J12" s="125">
        <f>SUMIF(71:71,I12,72:72)-SUMIF(71:71,C12,72:72)+100</f>
        <v>105</v>
      </c>
      <c r="K12" s="560"/>
      <c r="L12" s="2714"/>
      <c r="M12" s="2715"/>
      <c r="N12" s="2715"/>
      <c r="O12" s="2715"/>
      <c r="P12" s="3882"/>
      <c r="Q12" s="1340" t="str">
        <f t="shared" si="6"/>
        <v>项目/楼宇产权单一性</v>
      </c>
      <c r="R12" s="698" t="s">
        <v>14</v>
      </c>
      <c r="S12" s="699">
        <f t="shared" si="0"/>
        <v>105</v>
      </c>
      <c r="T12" s="698" t="s">
        <v>14</v>
      </c>
      <c r="U12" s="699">
        <f t="shared" si="1"/>
        <v>105</v>
      </c>
      <c r="V12" s="698" t="s">
        <v>14</v>
      </c>
      <c r="W12" s="699">
        <f t="shared" si="2"/>
        <v>105</v>
      </c>
      <c r="X12" s="700"/>
      <c r="Y12" s="3746"/>
      <c r="Z12" s="52" t="str">
        <f t="shared" si="7"/>
        <v>项目/楼宇产权单一性</v>
      </c>
      <c r="AA12" s="701">
        <f>D12/F12</f>
        <v>0.95238095238095233</v>
      </c>
      <c r="AB12" s="701">
        <f>D12/H12</f>
        <v>0.95238095238095233</v>
      </c>
      <c r="AC12" s="1956">
        <f>D12/J12</f>
        <v>0.95238095238095233</v>
      </c>
    </row>
    <row r="13" spans="1:29" ht="15">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9"/>
      <c r="M13" s="2713"/>
      <c r="N13" s="2713"/>
      <c r="O13" s="2713"/>
      <c r="P13" s="3882"/>
      <c r="Q13" s="1340">
        <f t="shared" si="6"/>
        <v>111</v>
      </c>
      <c r="R13" s="698" t="s">
        <v>14</v>
      </c>
      <c r="S13" s="699">
        <f t="shared" si="0"/>
        <v>100</v>
      </c>
      <c r="T13" s="698" t="s">
        <v>14</v>
      </c>
      <c r="U13" s="699">
        <f t="shared" si="1"/>
        <v>100</v>
      </c>
      <c r="V13" s="698" t="s">
        <v>14</v>
      </c>
      <c r="W13" s="699">
        <f t="shared" si="2"/>
        <v>100</v>
      </c>
      <c r="X13" s="700"/>
      <c r="Y13" s="3746"/>
      <c r="Z13" s="52">
        <f t="shared" si="7"/>
        <v>111</v>
      </c>
      <c r="AA13" s="701">
        <f t="shared" si="3"/>
        <v>1</v>
      </c>
      <c r="AB13" s="701">
        <f t="shared" si="4"/>
        <v>1</v>
      </c>
      <c r="AC13" s="1956">
        <f t="shared" si="5"/>
        <v>1</v>
      </c>
    </row>
    <row r="14" spans="1:29" ht="15.75"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9"/>
      <c r="M14" s="2713"/>
      <c r="N14" s="2713"/>
      <c r="O14" s="2713"/>
      <c r="P14" s="3882"/>
      <c r="Q14" s="1340">
        <f t="shared" si="6"/>
        <v>111</v>
      </c>
      <c r="R14" s="698" t="s">
        <v>14</v>
      </c>
      <c r="S14" s="699">
        <f t="shared" si="0"/>
        <v>100</v>
      </c>
      <c r="T14" s="698" t="s">
        <v>14</v>
      </c>
      <c r="U14" s="699">
        <f t="shared" si="1"/>
        <v>100</v>
      </c>
      <c r="V14" s="698" t="s">
        <v>14</v>
      </c>
      <c r="W14" s="699">
        <f t="shared" si="2"/>
        <v>100</v>
      </c>
      <c r="X14" s="700"/>
      <c r="Y14" s="3746"/>
      <c r="Z14" s="52">
        <f t="shared" si="7"/>
        <v>111</v>
      </c>
      <c r="AA14" s="701">
        <f t="shared" si="3"/>
        <v>1</v>
      </c>
      <c r="AB14" s="701">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v>5</v>
      </c>
      <c r="L15" s="2719"/>
      <c r="M15" s="2713"/>
      <c r="N15" s="2713"/>
      <c r="O15" s="2713"/>
      <c r="P15" s="3880" t="s">
        <v>1691</v>
      </c>
      <c r="Q15" s="1349" t="str">
        <f t="shared" si="6"/>
        <v>办公集聚程度</v>
      </c>
      <c r="R15" s="702" t="s">
        <v>14</v>
      </c>
      <c r="S15" s="703">
        <f t="shared" si="0"/>
        <v>100</v>
      </c>
      <c r="T15" s="702" t="s">
        <v>14</v>
      </c>
      <c r="U15" s="703">
        <f t="shared" si="1"/>
        <v>100</v>
      </c>
      <c r="V15" s="702" t="s">
        <v>14</v>
      </c>
      <c r="W15" s="703">
        <f t="shared" si="2"/>
        <v>100</v>
      </c>
      <c r="X15" s="1352"/>
      <c r="Y15" s="3873" t="s">
        <v>1691</v>
      </c>
      <c r="Z15" s="1353" t="str">
        <f t="shared" si="7"/>
        <v>办公集聚程度</v>
      </c>
      <c r="AA15" s="1350">
        <f t="shared" si="3"/>
        <v>1</v>
      </c>
      <c r="AB15" s="1350">
        <f t="shared" si="4"/>
        <v>1</v>
      </c>
      <c r="AC15" s="1959">
        <f t="shared" si="5"/>
        <v>1</v>
      </c>
    </row>
    <row r="16" spans="1:29" ht="15">
      <c r="A16" s="377"/>
      <c r="B16" s="576"/>
      <c r="C16" s="1901" t="s">
        <v>3393</v>
      </c>
      <c r="D16" s="397"/>
      <c r="E16" s="1901" t="s">
        <v>3393</v>
      </c>
      <c r="F16" s="397"/>
      <c r="G16" s="1901" t="s">
        <v>3393</v>
      </c>
      <c r="H16" s="399"/>
      <c r="I16" s="1901" t="s">
        <v>3393</v>
      </c>
      <c r="J16" s="397"/>
      <c r="K16" s="562"/>
      <c r="L16" s="2719"/>
      <c r="M16" s="2713"/>
      <c r="N16" s="2713"/>
      <c r="O16" s="2713"/>
      <c r="P16" s="3881"/>
      <c r="Q16" s="1349"/>
      <c r="R16" s="702"/>
      <c r="S16" s="703"/>
      <c r="T16" s="702"/>
      <c r="U16" s="703"/>
      <c r="V16" s="702"/>
      <c r="W16" s="703"/>
      <c r="X16" s="1352"/>
      <c r="Y16" s="3874"/>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v>5</v>
      </c>
      <c r="L17" s="2719"/>
      <c r="M17" s="2713"/>
      <c r="N17" s="2713"/>
      <c r="O17" s="2713"/>
      <c r="P17" s="3881"/>
      <c r="Q17" s="1349" t="str">
        <f>B17</f>
        <v>交通便捷度</v>
      </c>
      <c r="R17" s="702" t="s">
        <v>14</v>
      </c>
      <c r="S17" s="703">
        <f>F17</f>
        <v>100</v>
      </c>
      <c r="T17" s="702" t="s">
        <v>14</v>
      </c>
      <c r="U17" s="703">
        <f>H17</f>
        <v>100</v>
      </c>
      <c r="V17" s="702" t="s">
        <v>14</v>
      </c>
      <c r="W17" s="703">
        <f>J17</f>
        <v>100</v>
      </c>
      <c r="X17" s="1352"/>
      <c r="Y17" s="3874"/>
      <c r="Z17" s="1353" t="str">
        <f>Q17</f>
        <v>交通便捷度</v>
      </c>
      <c r="AA17" s="1350">
        <f t="shared" si="3"/>
        <v>1</v>
      </c>
      <c r="AB17" s="1350">
        <f t="shared" si="4"/>
        <v>1</v>
      </c>
      <c r="AC17" s="1959">
        <f t="shared" si="5"/>
        <v>1</v>
      </c>
    </row>
    <row r="18" spans="1:29" ht="15">
      <c r="A18" s="377"/>
      <c r="B18" s="578"/>
      <c r="C18" s="1961" t="s">
        <v>3393</v>
      </c>
      <c r="D18" s="399"/>
      <c r="E18" s="1961" t="s">
        <v>3393</v>
      </c>
      <c r="F18" s="399"/>
      <c r="G18" s="1961" t="s">
        <v>3393</v>
      </c>
      <c r="H18" s="397"/>
      <c r="I18" s="1961" t="s">
        <v>3393</v>
      </c>
      <c r="J18" s="397"/>
      <c r="K18" s="562"/>
      <c r="L18" s="2719"/>
      <c r="M18" s="2713"/>
      <c r="N18" s="2713"/>
      <c r="O18" s="2713"/>
      <c r="P18" s="3881"/>
      <c r="Q18" s="1349"/>
      <c r="R18" s="702"/>
      <c r="S18" s="703"/>
      <c r="T18" s="702"/>
      <c r="U18" s="703"/>
      <c r="V18" s="702"/>
      <c r="W18" s="703"/>
      <c r="X18" s="1352"/>
      <c r="Y18" s="3874"/>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v>5</v>
      </c>
      <c r="L19" s="2719"/>
      <c r="M19" s="2713"/>
      <c r="N19" s="2713"/>
      <c r="O19" s="2713"/>
      <c r="P19" s="3881"/>
      <c r="Q19" s="1349" t="str">
        <f>B19</f>
        <v>公共配套设施</v>
      </c>
      <c r="R19" s="702" t="s">
        <v>14</v>
      </c>
      <c r="S19" s="703">
        <f>F19</f>
        <v>100</v>
      </c>
      <c r="T19" s="702" t="s">
        <v>14</v>
      </c>
      <c r="U19" s="703">
        <f>H19</f>
        <v>100</v>
      </c>
      <c r="V19" s="702" t="s">
        <v>14</v>
      </c>
      <c r="W19" s="703">
        <f>J19</f>
        <v>100</v>
      </c>
      <c r="X19" s="1352"/>
      <c r="Y19" s="3874"/>
      <c r="Z19" s="1353" t="str">
        <f>Q19</f>
        <v>公共配套设施</v>
      </c>
      <c r="AA19" s="1350">
        <f t="shared" si="3"/>
        <v>1</v>
      </c>
      <c r="AB19" s="1350">
        <f t="shared" si="4"/>
        <v>1</v>
      </c>
      <c r="AC19" s="1959">
        <f t="shared" si="5"/>
        <v>1</v>
      </c>
    </row>
    <row r="20" spans="1:29" ht="15">
      <c r="A20" s="377"/>
      <c r="B20" s="578"/>
      <c r="C20" s="1901" t="s">
        <v>3394</v>
      </c>
      <c r="D20" s="397"/>
      <c r="E20" s="1901" t="s">
        <v>3394</v>
      </c>
      <c r="F20" s="397"/>
      <c r="G20" s="1901" t="s">
        <v>3394</v>
      </c>
      <c r="H20" s="397"/>
      <c r="I20" s="1901" t="s">
        <v>3394</v>
      </c>
      <c r="J20" s="397"/>
      <c r="K20" s="562"/>
      <c r="L20" s="2719"/>
      <c r="M20" s="2713"/>
      <c r="N20" s="2713"/>
      <c r="O20" s="2713"/>
      <c r="P20" s="3881"/>
      <c r="Q20" s="1349"/>
      <c r="R20" s="702"/>
      <c r="S20" s="703"/>
      <c r="T20" s="702"/>
      <c r="U20" s="703"/>
      <c r="V20" s="702"/>
      <c r="W20" s="703"/>
      <c r="X20" s="1352"/>
      <c r="Y20" s="3874"/>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v>1</v>
      </c>
      <c r="L21" s="2719"/>
      <c r="M21" s="2713"/>
      <c r="N21" s="2713"/>
      <c r="O21" s="2713"/>
      <c r="P21" s="3881"/>
      <c r="Q21" s="1349" t="str">
        <f>B21</f>
        <v>基础设施水平</v>
      </c>
      <c r="R21" s="702" t="s">
        <v>14</v>
      </c>
      <c r="S21" s="703">
        <f>F21</f>
        <v>100</v>
      </c>
      <c r="T21" s="702" t="s">
        <v>14</v>
      </c>
      <c r="U21" s="703">
        <f>H21</f>
        <v>100</v>
      </c>
      <c r="V21" s="702" t="s">
        <v>14</v>
      </c>
      <c r="W21" s="703">
        <f>J21</f>
        <v>100</v>
      </c>
      <c r="X21" s="1352"/>
      <c r="Y21" s="3874"/>
      <c r="Z21" s="1353" t="str">
        <f>Q21</f>
        <v>基础设施水平</v>
      </c>
      <c r="AA21" s="1350">
        <f t="shared" ref="AA21" si="8">D21/F21</f>
        <v>1</v>
      </c>
      <c r="AB21" s="1350">
        <f t="shared" ref="AB21" si="9">D21/H21</f>
        <v>1</v>
      </c>
      <c r="AC21" s="1959">
        <f t="shared" ref="AC21" si="10">D21/J21</f>
        <v>1</v>
      </c>
    </row>
    <row r="22" spans="1:29" ht="15">
      <c r="A22" s="377"/>
      <c r="B22" s="579"/>
      <c r="C22" s="1961" t="s">
        <v>3578</v>
      </c>
      <c r="D22" s="397"/>
      <c r="E22" s="1961" t="s">
        <v>3578</v>
      </c>
      <c r="F22" s="397"/>
      <c r="G22" s="1961" t="s">
        <v>3578</v>
      </c>
      <c r="H22" s="397"/>
      <c r="I22" s="1961" t="s">
        <v>3578</v>
      </c>
      <c r="J22" s="397"/>
      <c r="K22" s="1127"/>
      <c r="L22" s="2719"/>
      <c r="M22" s="2713"/>
      <c r="N22" s="2713"/>
      <c r="O22" s="2713"/>
      <c r="P22" s="3881"/>
      <c r="Q22" s="1349"/>
      <c r="R22" s="702"/>
      <c r="S22" s="703"/>
      <c r="T22" s="702"/>
      <c r="U22" s="703"/>
      <c r="V22" s="702"/>
      <c r="W22" s="703"/>
      <c r="X22" s="1352"/>
      <c r="Y22" s="3874"/>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v>4</v>
      </c>
      <c r="L23" s="2719"/>
      <c r="M23" s="2713"/>
      <c r="N23" s="2713"/>
      <c r="O23" s="2713"/>
      <c r="P23" s="3881"/>
      <c r="Q23" s="1349" t="str">
        <f>B23</f>
        <v>环境质量</v>
      </c>
      <c r="R23" s="702" t="s">
        <v>14</v>
      </c>
      <c r="S23" s="703">
        <f>F23</f>
        <v>100</v>
      </c>
      <c r="T23" s="702" t="s">
        <v>14</v>
      </c>
      <c r="U23" s="703">
        <f>H23</f>
        <v>100</v>
      </c>
      <c r="V23" s="702" t="s">
        <v>14</v>
      </c>
      <c r="W23" s="703">
        <f>J23</f>
        <v>100</v>
      </c>
      <c r="X23" s="1352"/>
      <c r="Y23" s="3874"/>
      <c r="Z23" s="1353" t="str">
        <f>Q23</f>
        <v>环境质量</v>
      </c>
      <c r="AA23" s="1350">
        <f t="shared" si="3"/>
        <v>1</v>
      </c>
      <c r="AB23" s="1350">
        <f t="shared" si="4"/>
        <v>1</v>
      </c>
      <c r="AC23" s="1959">
        <f t="shared" si="5"/>
        <v>1</v>
      </c>
    </row>
    <row r="24" spans="1:29" ht="15.75" thickBot="1">
      <c r="A24" s="377"/>
      <c r="B24" s="579"/>
      <c r="C24" s="1901" t="s">
        <v>3393</v>
      </c>
      <c r="D24" s="397"/>
      <c r="E24" s="1901" t="s">
        <v>3393</v>
      </c>
      <c r="F24" s="397"/>
      <c r="G24" s="1901" t="s">
        <v>3393</v>
      </c>
      <c r="H24" s="397"/>
      <c r="I24" s="1901" t="s">
        <v>3393</v>
      </c>
      <c r="J24" s="397"/>
      <c r="K24" s="562"/>
      <c r="L24" s="2719"/>
      <c r="M24" s="2713"/>
      <c r="N24" s="2713"/>
      <c r="O24" s="2713"/>
      <c r="P24" s="3881"/>
      <c r="Q24" s="1349"/>
      <c r="R24" s="702"/>
      <c r="S24" s="703"/>
      <c r="T24" s="702"/>
      <c r="U24" s="703"/>
      <c r="V24" s="702"/>
      <c r="W24" s="703"/>
      <c r="X24" s="1352"/>
      <c r="Y24" s="3874"/>
      <c r="Z24" s="1353"/>
      <c r="AA24" s="1350">
        <v>1</v>
      </c>
      <c r="AB24" s="1350">
        <v>1</v>
      </c>
      <c r="AC24" s="1959">
        <v>1</v>
      </c>
    </row>
    <row r="25" spans="1:29" ht="27" hidden="1">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9"/>
      <c r="M25" s="2713"/>
      <c r="N25" s="2713"/>
      <c r="O25" s="2713"/>
      <c r="P25" s="3881"/>
      <c r="Q25" s="1349" t="str">
        <f>B25</f>
        <v>毗邻道路的类型与等级</v>
      </c>
      <c r="R25" s="702" t="s">
        <v>14</v>
      </c>
      <c r="S25" s="703">
        <f>F25</f>
        <v>100</v>
      </c>
      <c r="T25" s="702" t="s">
        <v>14</v>
      </c>
      <c r="U25" s="703">
        <f>H25</f>
        <v>100</v>
      </c>
      <c r="V25" s="702" t="s">
        <v>14</v>
      </c>
      <c r="W25" s="703">
        <f>J25</f>
        <v>100</v>
      </c>
      <c r="X25" s="1352"/>
      <c r="Y25" s="3874"/>
      <c r="Z25" s="1353" t="str">
        <f>Q25</f>
        <v>毗邻道路的类型与等级</v>
      </c>
      <c r="AA25" s="1350">
        <f t="shared" si="3"/>
        <v>1</v>
      </c>
      <c r="AB25" s="1350">
        <f t="shared" si="4"/>
        <v>1</v>
      </c>
      <c r="AC25" s="1959">
        <f t="shared" si="5"/>
        <v>1</v>
      </c>
    </row>
    <row r="26" spans="1:29" ht="15" hidden="1">
      <c r="A26" s="356"/>
      <c r="B26" s="578"/>
      <c r="C26" s="580"/>
      <c r="D26" s="384"/>
      <c r="E26" s="563"/>
      <c r="F26" s="384"/>
      <c r="G26" s="580"/>
      <c r="H26" s="384"/>
      <c r="I26" s="563"/>
      <c r="J26" s="384"/>
      <c r="K26" s="562"/>
      <c r="L26" s="2719"/>
      <c r="M26" s="2713"/>
      <c r="N26" s="2713"/>
      <c r="O26" s="2713"/>
      <c r="P26" s="3881"/>
      <c r="Q26" s="1349"/>
      <c r="R26" s="702"/>
      <c r="S26" s="703"/>
      <c r="T26" s="702"/>
      <c r="U26" s="703"/>
      <c r="V26" s="702"/>
      <c r="W26" s="703"/>
      <c r="X26" s="1352"/>
      <c r="Y26" s="3874"/>
      <c r="Z26" s="1353"/>
      <c r="AA26" s="1350">
        <v>1</v>
      </c>
      <c r="AB26" s="1350">
        <v>1</v>
      </c>
      <c r="AC26" s="1959">
        <v>1</v>
      </c>
    </row>
    <row r="27" spans="1:29" ht="15" hidden="1">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9"/>
      <c r="M27" s="2713"/>
      <c r="N27" s="2713"/>
      <c r="O27" s="2713"/>
      <c r="P27" s="3881"/>
      <c r="Q27" s="1349" t="str">
        <f t="shared" ref="Q27:Q47" si="11">B27</f>
        <v>楼层</v>
      </c>
      <c r="R27" s="702" t="s">
        <v>14</v>
      </c>
      <c r="S27" s="703">
        <f>F27</f>
        <v>100</v>
      </c>
      <c r="T27" s="702" t="s">
        <v>14</v>
      </c>
      <c r="U27" s="703">
        <f>H27</f>
        <v>100</v>
      </c>
      <c r="V27" s="702" t="s">
        <v>14</v>
      </c>
      <c r="W27" s="703">
        <f>J27</f>
        <v>100</v>
      </c>
      <c r="X27" s="1352"/>
      <c r="Y27" s="3874"/>
      <c r="Z27" s="1353" t="str">
        <f>Q27</f>
        <v>楼层</v>
      </c>
      <c r="AA27" s="1350">
        <f t="shared" si="3"/>
        <v>1</v>
      </c>
      <c r="AB27" s="1350">
        <f t="shared" si="4"/>
        <v>1</v>
      </c>
      <c r="AC27" s="1959">
        <f t="shared" si="5"/>
        <v>1</v>
      </c>
    </row>
    <row r="28" spans="1:29" s="107" customFormat="1" ht="15" hidden="1">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14"/>
      <c r="M28" s="2715"/>
      <c r="N28" s="2715"/>
      <c r="O28" s="2715"/>
      <c r="P28" s="3881"/>
      <c r="Q28" s="1340" t="str">
        <f t="shared" si="11"/>
        <v>朝向</v>
      </c>
      <c r="R28" s="698" t="s">
        <v>14</v>
      </c>
      <c r="S28" s="699">
        <f>F28</f>
        <v>100</v>
      </c>
      <c r="T28" s="698" t="s">
        <v>14</v>
      </c>
      <c r="U28" s="699">
        <f>H28</f>
        <v>100</v>
      </c>
      <c r="V28" s="698" t="s">
        <v>14</v>
      </c>
      <c r="W28" s="699">
        <f>J28</f>
        <v>100</v>
      </c>
      <c r="X28" s="700"/>
      <c r="Y28" s="3874"/>
      <c r="Z28" s="52" t="str">
        <f>Q28</f>
        <v>朝向</v>
      </c>
      <c r="AA28" s="1350">
        <f>D28/F28</f>
        <v>1</v>
      </c>
      <c r="AB28" s="1350">
        <f>D28/H28</f>
        <v>1</v>
      </c>
      <c r="AC28" s="1959">
        <f>D28/J28</f>
        <v>1</v>
      </c>
    </row>
    <row r="29" spans="1:29" ht="15" hidden="1">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9"/>
      <c r="M29" s="2713"/>
      <c r="N29" s="2713"/>
      <c r="O29" s="2713"/>
      <c r="P29" s="3881"/>
      <c r="Q29" s="1349">
        <f t="shared" si="11"/>
        <v>111</v>
      </c>
      <c r="R29" s="702" t="s">
        <v>14</v>
      </c>
      <c r="S29" s="703">
        <f t="shared" ref="S29:S47" si="12">F29</f>
        <v>100</v>
      </c>
      <c r="T29" s="702" t="s">
        <v>14</v>
      </c>
      <c r="U29" s="703">
        <f t="shared" ref="U29:U47" si="13">H29</f>
        <v>100</v>
      </c>
      <c r="V29" s="702" t="s">
        <v>14</v>
      </c>
      <c r="W29" s="703">
        <f t="shared" ref="W29:W47" si="14">J29</f>
        <v>100</v>
      </c>
      <c r="X29" s="1352"/>
      <c r="Y29" s="3874"/>
      <c r="Z29" s="1353">
        <f t="shared" ref="Z29:Z47" si="15">Q29</f>
        <v>111</v>
      </c>
      <c r="AA29" s="1350">
        <f t="shared" si="3"/>
        <v>1</v>
      </c>
      <c r="AB29" s="1350">
        <f t="shared" si="4"/>
        <v>1</v>
      </c>
      <c r="AC29" s="1959">
        <f t="shared" si="5"/>
        <v>1</v>
      </c>
    </row>
    <row r="30" spans="1:29" ht="15" hidden="1">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9"/>
      <c r="M30" s="2713"/>
      <c r="N30" s="2713"/>
      <c r="O30" s="2713"/>
      <c r="P30" s="3881"/>
      <c r="Q30" s="1349">
        <f t="shared" si="11"/>
        <v>111</v>
      </c>
      <c r="R30" s="702" t="s">
        <v>14</v>
      </c>
      <c r="S30" s="703">
        <f t="shared" si="12"/>
        <v>100</v>
      </c>
      <c r="T30" s="702" t="s">
        <v>14</v>
      </c>
      <c r="U30" s="703">
        <f t="shared" si="13"/>
        <v>100</v>
      </c>
      <c r="V30" s="702" t="s">
        <v>14</v>
      </c>
      <c r="W30" s="703">
        <f t="shared" si="14"/>
        <v>100</v>
      </c>
      <c r="X30" s="1352"/>
      <c r="Y30" s="3874"/>
      <c r="Z30" s="1353">
        <f t="shared" si="15"/>
        <v>111</v>
      </c>
      <c r="AA30" s="1350">
        <f t="shared" si="3"/>
        <v>1</v>
      </c>
      <c r="AB30" s="1350">
        <f t="shared" si="4"/>
        <v>1</v>
      </c>
      <c r="AC30" s="1959">
        <f t="shared" si="5"/>
        <v>1</v>
      </c>
    </row>
    <row r="31" spans="1:29" ht="15" hidden="1">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9"/>
      <c r="M31" s="2713"/>
      <c r="N31" s="2713"/>
      <c r="O31" s="2713"/>
      <c r="P31" s="3881"/>
      <c r="Q31" s="1349">
        <f t="shared" si="11"/>
        <v>111</v>
      </c>
      <c r="R31" s="702" t="s">
        <v>14</v>
      </c>
      <c r="S31" s="703">
        <f t="shared" si="12"/>
        <v>100</v>
      </c>
      <c r="T31" s="702" t="s">
        <v>14</v>
      </c>
      <c r="U31" s="703">
        <f t="shared" si="13"/>
        <v>100</v>
      </c>
      <c r="V31" s="702" t="s">
        <v>14</v>
      </c>
      <c r="W31" s="703">
        <f t="shared" si="14"/>
        <v>100</v>
      </c>
      <c r="X31" s="1352"/>
      <c r="Y31" s="3874"/>
      <c r="Z31" s="1353">
        <f t="shared" si="15"/>
        <v>111</v>
      </c>
      <c r="AA31" s="1350">
        <f t="shared" si="3"/>
        <v>1</v>
      </c>
      <c r="AB31" s="1350">
        <f t="shared" si="4"/>
        <v>1</v>
      </c>
      <c r="AC31" s="1959">
        <f t="shared" si="5"/>
        <v>1</v>
      </c>
    </row>
    <row r="32" spans="1:29" ht="15.75" hidden="1"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9"/>
      <c r="M32" s="2713"/>
      <c r="N32" s="2713"/>
      <c r="O32" s="2713"/>
      <c r="P32" s="3881"/>
      <c r="Q32" s="1349">
        <f t="shared" si="11"/>
        <v>111</v>
      </c>
      <c r="R32" s="702" t="s">
        <v>14</v>
      </c>
      <c r="S32" s="703">
        <f t="shared" si="12"/>
        <v>100</v>
      </c>
      <c r="T32" s="702" t="s">
        <v>14</v>
      </c>
      <c r="U32" s="703">
        <f t="shared" si="13"/>
        <v>100</v>
      </c>
      <c r="V32" s="702" t="s">
        <v>14</v>
      </c>
      <c r="W32" s="703">
        <f t="shared" si="14"/>
        <v>100</v>
      </c>
      <c r="X32" s="1352"/>
      <c r="Y32" s="3874"/>
      <c r="Z32" s="1353">
        <f t="shared" si="15"/>
        <v>111</v>
      </c>
      <c r="AA32" s="1350">
        <f t="shared" si="3"/>
        <v>1</v>
      </c>
      <c r="AB32" s="1350">
        <f t="shared" si="4"/>
        <v>1</v>
      </c>
      <c r="AC32" s="1959">
        <f t="shared" si="5"/>
        <v>1</v>
      </c>
    </row>
    <row r="33" spans="1:29" ht="15">
      <c r="A33" s="389" t="s">
        <v>1694</v>
      </c>
      <c r="B33" s="63" t="s">
        <v>1817</v>
      </c>
      <c r="C33" s="1964" t="s">
        <v>3584</v>
      </c>
      <c r="D33" s="416">
        <v>100</v>
      </c>
      <c r="E33" s="1964" t="s">
        <v>3584</v>
      </c>
      <c r="F33" s="410">
        <f>SUMIF(101:101,E33,102:102)-SUMIF(101:101,C33,102:102)+100</f>
        <v>100</v>
      </c>
      <c r="G33" s="1964" t="s">
        <v>3584</v>
      </c>
      <c r="H33" s="384">
        <f>SUMIF(101:101,G33,102:102)-SUMIF(101:101,C33,102:102)+100</f>
        <v>100</v>
      </c>
      <c r="I33" s="1964" t="s">
        <v>3584</v>
      </c>
      <c r="J33" s="416">
        <f>SUMIF(101:101,I33,102:102)-SUMIF(101:101,C33,102:102)+100</f>
        <v>100</v>
      </c>
      <c r="K33" s="559">
        <v>2</v>
      </c>
      <c r="L33" s="2719"/>
      <c r="M33" s="2713"/>
      <c r="N33" s="2713"/>
      <c r="O33" s="2713"/>
      <c r="P33" s="3875" t="s">
        <v>1696</v>
      </c>
      <c r="Q33" s="1349" t="str">
        <f t="shared" si="11"/>
        <v>建筑类型</v>
      </c>
      <c r="R33" s="702" t="s">
        <v>14</v>
      </c>
      <c r="S33" s="703">
        <f t="shared" si="12"/>
        <v>100</v>
      </c>
      <c r="T33" s="702" t="s">
        <v>14</v>
      </c>
      <c r="U33" s="703">
        <f t="shared" si="13"/>
        <v>100</v>
      </c>
      <c r="V33" s="702" t="s">
        <v>14</v>
      </c>
      <c r="W33" s="703">
        <f t="shared" si="14"/>
        <v>100</v>
      </c>
      <c r="X33" s="1352"/>
      <c r="Y33" s="3878" t="s">
        <v>1696</v>
      </c>
      <c r="Z33" s="1353" t="str">
        <f t="shared" si="15"/>
        <v>建筑类型</v>
      </c>
      <c r="AA33" s="1350">
        <f t="shared" si="3"/>
        <v>1</v>
      </c>
      <c r="AB33" s="1350">
        <f t="shared" si="4"/>
        <v>1</v>
      </c>
      <c r="AC33" s="1959">
        <f t="shared" si="5"/>
        <v>1</v>
      </c>
    </row>
    <row r="34" spans="1:29" s="420" customFormat="1" ht="15">
      <c r="A34" s="417"/>
      <c r="B34" s="373" t="s">
        <v>1697</v>
      </c>
      <c r="C34" s="418">
        <f>'数据-汇总表'!E3</f>
        <v>12000.23</v>
      </c>
      <c r="D34" s="125">
        <v>100</v>
      </c>
      <c r="E34" s="3473">
        <f>大宗!O31</f>
        <v>58239.38</v>
      </c>
      <c r="F34" s="374">
        <f>LOOKUP(E34,104:104,105:105)-LOOKUP(C34,104:104,105:105)+100</f>
        <v>99</v>
      </c>
      <c r="G34" s="3474">
        <f>大宗!O30</f>
        <v>38000</v>
      </c>
      <c r="H34" s="125">
        <f>LOOKUP(G34,104:104,105:105)-LOOKUP(C34,104:104,105:105)+100</f>
        <v>100</v>
      </c>
      <c r="I34" s="3474">
        <f>大宗!O19</f>
        <v>145928</v>
      </c>
      <c r="J34" s="125">
        <f>LOOKUP(I34,104:104,105:105)-LOOKUP(C34,104:104,105:105)+100</f>
        <v>98</v>
      </c>
      <c r="K34" s="560"/>
      <c r="L34" s="2718"/>
      <c r="M34" s="2720"/>
      <c r="N34" s="2720"/>
      <c r="O34" s="2720"/>
      <c r="P34" s="3876"/>
      <c r="Q34" s="704" t="str">
        <f t="shared" si="11"/>
        <v>项目建筑规模</v>
      </c>
      <c r="R34" s="705" t="s">
        <v>14</v>
      </c>
      <c r="S34" s="706">
        <f t="shared" si="12"/>
        <v>99</v>
      </c>
      <c r="T34" s="705" t="s">
        <v>14</v>
      </c>
      <c r="U34" s="706">
        <f t="shared" si="13"/>
        <v>100</v>
      </c>
      <c r="V34" s="705" t="s">
        <v>14</v>
      </c>
      <c r="W34" s="706">
        <f t="shared" si="14"/>
        <v>98</v>
      </c>
      <c r="X34" s="707"/>
      <c r="Y34" s="3878"/>
      <c r="Z34" s="708" t="str">
        <f t="shared" si="15"/>
        <v>项目建筑规模</v>
      </c>
      <c r="AA34" s="1350">
        <f t="shared" si="3"/>
        <v>1.0101010101010102</v>
      </c>
      <c r="AB34" s="1350">
        <f t="shared" si="4"/>
        <v>1</v>
      </c>
      <c r="AC34" s="1959">
        <f t="shared" si="5"/>
        <v>1.0204081632653061</v>
      </c>
    </row>
    <row r="35" spans="1:29" ht="15">
      <c r="A35" s="421"/>
      <c r="B35" s="373" t="s">
        <v>1698</v>
      </c>
      <c r="C35" s="409" t="s">
        <v>3436</v>
      </c>
      <c r="D35" s="384">
        <v>100</v>
      </c>
      <c r="E35" s="409" t="s">
        <v>3436</v>
      </c>
      <c r="F35" s="410">
        <f>SUMIF(106:106,E35,107:107)-SUMIF(106:106,C35,107:107)+100</f>
        <v>100</v>
      </c>
      <c r="G35" s="409" t="s">
        <v>3436</v>
      </c>
      <c r="H35" s="384">
        <f>SUMIF(106:106,G35,107:107)-SUMIF(106:106,C35,107:107)+100</f>
        <v>100</v>
      </c>
      <c r="I35" s="409" t="s">
        <v>3436</v>
      </c>
      <c r="J35" s="384">
        <f>SUMIF(106:106,I35,107:107)-SUMIF(106:106,C35,107:107)+100</f>
        <v>100</v>
      </c>
      <c r="K35" s="559">
        <v>2</v>
      </c>
      <c r="L35" s="2719"/>
      <c r="M35" s="2713"/>
      <c r="N35" s="2713"/>
      <c r="O35" s="2713"/>
      <c r="P35" s="3876"/>
      <c r="Q35" s="1349" t="str">
        <f t="shared" si="11"/>
        <v>建筑结构</v>
      </c>
      <c r="R35" s="702" t="s">
        <v>14</v>
      </c>
      <c r="S35" s="703">
        <f t="shared" si="12"/>
        <v>100</v>
      </c>
      <c r="T35" s="702" t="s">
        <v>14</v>
      </c>
      <c r="U35" s="703">
        <f t="shared" si="13"/>
        <v>100</v>
      </c>
      <c r="V35" s="702" t="s">
        <v>14</v>
      </c>
      <c r="W35" s="703">
        <f t="shared" si="14"/>
        <v>100</v>
      </c>
      <c r="X35" s="1352"/>
      <c r="Y35" s="3878"/>
      <c r="Z35" s="1353" t="str">
        <f t="shared" si="15"/>
        <v>建筑结构</v>
      </c>
      <c r="AA35" s="1350">
        <f t="shared" si="3"/>
        <v>1</v>
      </c>
      <c r="AB35" s="1350">
        <f t="shared" si="4"/>
        <v>1</v>
      </c>
      <c r="AC35" s="1959">
        <f t="shared" si="5"/>
        <v>1</v>
      </c>
    </row>
    <row r="36" spans="1:29" ht="15">
      <c r="A36" s="421"/>
      <c r="B36" s="373" t="s">
        <v>1785</v>
      </c>
      <c r="C36" s="409" t="s">
        <v>3572</v>
      </c>
      <c r="D36" s="384">
        <v>100</v>
      </c>
      <c r="E36" s="409" t="s">
        <v>3572</v>
      </c>
      <c r="F36" s="410">
        <f>SUMIF(108:108,E36,109:109)-SUMIF(108:108,C36,109:109)+100</f>
        <v>100</v>
      </c>
      <c r="G36" s="409" t="s">
        <v>3572</v>
      </c>
      <c r="H36" s="384">
        <f>SUMIF(108:108,G36,109:109)-SUMIF(108:108,C36,109:109)+100</f>
        <v>100</v>
      </c>
      <c r="I36" s="409" t="s">
        <v>3572</v>
      </c>
      <c r="J36" s="384">
        <f>SUMIF(108:108,I36,109:109)-SUMIF(108:108,C36,109:109)+100</f>
        <v>100</v>
      </c>
      <c r="K36" s="559">
        <v>3</v>
      </c>
      <c r="L36" s="2719"/>
      <c r="M36" s="2713"/>
      <c r="N36" s="2713"/>
      <c r="O36" s="2713"/>
      <c r="P36" s="3876"/>
      <c r="Q36" s="1349" t="str">
        <f t="shared" si="11"/>
        <v>公共部分装修</v>
      </c>
      <c r="R36" s="702" t="s">
        <v>14</v>
      </c>
      <c r="S36" s="703">
        <f t="shared" si="12"/>
        <v>100</v>
      </c>
      <c r="T36" s="702" t="s">
        <v>14</v>
      </c>
      <c r="U36" s="703">
        <f t="shared" si="13"/>
        <v>100</v>
      </c>
      <c r="V36" s="702" t="s">
        <v>14</v>
      </c>
      <c r="W36" s="703">
        <f t="shared" si="14"/>
        <v>100</v>
      </c>
      <c r="X36" s="1352"/>
      <c r="Y36" s="3878"/>
      <c r="Z36" s="1353" t="str">
        <f t="shared" si="15"/>
        <v>公共部分装修</v>
      </c>
      <c r="AA36" s="1350">
        <f t="shared" si="3"/>
        <v>1</v>
      </c>
      <c r="AB36" s="1350">
        <f t="shared" si="4"/>
        <v>1</v>
      </c>
      <c r="AC36" s="1959">
        <f t="shared" si="5"/>
        <v>1</v>
      </c>
    </row>
    <row r="37" spans="1:29" ht="15">
      <c r="A37" s="421"/>
      <c r="B37" s="373" t="s">
        <v>1786</v>
      </c>
      <c r="C37" s="423">
        <f>'数据-取费表'!N6</f>
        <v>0.73</v>
      </c>
      <c r="D37" s="384">
        <v>100</v>
      </c>
      <c r="E37" s="423">
        <f>大宗!Q31</f>
        <v>0.86</v>
      </c>
      <c r="F37" s="410">
        <f>LOOKUP(E37,111:111,112:112)-LOOKUP(C37,111:111,112:112)+100</f>
        <v>103</v>
      </c>
      <c r="G37" s="423">
        <f>大宗!Q30</f>
        <v>0.81</v>
      </c>
      <c r="H37" s="410">
        <f>LOOKUP(G37,111:111,112:112)-LOOKUP(C37,111:111,112:112)+100</f>
        <v>103</v>
      </c>
      <c r="I37" s="423">
        <f>大宗!Q19</f>
        <v>0.82</v>
      </c>
      <c r="J37" s="384">
        <f>LOOKUP(I37,111:111,112:112)-LOOKUP(C37,111:111,112:112)+100</f>
        <v>103</v>
      </c>
      <c r="K37" s="559">
        <v>3</v>
      </c>
      <c r="L37" s="2719"/>
      <c r="M37" s="2713"/>
      <c r="N37" s="2713"/>
      <c r="O37" s="2713"/>
      <c r="P37" s="3876"/>
      <c r="Q37" s="1349" t="str">
        <f t="shared" si="11"/>
        <v>成新度</v>
      </c>
      <c r="R37" s="702" t="s">
        <v>14</v>
      </c>
      <c r="S37" s="703">
        <f t="shared" si="12"/>
        <v>103</v>
      </c>
      <c r="T37" s="702" t="s">
        <v>14</v>
      </c>
      <c r="U37" s="703">
        <f t="shared" si="13"/>
        <v>103</v>
      </c>
      <c r="V37" s="702" t="s">
        <v>14</v>
      </c>
      <c r="W37" s="703">
        <f t="shared" si="14"/>
        <v>103</v>
      </c>
      <c r="X37" s="1352"/>
      <c r="Y37" s="3878"/>
      <c r="Z37" s="1353" t="str">
        <f t="shared" si="15"/>
        <v>成新度</v>
      </c>
      <c r="AA37" s="1350">
        <f t="shared" si="3"/>
        <v>0.970873786407767</v>
      </c>
      <c r="AB37" s="1350">
        <f t="shared" si="4"/>
        <v>0.970873786407767</v>
      </c>
      <c r="AC37" s="1959">
        <f t="shared" si="5"/>
        <v>0.970873786407767</v>
      </c>
    </row>
    <row r="38" spans="1:29" s="107" customFormat="1" ht="15">
      <c r="A38" s="422"/>
      <c r="B38" s="373" t="s">
        <v>1818</v>
      </c>
      <c r="C38" s="409" t="s">
        <v>3576</v>
      </c>
      <c r="D38" s="125">
        <v>100</v>
      </c>
      <c r="E38" s="409" t="s">
        <v>3576</v>
      </c>
      <c r="F38" s="410">
        <f>SUMIF(113:113,E38,114:114)-SUMIF(113:113,C38,114:114)+100</f>
        <v>100</v>
      </c>
      <c r="G38" s="409" t="s">
        <v>3576</v>
      </c>
      <c r="H38" s="384">
        <f>SUMIF(113:113,G38,114:114)-SUMIF(113:113,C38,114:114)+100</f>
        <v>100</v>
      </c>
      <c r="I38" s="409" t="s">
        <v>3576</v>
      </c>
      <c r="J38" s="384">
        <f>SUMIF(113:113,I38,114:114)-SUMIF(113:113,C38,114:114)+100</f>
        <v>100</v>
      </c>
      <c r="K38" s="559">
        <v>2</v>
      </c>
      <c r="L38" s="2714"/>
      <c r="M38" s="2715"/>
      <c r="N38" s="2715"/>
      <c r="O38" s="2715"/>
      <c r="P38" s="3876"/>
      <c r="Q38" s="1340" t="str">
        <f t="shared" si="11"/>
        <v>写字楼等级</v>
      </c>
      <c r="R38" s="698" t="s">
        <v>14</v>
      </c>
      <c r="S38" s="699">
        <f t="shared" si="12"/>
        <v>100</v>
      </c>
      <c r="T38" s="698" t="s">
        <v>14</v>
      </c>
      <c r="U38" s="699">
        <f t="shared" si="13"/>
        <v>100</v>
      </c>
      <c r="V38" s="698" t="s">
        <v>14</v>
      </c>
      <c r="W38" s="699">
        <f t="shared" si="14"/>
        <v>100</v>
      </c>
      <c r="X38" s="700"/>
      <c r="Y38" s="3878"/>
      <c r="Z38" s="52" t="str">
        <f t="shared" si="15"/>
        <v>写字楼等级</v>
      </c>
      <c r="AA38" s="701">
        <f t="shared" si="3"/>
        <v>1</v>
      </c>
      <c r="AB38" s="701">
        <f t="shared" si="4"/>
        <v>1</v>
      </c>
      <c r="AC38" s="1956">
        <f t="shared" si="5"/>
        <v>1</v>
      </c>
    </row>
    <row r="39" spans="1:29" ht="15">
      <c r="A39" s="421"/>
      <c r="B39" s="373" t="s">
        <v>1819</v>
      </c>
      <c r="C39" s="409" t="s">
        <v>3577</v>
      </c>
      <c r="D39" s="384">
        <v>100</v>
      </c>
      <c r="E39" s="409" t="s">
        <v>3577</v>
      </c>
      <c r="F39" s="410">
        <f>SUMIF(115:115,E39,116:116)-SUMIF(115:115,C39,116:116)+100</f>
        <v>100</v>
      </c>
      <c r="G39" s="409" t="s">
        <v>3577</v>
      </c>
      <c r="H39" s="384">
        <f>SUMIF(115:115,G39,116:116)-SUMIF(115:115,C39,116:116)+100</f>
        <v>100</v>
      </c>
      <c r="I39" s="409" t="s">
        <v>3577</v>
      </c>
      <c r="J39" s="384">
        <f>SUMIF(115:115,I39,116:116)-SUMIF(115:115,C39,116:116)+100</f>
        <v>100</v>
      </c>
      <c r="K39" s="559">
        <v>2</v>
      </c>
      <c r="L39" s="2719"/>
      <c r="M39" s="2713"/>
      <c r="N39" s="2713"/>
      <c r="O39" s="2713"/>
      <c r="P39" s="3876" t="s">
        <v>1696</v>
      </c>
      <c r="Q39" s="1349" t="str">
        <f t="shared" si="11"/>
        <v>物业管理</v>
      </c>
      <c r="R39" s="702" t="s">
        <v>14</v>
      </c>
      <c r="S39" s="703">
        <f t="shared" si="12"/>
        <v>100</v>
      </c>
      <c r="T39" s="702" t="s">
        <v>14</v>
      </c>
      <c r="U39" s="703">
        <f t="shared" si="13"/>
        <v>100</v>
      </c>
      <c r="V39" s="702" t="s">
        <v>14</v>
      </c>
      <c r="W39" s="703">
        <f t="shared" si="14"/>
        <v>100</v>
      </c>
      <c r="X39" s="1352"/>
      <c r="Y39" s="3878" t="s">
        <v>1696</v>
      </c>
      <c r="Z39" s="1353" t="str">
        <f t="shared" si="15"/>
        <v>物业管理</v>
      </c>
      <c r="AA39" s="1350">
        <f t="shared" si="3"/>
        <v>1</v>
      </c>
      <c r="AB39" s="1350">
        <f t="shared" si="4"/>
        <v>1</v>
      </c>
      <c r="AC39" s="1959">
        <f t="shared" si="5"/>
        <v>1</v>
      </c>
    </row>
    <row r="40" spans="1:29" ht="15" hidden="1">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v>1</v>
      </c>
      <c r="L40" s="2719"/>
      <c r="M40" s="2713"/>
      <c r="N40" s="2713"/>
      <c r="O40" s="2713"/>
      <c r="P40" s="3876"/>
      <c r="Q40" s="1349" t="str">
        <f t="shared" si="11"/>
        <v>市政基础设施</v>
      </c>
      <c r="R40" s="702" t="s">
        <v>14</v>
      </c>
      <c r="S40" s="703">
        <f t="shared" si="12"/>
        <v>100</v>
      </c>
      <c r="T40" s="702" t="s">
        <v>14</v>
      </c>
      <c r="U40" s="703">
        <f t="shared" si="13"/>
        <v>100</v>
      </c>
      <c r="V40" s="702" t="s">
        <v>14</v>
      </c>
      <c r="W40" s="703">
        <f t="shared" si="14"/>
        <v>100</v>
      </c>
      <c r="X40" s="1352"/>
      <c r="Y40" s="3878"/>
      <c r="Z40" s="1353" t="str">
        <f t="shared" si="15"/>
        <v>市政基础设施</v>
      </c>
      <c r="AA40" s="1350">
        <f t="shared" si="3"/>
        <v>1</v>
      </c>
      <c r="AB40" s="1350">
        <f t="shared" si="4"/>
        <v>1</v>
      </c>
      <c r="AC40" s="1959">
        <f t="shared" si="5"/>
        <v>1</v>
      </c>
    </row>
    <row r="41" spans="1:29" ht="15">
      <c r="A41" s="421"/>
      <c r="B41" s="373" t="s">
        <v>1789</v>
      </c>
      <c r="C41" s="563" t="s">
        <v>3579</v>
      </c>
      <c r="D41" s="384">
        <v>100</v>
      </c>
      <c r="E41" s="563" t="s">
        <v>3579</v>
      </c>
      <c r="F41" s="410">
        <f>SUMIF(119:119,E41,120:120)-SUMIF(119:119,C41,120:120)+100</f>
        <v>100</v>
      </c>
      <c r="G41" s="563" t="s">
        <v>3579</v>
      </c>
      <c r="H41" s="384">
        <f>SUMIF(119:119,G41,120:120)-SUMIF(119:119,C41,120:120)+100</f>
        <v>100</v>
      </c>
      <c r="I41" s="563" t="s">
        <v>3579</v>
      </c>
      <c r="J41" s="384">
        <f>SUMIF(119:119,I41,120:120)-SUMIF(119:119,C41,120:120)+100</f>
        <v>100</v>
      </c>
      <c r="K41" s="559">
        <v>2</v>
      </c>
      <c r="L41" s="2719"/>
      <c r="M41" s="2713"/>
      <c r="N41" s="2713"/>
      <c r="O41" s="2713"/>
      <c r="P41" s="3876"/>
      <c r="Q41" s="1349" t="str">
        <f t="shared" si="11"/>
        <v>层高</v>
      </c>
      <c r="R41" s="702" t="s">
        <v>14</v>
      </c>
      <c r="S41" s="703">
        <f t="shared" si="12"/>
        <v>100</v>
      </c>
      <c r="T41" s="702" t="s">
        <v>14</v>
      </c>
      <c r="U41" s="703">
        <f t="shared" si="13"/>
        <v>100</v>
      </c>
      <c r="V41" s="702" t="s">
        <v>14</v>
      </c>
      <c r="W41" s="703">
        <f t="shared" si="14"/>
        <v>100</v>
      </c>
      <c r="X41" s="1352"/>
      <c r="Y41" s="3878"/>
      <c r="Z41" s="1353" t="str">
        <f t="shared" si="15"/>
        <v>层高</v>
      </c>
      <c r="AA41" s="1350">
        <f t="shared" si="3"/>
        <v>1</v>
      </c>
      <c r="AB41" s="1350">
        <f t="shared" si="4"/>
        <v>1</v>
      </c>
      <c r="AC41" s="1959">
        <f t="shared" si="5"/>
        <v>1</v>
      </c>
    </row>
    <row r="42" spans="1:29" s="420" customFormat="1" ht="15" hidden="1">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8"/>
      <c r="M42" s="2720"/>
      <c r="N42" s="2720"/>
      <c r="O42" s="2720"/>
      <c r="P42" s="3876"/>
      <c r="Q42" s="704" t="str">
        <f t="shared" si="11"/>
        <v>单套建筑面积</v>
      </c>
      <c r="R42" s="705" t="s">
        <v>14</v>
      </c>
      <c r="S42" s="706">
        <f t="shared" si="12"/>
        <v>100</v>
      </c>
      <c r="T42" s="705" t="s">
        <v>14</v>
      </c>
      <c r="U42" s="706">
        <f t="shared" si="13"/>
        <v>100</v>
      </c>
      <c r="V42" s="705" t="s">
        <v>14</v>
      </c>
      <c r="W42" s="706">
        <f t="shared" si="14"/>
        <v>100</v>
      </c>
      <c r="X42" s="707"/>
      <c r="Y42" s="3878"/>
      <c r="Z42" s="708" t="str">
        <f t="shared" si="15"/>
        <v>单套建筑面积</v>
      </c>
      <c r="AA42" s="1350">
        <f t="shared" si="3"/>
        <v>1</v>
      </c>
      <c r="AB42" s="1350">
        <f t="shared" si="4"/>
        <v>1</v>
      </c>
      <c r="AC42" s="1959">
        <f t="shared" si="5"/>
        <v>1</v>
      </c>
    </row>
    <row r="43" spans="1:29" ht="15">
      <c r="A43" s="421"/>
      <c r="B43" s="373" t="s">
        <v>1792</v>
      </c>
      <c r="C43" s="409" t="s">
        <v>3572</v>
      </c>
      <c r="D43" s="384">
        <v>100</v>
      </c>
      <c r="E43" s="409" t="s">
        <v>3572</v>
      </c>
      <c r="F43" s="410">
        <f>SUMIF(123:123,E43,124:124)-SUMIF(123:123,C43,124:124)+100</f>
        <v>100</v>
      </c>
      <c r="G43" s="409" t="s">
        <v>3572</v>
      </c>
      <c r="H43" s="384">
        <f>SUMIF(123:123,G43,124:124)-SUMIF(123:123,C43,124:124)+100</f>
        <v>100</v>
      </c>
      <c r="I43" s="409" t="s">
        <v>3572</v>
      </c>
      <c r="J43" s="384">
        <f>SUMIF(123:123,I43,124:124)-SUMIF(123:123,C43,124:124)+100</f>
        <v>100</v>
      </c>
      <c r="K43" s="559">
        <v>2</v>
      </c>
      <c r="L43" s="2719"/>
      <c r="M43" s="2713"/>
      <c r="N43" s="2713"/>
      <c r="O43" s="2713"/>
      <c r="P43" s="3876"/>
      <c r="Q43" s="1349" t="str">
        <f t="shared" si="11"/>
        <v>内部装修</v>
      </c>
      <c r="R43" s="702" t="s">
        <v>14</v>
      </c>
      <c r="S43" s="703">
        <f t="shared" si="12"/>
        <v>100</v>
      </c>
      <c r="T43" s="702" t="s">
        <v>14</v>
      </c>
      <c r="U43" s="703">
        <f t="shared" si="13"/>
        <v>100</v>
      </c>
      <c r="V43" s="702" t="s">
        <v>14</v>
      </c>
      <c r="W43" s="703">
        <f t="shared" si="14"/>
        <v>100</v>
      </c>
      <c r="X43" s="1352"/>
      <c r="Y43" s="3878"/>
      <c r="Z43" s="1353" t="str">
        <f t="shared" si="15"/>
        <v>内部装修</v>
      </c>
      <c r="AA43" s="1350">
        <f t="shared" si="3"/>
        <v>1</v>
      </c>
      <c r="AB43" s="1350">
        <f t="shared" si="4"/>
        <v>1</v>
      </c>
      <c r="AC43" s="1959">
        <f t="shared" si="5"/>
        <v>1</v>
      </c>
    </row>
    <row r="44" spans="1:29" ht="15.75" thickBot="1">
      <c r="A44" s="421"/>
      <c r="B44" s="373" t="s">
        <v>1707</v>
      </c>
      <c r="C44" s="409" t="s">
        <v>3393</v>
      </c>
      <c r="D44" s="384">
        <v>100</v>
      </c>
      <c r="E44" s="409" t="s">
        <v>3393</v>
      </c>
      <c r="F44" s="410">
        <f>SUMIF(125:125,E44,126:126)-SUMIF(125:125,C44,126:126)+100</f>
        <v>100</v>
      </c>
      <c r="G44" s="409" t="s">
        <v>3393</v>
      </c>
      <c r="H44" s="384">
        <f>SUMIF(125:125,G44,126:126)-SUMIF(125:125,C44,126:126)+100</f>
        <v>100</v>
      </c>
      <c r="I44" s="409" t="s">
        <v>3393</v>
      </c>
      <c r="J44" s="384">
        <f>SUMIF(125:125,I44,126:126)-SUMIF(125:125,C44,126:126)+100</f>
        <v>100</v>
      </c>
      <c r="K44" s="559">
        <v>2</v>
      </c>
      <c r="L44" s="2719"/>
      <c r="M44" s="2713"/>
      <c r="N44" s="2713"/>
      <c r="O44" s="2713"/>
      <c r="P44" s="3876"/>
      <c r="Q44" s="1349" t="str">
        <f t="shared" si="11"/>
        <v>内部装修维护情况</v>
      </c>
      <c r="R44" s="702" t="s">
        <v>14</v>
      </c>
      <c r="S44" s="703">
        <f t="shared" si="12"/>
        <v>100</v>
      </c>
      <c r="T44" s="702" t="s">
        <v>14</v>
      </c>
      <c r="U44" s="703">
        <f t="shared" si="13"/>
        <v>100</v>
      </c>
      <c r="V44" s="702" t="s">
        <v>14</v>
      </c>
      <c r="W44" s="703">
        <f t="shared" si="14"/>
        <v>100</v>
      </c>
      <c r="X44" s="1352"/>
      <c r="Y44" s="3878"/>
      <c r="Z44" s="1353" t="str">
        <f t="shared" si="15"/>
        <v>内部装修维护情况</v>
      </c>
      <c r="AA44" s="1350">
        <f t="shared" si="3"/>
        <v>1</v>
      </c>
      <c r="AB44" s="1350">
        <f t="shared" si="4"/>
        <v>1</v>
      </c>
      <c r="AC44" s="1959">
        <f t="shared" si="5"/>
        <v>1</v>
      </c>
    </row>
    <row r="45" spans="1:29" s="107" customFormat="1" ht="15.75" thickTop="1">
      <c r="A45" s="422"/>
      <c r="B45" s="3458" t="s">
        <v>3580</v>
      </c>
      <c r="C45" s="3653" t="s">
        <v>3749</v>
      </c>
      <c r="D45" s="125">
        <v>100</v>
      </c>
      <c r="E45" s="3654" t="s">
        <v>3750</v>
      </c>
      <c r="F45" s="374">
        <f>SUMIF(127:127,E45,128:128)-SUMIF(127:127,C45,128:128)+100</f>
        <v>99</v>
      </c>
      <c r="G45" s="3654" t="s">
        <v>3752</v>
      </c>
      <c r="H45" s="125">
        <f>SUMIF(127:127,G45,128:128)-SUMIF(127:127,C45,128:128)+100</f>
        <v>98</v>
      </c>
      <c r="I45" s="3654" t="s">
        <v>3750</v>
      </c>
      <c r="J45" s="125">
        <f>SUMIF(127:127,I45,128:128)-SUMIF(127:127,C45,128:128)+100</f>
        <v>99</v>
      </c>
      <c r="K45" s="560"/>
      <c r="L45" s="2714"/>
      <c r="M45" s="2715"/>
      <c r="N45" s="2715"/>
      <c r="O45" s="2715"/>
      <c r="P45" s="3876"/>
      <c r="Q45" s="1340" t="str">
        <f t="shared" si="11"/>
        <v>地下面积占比</v>
      </c>
      <c r="R45" s="698" t="s">
        <v>14</v>
      </c>
      <c r="S45" s="699">
        <f t="shared" si="12"/>
        <v>99</v>
      </c>
      <c r="T45" s="698" t="s">
        <v>14</v>
      </c>
      <c r="U45" s="699">
        <f t="shared" si="13"/>
        <v>98</v>
      </c>
      <c r="V45" s="698" t="s">
        <v>14</v>
      </c>
      <c r="W45" s="699">
        <f t="shared" si="14"/>
        <v>99</v>
      </c>
      <c r="X45" s="700"/>
      <c r="Y45" s="3878"/>
      <c r="Z45" s="52" t="str">
        <f t="shared" si="15"/>
        <v>地下面积占比</v>
      </c>
      <c r="AA45" s="701">
        <f t="shared" si="3"/>
        <v>1.0101010101010102</v>
      </c>
      <c r="AB45" s="701">
        <f t="shared" si="4"/>
        <v>1.0204081632653061</v>
      </c>
      <c r="AC45" s="1956">
        <f t="shared" si="5"/>
        <v>1.0101010101010102</v>
      </c>
    </row>
    <row r="46" spans="1:29" ht="15">
      <c r="A46" s="421"/>
      <c r="B46" s="1130">
        <v>111</v>
      </c>
      <c r="C46" s="383">
        <v>0.18</v>
      </c>
      <c r="D46" s="384">
        <v>100</v>
      </c>
      <c r="E46" s="381">
        <v>0.24</v>
      </c>
      <c r="F46" s="410">
        <f>SUMIF(129:129,E46,130:130)-SUMIF(129:129,C46,130:130)+100</f>
        <v>100</v>
      </c>
      <c r="G46" s="381">
        <v>0.27</v>
      </c>
      <c r="H46" s="384">
        <f>SUMIF(129:129,G46,130:130)-SUMIF(129:129,C46,130:130)+100</f>
        <v>100</v>
      </c>
      <c r="I46" s="381">
        <v>0.24</v>
      </c>
      <c r="J46" s="384">
        <f>SUMIF(129:129,I46,130:130)-SUMIF(129:129,C46,130:130)+100</f>
        <v>100</v>
      </c>
      <c r="K46" s="560"/>
      <c r="L46" s="2719"/>
      <c r="M46" s="2713"/>
      <c r="N46" s="2713"/>
      <c r="O46" s="2713"/>
      <c r="P46" s="3876"/>
      <c r="Q46" s="1349">
        <f t="shared" si="11"/>
        <v>111</v>
      </c>
      <c r="R46" s="702" t="s">
        <v>14</v>
      </c>
      <c r="S46" s="703">
        <f t="shared" si="12"/>
        <v>100</v>
      </c>
      <c r="T46" s="702" t="s">
        <v>14</v>
      </c>
      <c r="U46" s="703">
        <f t="shared" si="13"/>
        <v>100</v>
      </c>
      <c r="V46" s="702" t="s">
        <v>14</v>
      </c>
      <c r="W46" s="703">
        <f t="shared" si="14"/>
        <v>100</v>
      </c>
      <c r="X46" s="1352"/>
      <c r="Y46" s="3878"/>
      <c r="Z46" s="1353">
        <f t="shared" si="15"/>
        <v>111</v>
      </c>
      <c r="AA46" s="1350">
        <f t="shared" si="3"/>
        <v>1</v>
      </c>
      <c r="AB46" s="1350">
        <f t="shared" si="4"/>
        <v>1</v>
      </c>
      <c r="AC46" s="1959">
        <f t="shared" si="5"/>
        <v>1</v>
      </c>
    </row>
    <row r="47" spans="1:29" ht="15.75" thickBot="1">
      <c r="A47" s="427"/>
      <c r="B47" s="1892">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9"/>
      <c r="M47" s="2713"/>
      <c r="N47" s="2713"/>
      <c r="O47" s="2713"/>
      <c r="P47" s="3877"/>
      <c r="Q47" s="1349">
        <f t="shared" si="11"/>
        <v>111</v>
      </c>
      <c r="R47" s="702" t="s">
        <v>14</v>
      </c>
      <c r="S47" s="703">
        <f t="shared" si="12"/>
        <v>100</v>
      </c>
      <c r="T47" s="702" t="s">
        <v>14</v>
      </c>
      <c r="U47" s="703">
        <f t="shared" si="13"/>
        <v>100</v>
      </c>
      <c r="V47" s="702" t="s">
        <v>14</v>
      </c>
      <c r="W47" s="703">
        <f t="shared" si="14"/>
        <v>100</v>
      </c>
      <c r="X47" s="1352"/>
      <c r="Y47" s="3879"/>
      <c r="Z47" s="1353">
        <f t="shared" si="15"/>
        <v>111</v>
      </c>
      <c r="AA47" s="1350">
        <f t="shared" si="3"/>
        <v>1</v>
      </c>
      <c r="AB47" s="1350">
        <f t="shared" si="4"/>
        <v>1</v>
      </c>
      <c r="AC47" s="1959">
        <f t="shared" si="5"/>
        <v>1</v>
      </c>
    </row>
    <row r="48" spans="1:29" ht="15">
      <c r="A48" s="428" t="s">
        <v>1708</v>
      </c>
      <c r="B48" s="429"/>
      <c r="C48" s="1151" t="s">
        <v>0</v>
      </c>
      <c r="D48" s="1152"/>
      <c r="E48" s="3471">
        <f>大宗!I16</f>
        <v>48158</v>
      </c>
      <c r="F48" s="1154"/>
      <c r="G48" s="3472">
        <f>大宗!I30</f>
        <v>56726</v>
      </c>
      <c r="H48" s="1156"/>
      <c r="I48" s="3471">
        <f>大宗!I19</f>
        <v>55732</v>
      </c>
      <c r="J48" s="434"/>
      <c r="K48" s="711"/>
      <c r="L48" s="2721"/>
      <c r="M48" s="2713"/>
      <c r="N48" s="2713"/>
      <c r="O48" s="2713"/>
      <c r="P48" s="3882" t="str">
        <f>A48</f>
        <v>成交单价（元/平方米）</v>
      </c>
      <c r="Q48" s="3871"/>
      <c r="R48" s="3872">
        <f>E48</f>
        <v>48158</v>
      </c>
      <c r="S48" s="3872"/>
      <c r="T48" s="3872">
        <f>G48</f>
        <v>56726</v>
      </c>
      <c r="U48" s="3872"/>
      <c r="V48" s="3872">
        <f>I48</f>
        <v>55732</v>
      </c>
      <c r="W48" s="3872"/>
      <c r="X48" s="395"/>
      <c r="Y48" s="709"/>
      <c r="Z48" s="395"/>
      <c r="AA48" s="395"/>
      <c r="AB48" s="395"/>
      <c r="AC48" s="576"/>
    </row>
    <row r="49" spans="1:29" ht="15.75" thickBot="1">
      <c r="A49" s="435" t="s">
        <v>1793</v>
      </c>
      <c r="B49" s="436"/>
      <c r="C49" s="1157">
        <f>R50</f>
        <v>49643</v>
      </c>
      <c r="D49" s="2314" t="s">
        <v>2138</v>
      </c>
      <c r="E49" s="1158">
        <f>R49</f>
        <v>52150</v>
      </c>
      <c r="F49" s="2315"/>
      <c r="G49" s="1157">
        <f>T49</f>
        <v>49649</v>
      </c>
      <c r="H49" s="2315"/>
      <c r="I49" s="1158">
        <f>V49</f>
        <v>47130</v>
      </c>
      <c r="J49" s="2315"/>
      <c r="K49" s="2317">
        <f>F49+H49+J49</f>
        <v>0</v>
      </c>
      <c r="L49" s="2721"/>
      <c r="M49" s="2713"/>
      <c r="N49" s="2713"/>
      <c r="O49" s="2713"/>
      <c r="P49" s="3882" t="str">
        <f>A49</f>
        <v>比较价值（元/平方米）</v>
      </c>
      <c r="Q49" s="3871"/>
      <c r="R49" s="3872">
        <f>IF(F1="售价",ROUND(PRODUCT(R48,AA7:AA47),0),ROUND(PRODUCT(R48,AA7:AA47),1))</f>
        <v>52150</v>
      </c>
      <c r="S49" s="3872"/>
      <c r="T49" s="3872">
        <f>IF(F1="售价",ROUND(PRODUCT(T48,AB7:AB47),0),ROUND(PRODUCT(T48,AB7:AB47),1))</f>
        <v>49649</v>
      </c>
      <c r="U49" s="3872"/>
      <c r="V49" s="3872">
        <f>IF(F1="售价",ROUND(PRODUCT(V48,AC7:AC47),0),ROUND(PRODUCT(V48,AC7:AC47),1))</f>
        <v>47130</v>
      </c>
      <c r="W49" s="3872"/>
      <c r="X49" s="395"/>
      <c r="Y49" s="395"/>
      <c r="Z49" s="395"/>
      <c r="AA49" s="395"/>
      <c r="AB49" s="395"/>
      <c r="AC49" s="576"/>
    </row>
    <row r="50" spans="1:29" ht="15.75" thickBot="1">
      <c r="A50" s="439" t="s">
        <v>1794</v>
      </c>
      <c r="B50" s="440"/>
      <c r="C50" s="1160">
        <f>R50</f>
        <v>49643</v>
      </c>
      <c r="D50" s="1160"/>
      <c r="E50" s="1160"/>
      <c r="F50" s="1160"/>
      <c r="G50" s="1160"/>
      <c r="H50" s="1160"/>
      <c r="I50" s="1160"/>
      <c r="J50" s="441"/>
      <c r="K50" s="712"/>
      <c r="L50" s="2721"/>
      <c r="M50" s="2713"/>
      <c r="N50" s="2713"/>
      <c r="O50" s="2713"/>
      <c r="P50" s="3916" t="str">
        <f>A50</f>
        <v>估价对象XX用房的比较价值（楼面单价，元/平方米）</v>
      </c>
      <c r="Q50" s="3917"/>
      <c r="R50" s="3918">
        <f>IF(F1="售价",ROUND(IF(D49="简单平均",AVERAGE(R49:V49),R49*F49+T49*H49+V49*J49),0),ROUND(IF(D49="简单平均",AVERAGE(R49:V49),R49*F49+T49*H49+V49*J49),1))</f>
        <v>49643</v>
      </c>
      <c r="S50" s="3918"/>
      <c r="T50" s="3918"/>
      <c r="U50" s="3918"/>
      <c r="V50" s="3918"/>
      <c r="W50" s="3918"/>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4" t="s">
        <v>1795</v>
      </c>
      <c r="D53" s="445"/>
      <c r="E53" s="446">
        <f>IF(E48&lt;E49,E49/E48-1,E48/E49-1)</f>
        <v>8.2893807882387094E-2</v>
      </c>
      <c r="F53" s="447" t="str">
        <f>IF(OR(E53&gt;=0.3,E53&lt;=-0.3),"超过30%","")</f>
        <v/>
      </c>
      <c r="G53" s="446">
        <f>IF(G48&lt;G49,G49/G48-1,G48/G49-1)</f>
        <v>0.14254063525952176</v>
      </c>
      <c r="H53" s="447" t="str">
        <f>IF(OR(G53&gt;=0.3,G53&lt;=-0.3),"超过30%","")</f>
        <v/>
      </c>
      <c r="I53" s="446">
        <f>IF(I48&lt;I49,I49/I48-1,I48/I49-1)</f>
        <v>0.18251644387863353</v>
      </c>
      <c r="J53" s="447"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4" t="s">
        <v>1796</v>
      </c>
      <c r="D54" s="448"/>
      <c r="E54" s="446">
        <f>IF(E49&lt;G49,G49/E49-1,E49/G49-1)</f>
        <v>5.0373622832282638E-2</v>
      </c>
      <c r="F54" s="447" t="str">
        <f>IF(OR(E54&gt;=0.2,E54&lt;=-0.2),"超过20%","")</f>
        <v/>
      </c>
      <c r="G54" s="446">
        <f>IF(G49&lt;I49,I49/G49-1,G49/I49-1)</f>
        <v>5.3447910036070523E-2</v>
      </c>
      <c r="H54" s="447" t="str">
        <f>IF(OR(G54&gt;=0.2,G54&lt;=-0.2),"超过20%","")</f>
        <v/>
      </c>
      <c r="I54" s="446">
        <f>IF(I49&lt;E49,E49/I49-1,I49/E49-1)</f>
        <v>0.10651389772968378</v>
      </c>
      <c r="J54" s="447"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49" customFormat="1" ht="13.5" customHeight="1">
      <c r="A55" s="2725"/>
      <c r="B55" s="2725"/>
      <c r="C55" s="444" t="s">
        <v>1797</v>
      </c>
      <c r="D55" s="448"/>
      <c r="E55" s="446">
        <f>IF(E48&lt;G48,G48/E48-1,E48/G48-1)</f>
        <v>0.17791436521450232</v>
      </c>
      <c r="F55" s="447" t="str">
        <f>IF(OR(E55&gt;=0.3,E55&lt;=-0.3),"超过30%","")</f>
        <v/>
      </c>
      <c r="G55" s="446">
        <f>IF(G48&lt;I48,I48/G48-1,G48/I48-1)</f>
        <v>1.7835354912796975E-2</v>
      </c>
      <c r="H55" s="447" t="str">
        <f>IF(OR(G55&gt;=0.3,G55&lt;=-0.3),"超过30%","")</f>
        <v/>
      </c>
      <c r="I55" s="446">
        <f>IF(I48&lt;E48,E48/I48-1,I48/E48-1)</f>
        <v>0.15727397317164327</v>
      </c>
      <c r="J55" s="447"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49"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1" t="s">
        <v>1798</v>
      </c>
      <c r="B58" s="687"/>
      <c r="C58" s="692"/>
      <c r="D58" s="692"/>
      <c r="E58" s="692"/>
      <c r="F58" s="693"/>
      <c r="G58" s="693"/>
      <c r="H58" s="692"/>
      <c r="I58" s="692"/>
      <c r="J58" s="692"/>
      <c r="K58" s="694"/>
      <c r="L58" s="939"/>
      <c r="M58" s="937"/>
      <c r="N58" s="2766"/>
      <c r="O58" s="2766"/>
      <c r="P58" s="2755"/>
      <c r="Q58" s="2736"/>
      <c r="R58" s="2722"/>
      <c r="S58" s="2722"/>
      <c r="T58" s="2722"/>
      <c r="U58" s="2722"/>
      <c r="V58" s="2722"/>
      <c r="W58" s="2722"/>
      <c r="X58" s="2722"/>
      <c r="Y58" s="2722"/>
      <c r="Z58" s="2722"/>
      <c r="AA58" s="2722"/>
      <c r="AB58" s="2722"/>
      <c r="AC58" s="2722"/>
    </row>
    <row r="59" spans="1:29" s="455" customFormat="1" ht="15">
      <c r="A59" s="452" t="s">
        <v>1679</v>
      </c>
      <c r="B59" s="453"/>
      <c r="C59" s="1181" t="str">
        <f>YEAR(C7)&amp;"-"&amp;MONTH(C7)</f>
        <v>2023-1</v>
      </c>
      <c r="D59" s="1182">
        <f>EDATE(C59,-1)</f>
        <v>44896</v>
      </c>
      <c r="E59" s="1182">
        <f>EDATE(D59,-1)</f>
        <v>44866</v>
      </c>
      <c r="F59" s="1182">
        <f t="shared" ref="F59:O59" si="16">EDATE(E59,-1)</f>
        <v>44835</v>
      </c>
      <c r="G59" s="1182">
        <f t="shared" si="16"/>
        <v>44805</v>
      </c>
      <c r="H59" s="1182">
        <f t="shared" si="16"/>
        <v>44774</v>
      </c>
      <c r="I59" s="1182">
        <f t="shared" si="16"/>
        <v>44743</v>
      </c>
      <c r="J59" s="1182">
        <f t="shared" si="16"/>
        <v>44713</v>
      </c>
      <c r="K59" s="1182">
        <f t="shared" si="16"/>
        <v>44682</v>
      </c>
      <c r="L59" s="1182">
        <f t="shared" si="16"/>
        <v>44652</v>
      </c>
      <c r="M59" s="1182">
        <f t="shared" si="16"/>
        <v>44621</v>
      </c>
      <c r="N59" s="1182">
        <f t="shared" si="16"/>
        <v>44593</v>
      </c>
      <c r="O59" s="1182">
        <f t="shared" si="16"/>
        <v>44562</v>
      </c>
      <c r="P59" s="1182">
        <f t="shared" ref="P59" si="17">EDATE(O59,-1)</f>
        <v>44531</v>
      </c>
      <c r="Q59" s="1182">
        <f t="shared" ref="Q59" si="18">EDATE(P59,-1)</f>
        <v>44501</v>
      </c>
      <c r="R59" s="1182">
        <f t="shared" ref="R59" si="19">EDATE(Q59,-1)</f>
        <v>44470</v>
      </c>
      <c r="S59" s="1182">
        <f t="shared" ref="S59" si="20">EDATE(R59,-1)</f>
        <v>44440</v>
      </c>
      <c r="T59" s="1182">
        <f t="shared" ref="T59" si="21">EDATE(S59,-1)</f>
        <v>44409</v>
      </c>
      <c r="U59" s="1182">
        <f t="shared" ref="U59" si="22">EDATE(T59,-1)</f>
        <v>44378</v>
      </c>
      <c r="V59" s="1182">
        <f t="shared" ref="V59" si="23">EDATE(U59,-1)</f>
        <v>44348</v>
      </c>
      <c r="W59" s="2738"/>
      <c r="X59" s="2738"/>
      <c r="Y59" s="2738"/>
      <c r="Z59" s="2738"/>
      <c r="AA59" s="2738"/>
      <c r="AB59" s="2738"/>
      <c r="AC59" s="2738"/>
    </row>
    <row r="60" spans="1:29" s="107" customFormat="1" ht="15">
      <c r="A60" s="456"/>
      <c r="B60" s="457"/>
      <c r="C60" s="1180">
        <v>100</v>
      </c>
      <c r="D60" s="3449">
        <v>100</v>
      </c>
      <c r="E60" s="3449">
        <v>100</v>
      </c>
      <c r="F60" s="3449">
        <v>99</v>
      </c>
      <c r="G60" s="3449">
        <v>100</v>
      </c>
      <c r="H60" s="3449">
        <v>100</v>
      </c>
      <c r="I60" s="3449">
        <v>100</v>
      </c>
      <c r="J60" s="3449">
        <v>100</v>
      </c>
      <c r="K60" s="3449">
        <v>100</v>
      </c>
      <c r="L60" s="3449">
        <v>100</v>
      </c>
      <c r="M60" s="3449">
        <v>100</v>
      </c>
      <c r="N60" s="3449">
        <v>100</v>
      </c>
      <c r="O60" s="3449">
        <v>100</v>
      </c>
      <c r="P60" s="3449">
        <v>100</v>
      </c>
      <c r="Q60" s="3449">
        <v>100</v>
      </c>
      <c r="R60" s="3449">
        <v>100</v>
      </c>
      <c r="S60" s="3449">
        <v>98</v>
      </c>
      <c r="T60" s="3449">
        <v>100</v>
      </c>
      <c r="U60" s="3449">
        <v>100</v>
      </c>
      <c r="V60" s="3449">
        <v>98</v>
      </c>
      <c r="W60" s="2658"/>
      <c r="X60" s="2658"/>
      <c r="Y60" s="2658"/>
      <c r="Z60" s="2658"/>
      <c r="AA60" s="2658"/>
      <c r="AB60" s="2658"/>
      <c r="AC60" s="2658"/>
    </row>
    <row r="61" spans="1:29" s="107" customFormat="1" ht="15.75" thickBot="1">
      <c r="A61" s="462" t="s">
        <v>1716</v>
      </c>
      <c r="B61" s="463"/>
      <c r="C61" s="464">
        <v>100</v>
      </c>
      <c r="D61" s="465">
        <v>100</v>
      </c>
      <c r="E61" s="465">
        <v>100</v>
      </c>
      <c r="F61" s="465">
        <v>100</v>
      </c>
      <c r="G61" s="465">
        <v>100</v>
      </c>
      <c r="H61" s="465">
        <v>100</v>
      </c>
      <c r="I61" s="465">
        <v>100</v>
      </c>
      <c r="J61" s="465">
        <v>100</v>
      </c>
      <c r="K61" s="465">
        <v>100</v>
      </c>
      <c r="L61" s="465">
        <v>100</v>
      </c>
      <c r="M61" s="465">
        <v>100</v>
      </c>
      <c r="N61" s="465">
        <v>100</v>
      </c>
      <c r="O61" s="465">
        <v>100</v>
      </c>
      <c r="P61" s="465">
        <v>100</v>
      </c>
      <c r="Q61" s="465">
        <v>100</v>
      </c>
      <c r="R61" s="465">
        <v>100</v>
      </c>
      <c r="S61" s="465">
        <v>100</v>
      </c>
      <c r="T61" s="465">
        <v>100</v>
      </c>
      <c r="U61" s="465">
        <v>100</v>
      </c>
      <c r="V61" s="465">
        <v>100</v>
      </c>
      <c r="W61" s="2658"/>
      <c r="X61" s="2658"/>
      <c r="Y61" s="2658"/>
      <c r="Z61" s="2658"/>
      <c r="AA61" s="2658"/>
      <c r="AB61" s="2658"/>
      <c r="AC61" s="2658"/>
    </row>
    <row r="62" spans="1:29" s="107" customFormat="1" ht="15">
      <c r="A62" s="468" t="s">
        <v>1681</v>
      </c>
      <c r="B62" s="457"/>
      <c r="C62" s="469" t="s">
        <v>1776</v>
      </c>
      <c r="D62" s="3630" t="s">
        <v>3735</v>
      </c>
      <c r="E62" s="470"/>
      <c r="F62" s="470"/>
      <c r="G62" s="470"/>
      <c r="H62" s="470"/>
      <c r="I62" s="470"/>
      <c r="J62" s="470"/>
      <c r="K62" s="470"/>
      <c r="L62" s="471"/>
      <c r="M62" s="472"/>
      <c r="N62" s="2749"/>
      <c r="O62" s="2749"/>
      <c r="P62" s="2758"/>
      <c r="Q62" s="2736"/>
      <c r="R62" s="2658"/>
      <c r="S62" s="2658"/>
      <c r="T62" s="2658"/>
      <c r="U62" s="2658"/>
      <c r="V62" s="2658"/>
      <c r="W62" s="2658"/>
      <c r="X62" s="2658"/>
      <c r="Y62" s="2658"/>
      <c r="Z62" s="2658"/>
      <c r="AA62" s="2658"/>
      <c r="AB62" s="2658"/>
      <c r="AC62" s="2658"/>
    </row>
    <row r="63" spans="1:29" s="107" customFormat="1" ht="15.75" thickBot="1">
      <c r="A63" s="468"/>
      <c r="B63" s="457"/>
      <c r="C63" s="458">
        <v>100</v>
      </c>
      <c r="D63" s="3641">
        <v>80</v>
      </c>
      <c r="E63" s="459"/>
      <c r="F63" s="459"/>
      <c r="G63" s="459"/>
      <c r="H63" s="459"/>
      <c r="I63" s="459"/>
      <c r="J63" s="459"/>
      <c r="K63" s="459"/>
      <c r="L63" s="459"/>
      <c r="M63" s="461"/>
      <c r="N63" s="2749"/>
      <c r="O63" s="2749"/>
      <c r="P63" s="2757"/>
      <c r="Q63" s="2736"/>
      <c r="R63" s="2658"/>
      <c r="S63" s="2658"/>
      <c r="T63" s="2658"/>
      <c r="U63" s="2658"/>
      <c r="V63" s="2658"/>
      <c r="W63" s="2658"/>
      <c r="X63" s="2658"/>
      <c r="Y63" s="2658"/>
      <c r="Z63" s="2658"/>
      <c r="AA63" s="2658"/>
      <c r="AB63" s="2658"/>
      <c r="AC63" s="2658"/>
    </row>
    <row r="64" spans="1:29">
      <c r="A64" s="474" t="s">
        <v>1719</v>
      </c>
      <c r="B64" s="475" t="s">
        <v>1685</v>
      </c>
      <c r="C64" s="476" t="str">
        <f>C9</f>
        <v>办公</v>
      </c>
      <c r="D64" s="477"/>
      <c r="E64" s="477"/>
      <c r="F64" s="477"/>
      <c r="G64" s="477"/>
      <c r="H64" s="477"/>
      <c r="I64" s="477"/>
      <c r="J64" s="477"/>
      <c r="K64" s="478"/>
      <c r="L64" s="479"/>
      <c r="M64" s="480"/>
      <c r="N64" s="2750"/>
      <c r="O64" s="2750"/>
      <c r="P64" s="2759"/>
      <c r="Q64" s="2736"/>
      <c r="R64" s="2722"/>
      <c r="S64" s="2722"/>
      <c r="T64" s="2722"/>
      <c r="U64" s="2722"/>
      <c r="V64" s="2722"/>
      <c r="W64" s="2722"/>
      <c r="X64" s="2722"/>
      <c r="Y64" s="2722"/>
      <c r="Z64" s="2722"/>
      <c r="AA64" s="2722"/>
      <c r="AB64" s="2722"/>
      <c r="AC64" s="2722"/>
    </row>
    <row r="65" spans="1:29" ht="15.75" thickBot="1">
      <c r="A65" s="481"/>
      <c r="B65" s="482"/>
      <c r="C65" s="483">
        <v>100</v>
      </c>
      <c r="D65" s="483"/>
      <c r="E65" s="483"/>
      <c r="F65" s="483"/>
      <c r="G65" s="483"/>
      <c r="H65" s="483"/>
      <c r="I65" s="483"/>
      <c r="J65" s="483"/>
      <c r="K65" s="483"/>
      <c r="L65" s="483"/>
      <c r="M65" s="484"/>
      <c r="N65" s="2751"/>
      <c r="O65" s="2751"/>
      <c r="P65" s="2759"/>
      <c r="Q65" s="2736"/>
      <c r="R65" s="2722"/>
      <c r="S65" s="2722"/>
      <c r="T65" s="2722"/>
      <c r="U65" s="2722"/>
      <c r="V65" s="2722"/>
      <c r="W65" s="2722"/>
      <c r="X65" s="2722"/>
      <c r="Y65" s="2722"/>
      <c r="Z65" s="2722"/>
      <c r="AA65" s="2722"/>
      <c r="AB65" s="2722"/>
      <c r="AC65" s="2722"/>
    </row>
    <row r="66" spans="1:29" ht="27.75" thickTop="1">
      <c r="A66" s="481"/>
      <c r="B66" s="485" t="s">
        <v>1688</v>
      </c>
      <c r="C66" s="3433" t="s">
        <v>3755</v>
      </c>
      <c r="D66" s="3433" t="s">
        <v>3753</v>
      </c>
      <c r="E66" s="3432" t="s">
        <v>3756</v>
      </c>
      <c r="F66" s="3432" t="s">
        <v>3754</v>
      </c>
      <c r="G66" s="530"/>
      <c r="H66" s="530"/>
      <c r="I66" s="530"/>
      <c r="J66" s="530"/>
      <c r="K66" s="531"/>
      <c r="L66" s="532"/>
      <c r="M66" s="533"/>
      <c r="N66" s="2750"/>
      <c r="O66" s="2750"/>
      <c r="P66" s="2759"/>
      <c r="Q66" s="2736"/>
      <c r="R66" s="2722"/>
      <c r="S66" s="2722"/>
      <c r="T66" s="2722"/>
      <c r="U66" s="2722"/>
      <c r="V66" s="2722"/>
      <c r="W66" s="2722"/>
      <c r="X66" s="2722"/>
      <c r="Y66" s="2722"/>
      <c r="Z66" s="2722"/>
      <c r="AA66" s="2722"/>
      <c r="AB66" s="2722"/>
      <c r="AC66" s="2722"/>
    </row>
    <row r="67" spans="1:29" ht="15.75" thickBot="1">
      <c r="A67" s="481"/>
      <c r="B67" s="490"/>
      <c r="C67" s="483">
        <v>105</v>
      </c>
      <c r="D67" s="483">
        <v>100</v>
      </c>
      <c r="E67" s="3642">
        <v>95</v>
      </c>
      <c r="F67" s="3642">
        <v>90</v>
      </c>
      <c r="G67" s="483"/>
      <c r="H67" s="483"/>
      <c r="I67" s="483"/>
      <c r="J67" s="483"/>
      <c r="K67" s="483"/>
      <c r="L67" s="483"/>
      <c r="M67" s="484"/>
      <c r="N67" s="2751"/>
      <c r="O67" s="2751"/>
      <c r="P67" s="2759"/>
      <c r="Q67" s="2736"/>
      <c r="R67" s="2722"/>
      <c r="S67" s="2722"/>
      <c r="T67" s="2722"/>
      <c r="U67" s="2722"/>
      <c r="V67" s="2722"/>
      <c r="W67" s="2722"/>
      <c r="X67" s="2722"/>
      <c r="Y67" s="2722"/>
      <c r="Z67" s="2722"/>
      <c r="AA67" s="2722"/>
      <c r="AB67" s="2722"/>
      <c r="AC67" s="2722"/>
    </row>
    <row r="68" spans="1:29" ht="15.75" thickTop="1">
      <c r="A68" s="481"/>
      <c r="B68" s="493" t="s">
        <v>1689</v>
      </c>
      <c r="C68" s="494" t="str">
        <f>C69&amp;"（含）"&amp;"-"&amp;D69</f>
        <v>0（含）-1</v>
      </c>
      <c r="D68" s="494" t="str">
        <f t="shared" ref="D68:L68" si="24">D69&amp;"（含）"&amp;"-"&amp;E69</f>
        <v>1（含）-2</v>
      </c>
      <c r="E68" s="494" t="str">
        <f t="shared" si="24"/>
        <v>2（含）-3</v>
      </c>
      <c r="F68" s="494" t="str">
        <f t="shared" si="24"/>
        <v>3（含）-4</v>
      </c>
      <c r="G68" s="494" t="str">
        <f t="shared" si="24"/>
        <v>4（含）-</v>
      </c>
      <c r="H68" s="494" t="str">
        <f t="shared" si="24"/>
        <v>（含）-</v>
      </c>
      <c r="I68" s="494" t="str">
        <f t="shared" si="24"/>
        <v>（含）-</v>
      </c>
      <c r="J68" s="494" t="str">
        <f t="shared" si="24"/>
        <v>（含）-</v>
      </c>
      <c r="K68" s="494" t="str">
        <f t="shared" si="24"/>
        <v>（含）-</v>
      </c>
      <c r="L68" s="494" t="str">
        <f t="shared" si="24"/>
        <v>（含）-</v>
      </c>
      <c r="M68" s="397"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1"/>
      <c r="B69" s="495"/>
      <c r="C69" s="3450">
        <v>0</v>
      </c>
      <c r="D69" s="3450">
        <v>1</v>
      </c>
      <c r="E69" s="3450">
        <v>2</v>
      </c>
      <c r="F69" s="3450">
        <v>3</v>
      </c>
      <c r="G69" s="3450">
        <v>4</v>
      </c>
      <c r="H69" s="496"/>
      <c r="I69" s="496"/>
      <c r="J69" s="496"/>
      <c r="K69" s="497"/>
      <c r="L69" s="498"/>
      <c r="M69" s="499"/>
      <c r="N69" s="2750"/>
      <c r="O69" s="2750"/>
      <c r="P69" s="2759"/>
      <c r="Q69" s="2736"/>
      <c r="R69" s="2722"/>
      <c r="S69" s="2722"/>
      <c r="T69" s="2722"/>
      <c r="U69" s="2722"/>
      <c r="V69" s="2722"/>
      <c r="W69" s="2722"/>
      <c r="X69" s="2722"/>
      <c r="Y69" s="2722"/>
      <c r="Z69" s="2722"/>
      <c r="AA69" s="2722"/>
      <c r="AB69" s="2722"/>
      <c r="AC69" s="2722"/>
    </row>
    <row r="70" spans="1:29" ht="15.75" thickBot="1">
      <c r="A70" s="481"/>
      <c r="B70" s="482"/>
      <c r="C70" s="491">
        <v>100</v>
      </c>
      <c r="D70" s="491">
        <f t="shared" ref="D70:M70" si="25">C70-$K11</f>
        <v>100</v>
      </c>
      <c r="E70" s="491">
        <f t="shared" si="25"/>
        <v>100</v>
      </c>
      <c r="F70" s="491">
        <f t="shared" si="25"/>
        <v>100</v>
      </c>
      <c r="G70" s="491">
        <f t="shared" si="25"/>
        <v>100</v>
      </c>
      <c r="H70" s="491">
        <f t="shared" si="25"/>
        <v>100</v>
      </c>
      <c r="I70" s="491">
        <f t="shared" si="25"/>
        <v>100</v>
      </c>
      <c r="J70" s="491">
        <f t="shared" si="25"/>
        <v>100</v>
      </c>
      <c r="K70" s="491">
        <f t="shared" si="25"/>
        <v>100</v>
      </c>
      <c r="L70" s="491">
        <f t="shared" si="25"/>
        <v>100</v>
      </c>
      <c r="M70" s="492">
        <f t="shared" si="25"/>
        <v>100</v>
      </c>
      <c r="N70" s="2751"/>
      <c r="O70" s="2751"/>
      <c r="P70" s="2759"/>
      <c r="Q70" s="2736"/>
      <c r="R70" s="2722"/>
      <c r="S70" s="2722"/>
      <c r="T70" s="2722"/>
      <c r="U70" s="2722"/>
      <c r="V70" s="2722"/>
      <c r="W70" s="2722"/>
      <c r="X70" s="2722"/>
      <c r="Y70" s="2722"/>
      <c r="Z70" s="2722"/>
      <c r="AA70" s="2722"/>
      <c r="AB70" s="2722"/>
      <c r="AC70" s="2722"/>
    </row>
    <row r="71" spans="1:29" s="420" customFormat="1" ht="29.25" thickTop="1">
      <c r="A71" s="500"/>
      <c r="B71" s="485" t="str">
        <f>B12</f>
        <v>项目/楼宇产权单一性</v>
      </c>
      <c r="C71" s="3644" t="s">
        <v>3747</v>
      </c>
      <c r="D71" s="3644" t="s">
        <v>3748</v>
      </c>
      <c r="E71" s="501"/>
      <c r="F71" s="501"/>
      <c r="G71" s="501"/>
      <c r="H71" s="502"/>
      <c r="I71" s="502"/>
      <c r="J71" s="502"/>
      <c r="K71" s="502"/>
      <c r="L71" s="503"/>
      <c r="M71" s="504"/>
      <c r="N71" s="2752"/>
      <c r="O71" s="2752"/>
      <c r="P71" s="2760"/>
      <c r="Q71" s="2743"/>
      <c r="R71" s="2744"/>
      <c r="S71" s="2744"/>
      <c r="T71" s="2744"/>
      <c r="U71" s="2744"/>
      <c r="V71" s="2744"/>
      <c r="W71" s="2744"/>
      <c r="X71" s="2744"/>
      <c r="Y71" s="2744"/>
      <c r="Z71" s="2744"/>
      <c r="AA71" s="2744"/>
      <c r="AB71" s="2744"/>
      <c r="AC71" s="2744"/>
    </row>
    <row r="72" spans="1:29" s="420" customFormat="1" ht="15.75" thickBot="1">
      <c r="A72" s="500"/>
      <c r="B72" s="490"/>
      <c r="C72" s="507">
        <v>100</v>
      </c>
      <c r="D72" s="483">
        <v>95</v>
      </c>
      <c r="E72" s="483"/>
      <c r="F72" s="483"/>
      <c r="G72" s="483"/>
      <c r="H72" s="483"/>
      <c r="I72" s="483"/>
      <c r="J72" s="483"/>
      <c r="K72" s="483"/>
      <c r="L72" s="483"/>
      <c r="M72" s="484"/>
      <c r="N72" s="2751"/>
      <c r="O72" s="2751"/>
      <c r="P72" s="2760"/>
      <c r="Q72" s="2743"/>
      <c r="R72" s="2744"/>
      <c r="S72" s="2744"/>
      <c r="T72" s="2744"/>
      <c r="U72" s="2744"/>
      <c r="V72" s="2744"/>
      <c r="W72" s="2744"/>
      <c r="X72" s="2744"/>
      <c r="Y72" s="2744"/>
      <c r="Z72" s="2744"/>
      <c r="AA72" s="2744"/>
      <c r="AB72" s="2744"/>
      <c r="AC72" s="2744"/>
    </row>
    <row r="73" spans="1:29" s="420" customFormat="1" ht="15.75" thickTop="1">
      <c r="A73" s="500"/>
      <c r="B73" s="485">
        <f>B13</f>
        <v>111</v>
      </c>
      <c r="C73" s="501"/>
      <c r="D73" s="501"/>
      <c r="E73" s="501"/>
      <c r="F73" s="501"/>
      <c r="G73" s="501"/>
      <c r="H73" s="502"/>
      <c r="I73" s="502"/>
      <c r="J73" s="502"/>
      <c r="K73" s="502"/>
      <c r="L73" s="503"/>
      <c r="M73" s="504"/>
      <c r="N73" s="2752"/>
      <c r="O73" s="2752"/>
      <c r="P73" s="2761"/>
      <c r="Q73" s="2746"/>
      <c r="R73" s="2744"/>
      <c r="S73" s="2744"/>
      <c r="T73" s="2744"/>
      <c r="U73" s="2744"/>
      <c r="V73" s="2744"/>
      <c r="W73" s="2744"/>
      <c r="X73" s="2744"/>
      <c r="Y73" s="2744"/>
      <c r="Z73" s="2744"/>
      <c r="AA73" s="2744"/>
      <c r="AB73" s="2744"/>
      <c r="AC73" s="2744"/>
    </row>
    <row r="74" spans="1:29" s="420" customFormat="1" ht="15.75" thickBot="1">
      <c r="A74" s="500"/>
      <c r="B74" s="490"/>
      <c r="C74" s="507"/>
      <c r="D74" s="507"/>
      <c r="E74" s="507"/>
      <c r="F74" s="507"/>
      <c r="G74" s="507"/>
      <c r="H74" s="509"/>
      <c r="I74" s="509"/>
      <c r="J74" s="509"/>
      <c r="K74" s="509"/>
      <c r="L74" s="509"/>
      <c r="M74" s="510"/>
      <c r="N74" s="2752"/>
      <c r="O74" s="2752"/>
      <c r="P74" s="2760"/>
      <c r="Q74" s="2743"/>
      <c r="R74" s="2744"/>
      <c r="S74" s="2744"/>
      <c r="T74" s="2744"/>
      <c r="U74" s="2744"/>
      <c r="V74" s="2744"/>
      <c r="W74" s="2744"/>
      <c r="X74" s="2744"/>
      <c r="Y74" s="2744"/>
      <c r="Z74" s="2744"/>
      <c r="AA74" s="2744"/>
      <c r="AB74" s="2744"/>
      <c r="AC74" s="2744"/>
    </row>
    <row r="75" spans="1:29" s="420" customFormat="1" ht="15.75" thickTop="1">
      <c r="A75" s="500"/>
      <c r="B75" s="493">
        <f>B14</f>
        <v>111</v>
      </c>
      <c r="C75" s="470"/>
      <c r="D75" s="470"/>
      <c r="E75" s="470"/>
      <c r="F75" s="470"/>
      <c r="G75" s="470"/>
      <c r="H75" s="511"/>
      <c r="I75" s="511"/>
      <c r="J75" s="511"/>
      <c r="K75" s="511"/>
      <c r="L75" s="512"/>
      <c r="M75" s="513"/>
      <c r="N75" s="2752"/>
      <c r="O75" s="2752"/>
      <c r="P75" s="2762"/>
      <c r="Q75" s="2743"/>
      <c r="R75" s="2744"/>
      <c r="S75" s="2744"/>
      <c r="T75" s="2744"/>
      <c r="U75" s="2744"/>
      <c r="V75" s="2744"/>
      <c r="W75" s="2744"/>
      <c r="X75" s="2744"/>
      <c r="Y75" s="2744"/>
      <c r="Z75" s="2744"/>
      <c r="AA75" s="2744"/>
      <c r="AB75" s="2744"/>
      <c r="AC75" s="2744"/>
    </row>
    <row r="76" spans="1:29" s="420" customFormat="1" ht="15.75" thickBot="1">
      <c r="A76" s="515"/>
      <c r="B76" s="516"/>
      <c r="C76" s="517"/>
      <c r="D76" s="517"/>
      <c r="E76" s="517"/>
      <c r="F76" s="517"/>
      <c r="G76" s="517"/>
      <c r="H76" s="518"/>
      <c r="I76" s="518"/>
      <c r="J76" s="518"/>
      <c r="K76" s="518"/>
      <c r="L76" s="518"/>
      <c r="M76" s="519"/>
      <c r="N76" s="2752"/>
      <c r="O76" s="2752"/>
      <c r="P76" s="2760"/>
      <c r="Q76" s="2743"/>
      <c r="R76" s="2744"/>
      <c r="S76" s="2744"/>
      <c r="T76" s="2744"/>
      <c r="U76" s="2744"/>
      <c r="V76" s="2744"/>
      <c r="W76" s="2744"/>
      <c r="X76" s="2744"/>
      <c r="Y76" s="2744"/>
      <c r="Z76" s="2744"/>
      <c r="AA76" s="2744"/>
      <c r="AB76" s="2744"/>
      <c r="AC76" s="2744"/>
    </row>
    <row r="77" spans="1:29">
      <c r="A77" s="474" t="s">
        <v>1690</v>
      </c>
      <c r="B77" s="475" t="s">
        <v>1821</v>
      </c>
      <c r="C77" s="520" t="s">
        <v>1721</v>
      </c>
      <c r="D77" s="520" t="s">
        <v>1722</v>
      </c>
      <c r="E77" s="520" t="s">
        <v>1723</v>
      </c>
      <c r="F77" s="520" t="s">
        <v>1724</v>
      </c>
      <c r="G77" s="520" t="s">
        <v>1725</v>
      </c>
      <c r="H77" s="476"/>
      <c r="I77" s="476"/>
      <c r="J77" s="476"/>
      <c r="K77" s="521"/>
      <c r="L77" s="522"/>
      <c r="M77" s="523"/>
      <c r="N77" s="2750"/>
      <c r="O77" s="2750"/>
      <c r="P77" s="2763"/>
      <c r="Q77" s="2736"/>
      <c r="R77" s="2722"/>
      <c r="S77" s="2722"/>
      <c r="T77" s="2722"/>
      <c r="U77" s="2722"/>
      <c r="V77" s="2722"/>
      <c r="W77" s="2722"/>
      <c r="X77" s="2722"/>
      <c r="Y77" s="2722"/>
      <c r="Z77" s="2722"/>
      <c r="AA77" s="2722"/>
      <c r="AB77" s="2722"/>
      <c r="AC77" s="2722"/>
    </row>
    <row r="78" spans="1:29" ht="15.75" thickBot="1">
      <c r="A78" s="481"/>
      <c r="B78" s="490"/>
      <c r="C78" s="491">
        <v>100</v>
      </c>
      <c r="D78" s="491">
        <f>C78-$K15</f>
        <v>95</v>
      </c>
      <c r="E78" s="491">
        <f>D78-$K15</f>
        <v>90</v>
      </c>
      <c r="F78" s="491">
        <f>E78-$K15</f>
        <v>85</v>
      </c>
      <c r="G78" s="491">
        <f>F78-$K15</f>
        <v>80</v>
      </c>
      <c r="H78" s="491"/>
      <c r="I78" s="491"/>
      <c r="J78" s="491"/>
      <c r="K78" s="491"/>
      <c r="L78" s="491"/>
      <c r="M78" s="492"/>
      <c r="N78" s="2751"/>
      <c r="O78" s="2751"/>
      <c r="P78" s="2759"/>
      <c r="Q78" s="2736"/>
      <c r="R78" s="2722"/>
      <c r="S78" s="2722"/>
      <c r="T78" s="2722"/>
      <c r="U78" s="2722"/>
      <c r="V78" s="2722"/>
      <c r="W78" s="2722"/>
      <c r="X78" s="2722"/>
      <c r="Y78" s="2722"/>
      <c r="Z78" s="2722"/>
      <c r="AA78" s="2722"/>
      <c r="AB78" s="2722"/>
      <c r="AC78" s="2722"/>
    </row>
    <row r="79" spans="1:29" ht="15.75" thickTop="1">
      <c r="A79" s="481"/>
      <c r="B79" s="485" t="s">
        <v>1726</v>
      </c>
      <c r="C79" s="525" t="s">
        <v>1721</v>
      </c>
      <c r="D79" s="525" t="s">
        <v>1722</v>
      </c>
      <c r="E79" s="525" t="s">
        <v>1723</v>
      </c>
      <c r="F79" s="525" t="s">
        <v>1724</v>
      </c>
      <c r="G79" s="525" t="s">
        <v>1725</v>
      </c>
      <c r="H79" s="486"/>
      <c r="I79" s="486"/>
      <c r="J79" s="486"/>
      <c r="K79" s="487"/>
      <c r="L79" s="488"/>
      <c r="M79" s="489"/>
      <c r="N79" s="2750"/>
      <c r="O79" s="2750"/>
      <c r="P79" s="2759"/>
      <c r="Q79" s="2736"/>
      <c r="R79" s="2722"/>
      <c r="S79" s="2722"/>
      <c r="T79" s="2722"/>
      <c r="U79" s="2722"/>
      <c r="V79" s="2722"/>
      <c r="W79" s="2722"/>
      <c r="X79" s="2722"/>
      <c r="Y79" s="2722"/>
      <c r="Z79" s="2722"/>
      <c r="AA79" s="2722"/>
      <c r="AB79" s="2722"/>
      <c r="AC79" s="2722"/>
    </row>
    <row r="80" spans="1:29" ht="15.75" thickBot="1">
      <c r="A80" s="481"/>
      <c r="B80" s="490"/>
      <c r="C80" s="491">
        <v>100</v>
      </c>
      <c r="D80" s="491">
        <f>C80-$K17</f>
        <v>95</v>
      </c>
      <c r="E80" s="491">
        <f>D80-$K17</f>
        <v>90</v>
      </c>
      <c r="F80" s="491">
        <f>E80-$K17</f>
        <v>85</v>
      </c>
      <c r="G80" s="491">
        <f>F80-$K17</f>
        <v>80</v>
      </c>
      <c r="H80" s="491"/>
      <c r="I80" s="491"/>
      <c r="J80" s="491"/>
      <c r="K80" s="491"/>
      <c r="L80" s="491"/>
      <c r="M80" s="492"/>
      <c r="N80" s="2751"/>
      <c r="O80" s="2751"/>
      <c r="P80" s="2759"/>
      <c r="Q80" s="2736"/>
      <c r="R80" s="2722"/>
      <c r="S80" s="2722"/>
      <c r="T80" s="2722"/>
      <c r="U80" s="2722"/>
      <c r="V80" s="2722"/>
      <c r="W80" s="2722"/>
      <c r="X80" s="2722"/>
      <c r="Y80" s="2722"/>
      <c r="Z80" s="2722"/>
      <c r="AA80" s="2722"/>
      <c r="AB80" s="2722"/>
      <c r="AC80" s="2722"/>
    </row>
    <row r="81" spans="1:29" ht="15.75" thickTop="1">
      <c r="A81" s="481"/>
      <c r="B81" s="485" t="s">
        <v>1727</v>
      </c>
      <c r="C81" s="525" t="s">
        <v>1721</v>
      </c>
      <c r="D81" s="525" t="s">
        <v>1722</v>
      </c>
      <c r="E81" s="525" t="s">
        <v>1723</v>
      </c>
      <c r="F81" s="525" t="s">
        <v>1724</v>
      </c>
      <c r="G81" s="525" t="s">
        <v>1725</v>
      </c>
      <c r="H81" s="486"/>
      <c r="I81" s="486"/>
      <c r="J81" s="486"/>
      <c r="K81" s="487"/>
      <c r="L81" s="488"/>
      <c r="M81" s="489"/>
      <c r="N81" s="2750"/>
      <c r="O81" s="2750"/>
      <c r="P81" s="2759"/>
      <c r="Q81" s="2736"/>
      <c r="R81" s="2722"/>
      <c r="S81" s="2722"/>
      <c r="T81" s="2722"/>
      <c r="U81" s="2722"/>
      <c r="V81" s="2722"/>
      <c r="W81" s="2722"/>
      <c r="X81" s="2722"/>
      <c r="Y81" s="2722"/>
      <c r="Z81" s="2722"/>
      <c r="AA81" s="2722"/>
      <c r="AB81" s="2722"/>
      <c r="AC81" s="2722"/>
    </row>
    <row r="82" spans="1:29" ht="15.75" thickBot="1">
      <c r="A82" s="481"/>
      <c r="B82" s="490"/>
      <c r="C82" s="491">
        <v>100</v>
      </c>
      <c r="D82" s="491">
        <f>C82-$K19</f>
        <v>95</v>
      </c>
      <c r="E82" s="491">
        <f>D82-$K19</f>
        <v>90</v>
      </c>
      <c r="F82" s="491">
        <f>E82-$K19</f>
        <v>85</v>
      </c>
      <c r="G82" s="491">
        <f>F82-$K19</f>
        <v>80</v>
      </c>
      <c r="H82" s="491"/>
      <c r="I82" s="491"/>
      <c r="J82" s="491"/>
      <c r="K82" s="491"/>
      <c r="L82" s="491"/>
      <c r="M82" s="492"/>
      <c r="N82" s="2751"/>
      <c r="O82" s="2751"/>
      <c r="P82" s="2759"/>
      <c r="Q82" s="2736"/>
      <c r="R82" s="2722"/>
      <c r="S82" s="2722"/>
      <c r="T82" s="2722"/>
      <c r="U82" s="2722"/>
      <c r="V82" s="2722"/>
      <c r="W82" s="2722"/>
      <c r="X82" s="2722"/>
      <c r="Y82" s="2722"/>
      <c r="Z82" s="2722"/>
      <c r="AA82" s="2722"/>
      <c r="AB82" s="2722"/>
      <c r="AC82" s="2722"/>
    </row>
    <row r="83" spans="1:29" ht="15.75" thickTop="1">
      <c r="A83" s="481"/>
      <c r="B83" s="493" t="s">
        <v>1813</v>
      </c>
      <c r="C83" s="606" t="s">
        <v>1799</v>
      </c>
      <c r="D83" s="606" t="s">
        <v>1800</v>
      </c>
      <c r="E83" s="606" t="s">
        <v>1801</v>
      </c>
      <c r="F83" s="606" t="s">
        <v>1802</v>
      </c>
      <c r="G83" s="606" t="s">
        <v>1803</v>
      </c>
      <c r="H83" s="486"/>
      <c r="I83" s="486"/>
      <c r="J83" s="486"/>
      <c r="K83" s="486"/>
      <c r="L83" s="486"/>
      <c r="M83" s="1126"/>
      <c r="N83" s="2751"/>
      <c r="O83" s="2751"/>
      <c r="P83" s="2759"/>
      <c r="Q83" s="2736"/>
      <c r="R83" s="2722"/>
      <c r="S83" s="2722"/>
      <c r="T83" s="2722"/>
      <c r="U83" s="2722"/>
      <c r="V83" s="2722"/>
      <c r="W83" s="2722"/>
      <c r="X83" s="2722"/>
      <c r="Y83" s="2722"/>
      <c r="Z83" s="2722"/>
      <c r="AA83" s="2722"/>
      <c r="AB83" s="2722"/>
      <c r="AC83" s="2722"/>
    </row>
    <row r="84" spans="1:29" ht="15.75" thickBot="1">
      <c r="A84" s="481"/>
      <c r="B84" s="493"/>
      <c r="C84" s="491">
        <v>100</v>
      </c>
      <c r="D84" s="491">
        <f>C84-$K21</f>
        <v>99</v>
      </c>
      <c r="E84" s="491">
        <f>D84-$K21</f>
        <v>98</v>
      </c>
      <c r="F84" s="491">
        <f>E84-$K21</f>
        <v>97</v>
      </c>
      <c r="G84" s="491">
        <f>F84-$K21</f>
        <v>96</v>
      </c>
      <c r="H84" s="606"/>
      <c r="I84" s="606"/>
      <c r="J84" s="606"/>
      <c r="K84" s="606"/>
      <c r="L84" s="606"/>
      <c r="M84" s="399"/>
      <c r="N84" s="2751"/>
      <c r="O84" s="2751"/>
      <c r="P84" s="2759"/>
      <c r="Q84" s="2736"/>
      <c r="R84" s="2722"/>
      <c r="S84" s="2722"/>
      <c r="T84" s="2722"/>
      <c r="U84" s="2722"/>
      <c r="V84" s="2722"/>
      <c r="W84" s="2722"/>
      <c r="X84" s="2722"/>
      <c r="Y84" s="2722"/>
      <c r="Z84" s="2722"/>
      <c r="AA84" s="2722"/>
      <c r="AB84" s="2722"/>
      <c r="AC84" s="2722"/>
    </row>
    <row r="85" spans="1:29" ht="15.75" thickTop="1">
      <c r="A85" s="481"/>
      <c r="B85" s="485" t="s">
        <v>1822</v>
      </c>
      <c r="C85" s="525" t="s">
        <v>1721</v>
      </c>
      <c r="D85" s="525" t="s">
        <v>1722</v>
      </c>
      <c r="E85" s="525" t="s">
        <v>1723</v>
      </c>
      <c r="F85" s="525" t="s">
        <v>1724</v>
      </c>
      <c r="G85" s="525" t="s">
        <v>1725</v>
      </c>
      <c r="H85" s="486"/>
      <c r="I85" s="486"/>
      <c r="J85" s="486"/>
      <c r="K85" s="487"/>
      <c r="L85" s="488"/>
      <c r="M85" s="489"/>
      <c r="N85" s="2750"/>
      <c r="O85" s="2750"/>
      <c r="P85" s="2759"/>
      <c r="Q85" s="2736"/>
      <c r="R85" s="2722"/>
      <c r="S85" s="2722"/>
      <c r="T85" s="2722"/>
      <c r="U85" s="2722"/>
      <c r="V85" s="2722"/>
      <c r="W85" s="2722"/>
      <c r="X85" s="2722"/>
      <c r="Y85" s="2722"/>
      <c r="Z85" s="2722"/>
      <c r="AA85" s="2722"/>
      <c r="AB85" s="2722"/>
      <c r="AC85" s="2722"/>
    </row>
    <row r="86" spans="1:29" ht="15.75" thickBot="1">
      <c r="A86" s="481"/>
      <c r="B86" s="490"/>
      <c r="C86" s="491">
        <v>100</v>
      </c>
      <c r="D86" s="491">
        <f>C86-$K23</f>
        <v>96</v>
      </c>
      <c r="E86" s="491">
        <f>D86-$K23</f>
        <v>92</v>
      </c>
      <c r="F86" s="491">
        <f>E86-$K23</f>
        <v>88</v>
      </c>
      <c r="G86" s="491">
        <f>F86-$K23</f>
        <v>84</v>
      </c>
      <c r="H86" s="491"/>
      <c r="I86" s="491"/>
      <c r="J86" s="491"/>
      <c r="K86" s="491"/>
      <c r="L86" s="491"/>
      <c r="M86" s="492"/>
      <c r="N86" s="2751"/>
      <c r="O86" s="2751"/>
      <c r="P86" s="2759"/>
      <c r="Q86" s="2736"/>
      <c r="R86" s="2722"/>
      <c r="S86" s="2722"/>
      <c r="T86" s="2722"/>
      <c r="U86" s="2722"/>
      <c r="V86" s="2722"/>
      <c r="W86" s="2722"/>
      <c r="X86" s="2722"/>
      <c r="Y86" s="2722"/>
      <c r="Z86" s="2722"/>
      <c r="AA86" s="2722"/>
      <c r="AB86" s="2722"/>
      <c r="AC86" s="2722"/>
    </row>
    <row r="87" spans="1:29" s="107" customFormat="1" ht="27.75" thickTop="1">
      <c r="A87" s="526"/>
      <c r="B87" s="485" t="s">
        <v>1823</v>
      </c>
      <c r="C87" s="501"/>
      <c r="D87" s="501"/>
      <c r="E87" s="501"/>
      <c r="F87" s="501"/>
      <c r="G87" s="501"/>
      <c r="H87" s="501"/>
      <c r="I87" s="501"/>
      <c r="J87" s="501"/>
      <c r="K87" s="501"/>
      <c r="L87" s="527"/>
      <c r="M87" s="528"/>
      <c r="N87" s="2749"/>
      <c r="O87" s="2749"/>
      <c r="P87" s="2759"/>
      <c r="Q87" s="2736"/>
      <c r="R87" s="2658"/>
      <c r="S87" s="2658"/>
      <c r="T87" s="2658"/>
      <c r="U87" s="2658"/>
      <c r="V87" s="2658"/>
      <c r="W87" s="2658"/>
      <c r="X87" s="2658"/>
      <c r="Y87" s="2658"/>
      <c r="Z87" s="2658"/>
      <c r="AA87" s="2658"/>
      <c r="AB87" s="2658"/>
      <c r="AC87" s="2658"/>
    </row>
    <row r="88" spans="1:29" s="107" customFormat="1" ht="15.75" thickBot="1">
      <c r="A88" s="526"/>
      <c r="B88" s="490"/>
      <c r="C88" s="529">
        <v>100</v>
      </c>
      <c r="D88" s="491">
        <f t="shared" ref="D88:M88" si="26">C88-$K25</f>
        <v>100</v>
      </c>
      <c r="E88" s="491">
        <f t="shared" si="26"/>
        <v>100</v>
      </c>
      <c r="F88" s="491">
        <f t="shared" si="26"/>
        <v>100</v>
      </c>
      <c r="G88" s="491">
        <f t="shared" si="26"/>
        <v>100</v>
      </c>
      <c r="H88" s="491">
        <f t="shared" si="26"/>
        <v>100</v>
      </c>
      <c r="I88" s="491">
        <f t="shared" si="26"/>
        <v>100</v>
      </c>
      <c r="J88" s="491">
        <f t="shared" si="26"/>
        <v>100</v>
      </c>
      <c r="K88" s="491">
        <f t="shared" si="26"/>
        <v>100</v>
      </c>
      <c r="L88" s="491">
        <f t="shared" si="26"/>
        <v>100</v>
      </c>
      <c r="M88" s="491">
        <f t="shared" si="26"/>
        <v>100</v>
      </c>
      <c r="N88" s="2751"/>
      <c r="O88" s="2751"/>
      <c r="P88" s="2759"/>
      <c r="Q88" s="2736"/>
      <c r="R88" s="2658"/>
      <c r="S88" s="2658"/>
      <c r="T88" s="2658"/>
      <c r="U88" s="2658"/>
      <c r="V88" s="2658"/>
      <c r="W88" s="2658"/>
      <c r="X88" s="2658"/>
      <c r="Y88" s="2658"/>
      <c r="Z88" s="2658"/>
      <c r="AA88" s="2658"/>
      <c r="AB88" s="2658"/>
      <c r="AC88" s="2658"/>
    </row>
    <row r="89" spans="1:29" s="107" customFormat="1" ht="15.75" thickTop="1">
      <c r="A89" s="526"/>
      <c r="B89" s="485" t="str">
        <f>B27</f>
        <v>楼层</v>
      </c>
      <c r="C89" s="501"/>
      <c r="D89" s="501"/>
      <c r="E89" s="501"/>
      <c r="F89" s="1924"/>
      <c r="G89" s="501"/>
      <c r="H89" s="501"/>
      <c r="I89" s="501"/>
      <c r="J89" s="501"/>
      <c r="K89" s="501"/>
      <c r="L89" s="501"/>
      <c r="M89" s="528"/>
      <c r="N89" s="2749"/>
      <c r="O89" s="2749"/>
      <c r="P89" s="2759"/>
      <c r="Q89" s="2736"/>
      <c r="R89" s="2658"/>
      <c r="S89" s="2658"/>
      <c r="T89" s="2658"/>
      <c r="U89" s="2658"/>
      <c r="V89" s="2658"/>
      <c r="W89" s="2658"/>
      <c r="X89" s="2658"/>
      <c r="Y89" s="2658"/>
      <c r="Z89" s="2658"/>
      <c r="AA89" s="2658"/>
      <c r="AB89" s="2658"/>
      <c r="AC89" s="2658"/>
    </row>
    <row r="90" spans="1:29" s="107" customFormat="1" ht="15.75" thickBot="1">
      <c r="A90" s="526"/>
      <c r="B90" s="490"/>
      <c r="C90" s="529">
        <v>100</v>
      </c>
      <c r="D90" s="491">
        <f>C90-$K27</f>
        <v>100</v>
      </c>
      <c r="E90" s="491">
        <f t="shared" ref="E90:M90" si="27">D90-$K27</f>
        <v>100</v>
      </c>
      <c r="F90" s="491">
        <f t="shared" si="27"/>
        <v>100</v>
      </c>
      <c r="G90" s="491">
        <f t="shared" si="27"/>
        <v>100</v>
      </c>
      <c r="H90" s="491">
        <f t="shared" si="27"/>
        <v>100</v>
      </c>
      <c r="I90" s="491">
        <f t="shared" si="27"/>
        <v>100</v>
      </c>
      <c r="J90" s="491">
        <f t="shared" si="27"/>
        <v>100</v>
      </c>
      <c r="K90" s="491">
        <f t="shared" si="27"/>
        <v>100</v>
      </c>
      <c r="L90" s="491">
        <f t="shared" si="27"/>
        <v>100</v>
      </c>
      <c r="M90" s="491">
        <f t="shared" si="27"/>
        <v>100</v>
      </c>
      <c r="N90" s="2751"/>
      <c r="O90" s="2751"/>
      <c r="P90" s="2759"/>
      <c r="Q90" s="2736"/>
      <c r="R90" s="2658"/>
      <c r="S90" s="2658"/>
      <c r="T90" s="2658"/>
      <c r="U90" s="2658"/>
      <c r="V90" s="2658"/>
      <c r="W90" s="2658"/>
      <c r="X90" s="2658"/>
      <c r="Y90" s="2658"/>
      <c r="Z90" s="2658"/>
      <c r="AA90" s="2658"/>
      <c r="AB90" s="2658"/>
      <c r="AC90" s="2658"/>
    </row>
    <row r="91" spans="1:29" s="420" customFormat="1" ht="15.75" thickTop="1">
      <c r="A91" s="500"/>
      <c r="B91" s="485" t="str">
        <f>B28</f>
        <v>朝向</v>
      </c>
      <c r="C91" s="501"/>
      <c r="D91" s="501"/>
      <c r="E91" s="501"/>
      <c r="F91" s="501"/>
      <c r="G91" s="501"/>
      <c r="H91" s="502"/>
      <c r="I91" s="502"/>
      <c r="J91" s="502"/>
      <c r="K91" s="502"/>
      <c r="L91" s="503"/>
      <c r="M91" s="504"/>
      <c r="N91" s="2752"/>
      <c r="O91" s="2752"/>
      <c r="P91" s="2760"/>
      <c r="Q91" s="2743"/>
      <c r="R91" s="2744"/>
      <c r="S91" s="2744"/>
      <c r="T91" s="2744"/>
      <c r="U91" s="2744"/>
      <c r="V91" s="2744"/>
      <c r="W91" s="2744"/>
      <c r="X91" s="2744"/>
      <c r="Y91" s="2744"/>
      <c r="Z91" s="2744"/>
      <c r="AA91" s="2744"/>
      <c r="AB91" s="2744"/>
      <c r="AC91" s="2744"/>
    </row>
    <row r="92" spans="1:29" s="420" customFormat="1" ht="15.75" thickBot="1">
      <c r="A92" s="500"/>
      <c r="B92" s="490"/>
      <c r="C92" s="529">
        <v>100</v>
      </c>
      <c r="D92" s="491">
        <f t="shared" ref="D92:M92" si="28">C92-$K28</f>
        <v>100</v>
      </c>
      <c r="E92" s="491">
        <f t="shared" si="28"/>
        <v>100</v>
      </c>
      <c r="F92" s="491">
        <f t="shared" si="28"/>
        <v>100</v>
      </c>
      <c r="G92" s="491">
        <f t="shared" si="28"/>
        <v>100</v>
      </c>
      <c r="H92" s="491">
        <f t="shared" si="28"/>
        <v>100</v>
      </c>
      <c r="I92" s="491">
        <f t="shared" si="28"/>
        <v>100</v>
      </c>
      <c r="J92" s="491">
        <f t="shared" si="28"/>
        <v>100</v>
      </c>
      <c r="K92" s="491">
        <f t="shared" si="28"/>
        <v>100</v>
      </c>
      <c r="L92" s="491">
        <f t="shared" si="28"/>
        <v>100</v>
      </c>
      <c r="M92" s="491">
        <f t="shared" si="28"/>
        <v>100</v>
      </c>
      <c r="N92" s="2752"/>
      <c r="O92" s="2752"/>
      <c r="P92" s="2760"/>
      <c r="Q92" s="2743"/>
      <c r="R92" s="2744"/>
      <c r="S92" s="2744"/>
      <c r="T92" s="2744"/>
      <c r="U92" s="2744"/>
      <c r="V92" s="2744"/>
      <c r="W92" s="2744"/>
      <c r="X92" s="2744"/>
      <c r="Y92" s="2744"/>
      <c r="Z92" s="2744"/>
      <c r="AA92" s="2744"/>
      <c r="AB92" s="2744"/>
      <c r="AC92" s="2744"/>
    </row>
    <row r="93" spans="1:29" ht="15.75" thickTop="1">
      <c r="A93" s="481"/>
      <c r="B93" s="485">
        <f>B29</f>
        <v>111</v>
      </c>
      <c r="C93" s="501"/>
      <c r="D93" s="501"/>
      <c r="E93" s="501"/>
      <c r="F93" s="501"/>
      <c r="G93" s="501"/>
      <c r="H93" s="501"/>
      <c r="I93" s="501"/>
      <c r="J93" s="501"/>
      <c r="K93" s="501"/>
      <c r="L93" s="527"/>
      <c r="M93" s="528"/>
      <c r="N93" s="2750"/>
      <c r="O93" s="2750"/>
      <c r="P93" s="2759"/>
      <c r="Q93" s="2736"/>
      <c r="R93" s="2722"/>
      <c r="S93" s="2722"/>
      <c r="T93" s="2722"/>
      <c r="U93" s="2722"/>
      <c r="V93" s="2722"/>
      <c r="W93" s="2722"/>
      <c r="X93" s="2722"/>
      <c r="Y93" s="2722"/>
      <c r="Z93" s="2722"/>
      <c r="AA93" s="2722"/>
      <c r="AB93" s="2722"/>
      <c r="AC93" s="2722"/>
    </row>
    <row r="94" spans="1:29" ht="15.75" thickBot="1">
      <c r="A94" s="481"/>
      <c r="B94" s="490"/>
      <c r="C94" s="507"/>
      <c r="D94" s="483"/>
      <c r="E94" s="483"/>
      <c r="F94" s="483"/>
      <c r="G94" s="483"/>
      <c r="H94" s="483"/>
      <c r="I94" s="483"/>
      <c r="J94" s="483"/>
      <c r="K94" s="483"/>
      <c r="L94" s="483"/>
      <c r="M94" s="484"/>
      <c r="N94" s="2751"/>
      <c r="O94" s="2751"/>
      <c r="P94" s="2759"/>
      <c r="Q94" s="2736"/>
      <c r="R94" s="2722"/>
      <c r="S94" s="2722"/>
      <c r="T94" s="2722"/>
      <c r="U94" s="2722"/>
      <c r="V94" s="2722"/>
      <c r="W94" s="2722"/>
      <c r="X94" s="2722"/>
      <c r="Y94" s="2722"/>
      <c r="Z94" s="2722"/>
      <c r="AA94" s="2722"/>
      <c r="AB94" s="2722"/>
      <c r="AC94" s="2722"/>
    </row>
    <row r="95" spans="1:29" ht="15.75" thickTop="1">
      <c r="A95" s="481"/>
      <c r="B95" s="485">
        <f>B30</f>
        <v>111</v>
      </c>
      <c r="C95" s="501"/>
      <c r="D95" s="501"/>
      <c r="E95" s="501"/>
      <c r="F95" s="501"/>
      <c r="G95" s="530"/>
      <c r="H95" s="530"/>
      <c r="I95" s="530"/>
      <c r="J95" s="530"/>
      <c r="K95" s="531"/>
      <c r="L95" s="532"/>
      <c r="M95" s="533"/>
      <c r="N95" s="2750"/>
      <c r="O95" s="2750"/>
      <c r="P95" s="2759"/>
      <c r="Q95" s="2736"/>
      <c r="R95" s="2722"/>
      <c r="S95" s="2722"/>
      <c r="T95" s="2722"/>
      <c r="U95" s="2722"/>
      <c r="V95" s="2722"/>
      <c r="W95" s="2722"/>
      <c r="X95" s="2722"/>
      <c r="Y95" s="2722"/>
      <c r="Z95" s="2722"/>
      <c r="AA95" s="2722"/>
      <c r="AB95" s="2722"/>
      <c r="AC95" s="2722"/>
    </row>
    <row r="96" spans="1:29" ht="15.75" thickBot="1">
      <c r="A96" s="481"/>
      <c r="B96" s="490"/>
      <c r="C96" s="507"/>
      <c r="D96" s="507"/>
      <c r="E96" s="507"/>
      <c r="F96" s="507"/>
      <c r="G96" s="483"/>
      <c r="H96" s="483"/>
      <c r="I96" s="483"/>
      <c r="J96" s="483"/>
      <c r="K96" s="483"/>
      <c r="L96" s="483"/>
      <c r="M96" s="484"/>
      <c r="N96" s="2751"/>
      <c r="O96" s="2751"/>
      <c r="P96" s="2759"/>
      <c r="Q96" s="2736"/>
      <c r="R96" s="2722"/>
      <c r="S96" s="2722"/>
      <c r="T96" s="2722"/>
      <c r="U96" s="2722"/>
      <c r="V96" s="2722"/>
      <c r="W96" s="2722"/>
      <c r="X96" s="2722"/>
      <c r="Y96" s="2722"/>
      <c r="Z96" s="2722"/>
      <c r="AA96" s="2722"/>
      <c r="AB96" s="2722"/>
      <c r="AC96" s="2722"/>
    </row>
    <row r="97" spans="1:29" ht="15.75" thickTop="1">
      <c r="A97" s="481"/>
      <c r="B97" s="485">
        <f>B31</f>
        <v>111</v>
      </c>
      <c r="C97" s="501"/>
      <c r="D97" s="501"/>
      <c r="E97" s="501"/>
      <c r="F97" s="501"/>
      <c r="G97" s="530"/>
      <c r="H97" s="530"/>
      <c r="I97" s="530"/>
      <c r="J97" s="530"/>
      <c r="K97" s="531"/>
      <c r="L97" s="532"/>
      <c r="M97" s="533"/>
      <c r="N97" s="2750"/>
      <c r="O97" s="2750"/>
      <c r="P97" s="2759"/>
      <c r="Q97" s="2736"/>
      <c r="R97" s="2722"/>
      <c r="S97" s="2722"/>
      <c r="T97" s="2722"/>
      <c r="U97" s="2722"/>
      <c r="V97" s="2722"/>
      <c r="W97" s="2722"/>
      <c r="X97" s="2722"/>
      <c r="Y97" s="2722"/>
      <c r="Z97" s="2722"/>
      <c r="AA97" s="2722"/>
      <c r="AB97" s="2722"/>
      <c r="AC97" s="2722"/>
    </row>
    <row r="98" spans="1:29" ht="15.75" thickBot="1">
      <c r="A98" s="481"/>
      <c r="B98" s="490"/>
      <c r="C98" s="507"/>
      <c r="D98" s="483"/>
      <c r="E98" s="483"/>
      <c r="F98" s="483"/>
      <c r="G98" s="483"/>
      <c r="H98" s="483"/>
      <c r="I98" s="483"/>
      <c r="J98" s="483"/>
      <c r="K98" s="483"/>
      <c r="L98" s="483"/>
      <c r="M98" s="484"/>
      <c r="N98" s="2751"/>
      <c r="O98" s="2751"/>
      <c r="P98" s="2759"/>
      <c r="Q98" s="2736"/>
      <c r="R98" s="2722"/>
      <c r="S98" s="2722"/>
      <c r="T98" s="2722"/>
      <c r="U98" s="2722"/>
      <c r="V98" s="2722"/>
      <c r="W98" s="2722"/>
      <c r="X98" s="2722"/>
      <c r="Y98" s="2722"/>
      <c r="Z98" s="2722"/>
      <c r="AA98" s="2722"/>
      <c r="AB98" s="2722"/>
      <c r="AC98" s="2722"/>
    </row>
    <row r="99" spans="1:29" ht="15.75" thickTop="1">
      <c r="A99" s="481"/>
      <c r="B99" s="493">
        <f>B32</f>
        <v>111</v>
      </c>
      <c r="C99" s="470"/>
      <c r="D99" s="470"/>
      <c r="E99" s="470"/>
      <c r="F99" s="470"/>
      <c r="G99" s="534"/>
      <c r="H99" s="534"/>
      <c r="I99" s="534"/>
      <c r="J99" s="534"/>
      <c r="K99" s="535"/>
      <c r="L99" s="536"/>
      <c r="M99" s="537"/>
      <c r="N99" s="2750"/>
      <c r="O99" s="2750"/>
      <c r="P99" s="2759"/>
      <c r="Q99" s="2736"/>
      <c r="R99" s="2722"/>
      <c r="S99" s="2722"/>
      <c r="T99" s="2722"/>
      <c r="U99" s="2722"/>
      <c r="V99" s="2722"/>
      <c r="W99" s="2722"/>
      <c r="X99" s="2722"/>
      <c r="Y99" s="2722"/>
      <c r="Z99" s="2722"/>
      <c r="AA99" s="2722"/>
      <c r="AB99" s="2722"/>
      <c r="AC99" s="2722"/>
    </row>
    <row r="100" spans="1:29" ht="15.75" thickBot="1">
      <c r="A100" s="1925"/>
      <c r="B100" s="516"/>
      <c r="C100" s="517"/>
      <c r="D100" s="517"/>
      <c r="E100" s="517"/>
      <c r="F100" s="517"/>
      <c r="G100" s="538"/>
      <c r="H100" s="538"/>
      <c r="I100" s="538"/>
      <c r="J100" s="538"/>
      <c r="K100" s="538"/>
      <c r="L100" s="538"/>
      <c r="M100" s="539"/>
      <c r="N100" s="2751"/>
      <c r="O100" s="2751"/>
      <c r="P100" s="2759"/>
      <c r="Q100" s="2736"/>
      <c r="R100" s="2722"/>
      <c r="S100" s="2722"/>
      <c r="T100" s="2722"/>
      <c r="U100" s="2722"/>
      <c r="V100" s="2722"/>
      <c r="W100" s="2722"/>
      <c r="X100" s="2722"/>
      <c r="Y100" s="2722"/>
      <c r="Z100" s="2722"/>
      <c r="AA100" s="2722"/>
      <c r="AB100" s="2722"/>
      <c r="AC100" s="2722"/>
    </row>
    <row r="101" spans="1:29">
      <c r="A101" s="474" t="s">
        <v>1694</v>
      </c>
      <c r="B101" s="475" t="s">
        <v>1736</v>
      </c>
      <c r="C101" s="3477" t="s">
        <v>3585</v>
      </c>
      <c r="D101" s="477"/>
      <c r="E101" s="477"/>
      <c r="F101" s="477"/>
      <c r="G101" s="477"/>
      <c r="H101" s="477"/>
      <c r="I101" s="477"/>
      <c r="J101" s="477"/>
      <c r="K101" s="478"/>
      <c r="L101" s="479"/>
      <c r="M101" s="480"/>
      <c r="N101" s="2750"/>
      <c r="O101" s="2750"/>
      <c r="P101" s="2759"/>
      <c r="Q101" s="2736"/>
      <c r="R101" s="2722"/>
      <c r="S101" s="2722"/>
      <c r="T101" s="2722"/>
      <c r="U101" s="2722"/>
      <c r="V101" s="2722"/>
      <c r="W101" s="2722"/>
      <c r="X101" s="2722"/>
      <c r="Y101" s="2722"/>
      <c r="Z101" s="2722"/>
      <c r="AA101" s="2722"/>
      <c r="AB101" s="2722"/>
      <c r="AC101" s="2722"/>
    </row>
    <row r="102" spans="1:29" ht="15.75" thickBot="1">
      <c r="A102" s="481"/>
      <c r="B102" s="490"/>
      <c r="C102" s="491">
        <v>100</v>
      </c>
      <c r="D102" s="491">
        <f t="shared" ref="D102:M102" si="29">C102-$K33</f>
        <v>98</v>
      </c>
      <c r="E102" s="491">
        <f t="shared" si="29"/>
        <v>96</v>
      </c>
      <c r="F102" s="491">
        <f t="shared" si="29"/>
        <v>94</v>
      </c>
      <c r="G102" s="491">
        <f t="shared" si="29"/>
        <v>92</v>
      </c>
      <c r="H102" s="491">
        <f t="shared" si="29"/>
        <v>90</v>
      </c>
      <c r="I102" s="491">
        <f t="shared" si="29"/>
        <v>88</v>
      </c>
      <c r="J102" s="491">
        <f t="shared" si="29"/>
        <v>86</v>
      </c>
      <c r="K102" s="491">
        <f t="shared" si="29"/>
        <v>84</v>
      </c>
      <c r="L102" s="491">
        <f t="shared" si="29"/>
        <v>82</v>
      </c>
      <c r="M102" s="492">
        <f t="shared" si="29"/>
        <v>80</v>
      </c>
      <c r="N102" s="2751"/>
      <c r="O102" s="2751"/>
      <c r="P102" s="2759"/>
      <c r="Q102" s="2736"/>
      <c r="R102" s="2722"/>
      <c r="S102" s="2722"/>
      <c r="T102" s="2722"/>
      <c r="U102" s="2722"/>
      <c r="V102" s="2722"/>
      <c r="W102" s="2722"/>
      <c r="X102" s="2722"/>
      <c r="Y102" s="2722"/>
      <c r="Z102" s="2722"/>
      <c r="AA102" s="2722"/>
      <c r="AB102" s="2722"/>
      <c r="AC102" s="2722"/>
    </row>
    <row r="103" spans="1:29" ht="29.25" thickTop="1">
      <c r="A103" s="481"/>
      <c r="B103" s="485" t="s">
        <v>1737</v>
      </c>
      <c r="C103" s="525" t="str">
        <f>C104&amp;"(含)"&amp;"-"&amp;D104</f>
        <v>0(含)-50000</v>
      </c>
      <c r="D103" s="525" t="str">
        <f t="shared" ref="D103:L103" si="30">D104&amp;"(含)"&amp;"-"&amp;E104</f>
        <v>50000(含)-100000</v>
      </c>
      <c r="E103" s="525" t="str">
        <f t="shared" si="30"/>
        <v>100000(含)-150000</v>
      </c>
      <c r="F103" s="525" t="str">
        <f t="shared" si="30"/>
        <v>150000(含)-</v>
      </c>
      <c r="G103" s="525" t="str">
        <f t="shared" si="30"/>
        <v>(含)-</v>
      </c>
      <c r="H103" s="525" t="str">
        <f t="shared" si="30"/>
        <v>(含)-</v>
      </c>
      <c r="I103" s="525" t="str">
        <f t="shared" si="30"/>
        <v>(含)-</v>
      </c>
      <c r="J103" s="525" t="str">
        <f t="shared" si="30"/>
        <v>(含)-</v>
      </c>
      <c r="K103" s="525" t="str">
        <f t="shared" si="30"/>
        <v>(含)-</v>
      </c>
      <c r="L103" s="525" t="str">
        <f t="shared" si="30"/>
        <v>(含)-</v>
      </c>
      <c r="M103" s="568"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0" customFormat="1">
      <c r="A104" s="540"/>
      <c r="B104" s="541"/>
      <c r="C104" s="6">
        <v>0</v>
      </c>
      <c r="D104" s="6">
        <v>50000</v>
      </c>
      <c r="E104" s="6">
        <v>100000</v>
      </c>
      <c r="F104" s="6">
        <v>150000</v>
      </c>
      <c r="G104" s="6"/>
      <c r="H104" s="542"/>
      <c r="I104" s="542"/>
      <c r="J104" s="543"/>
      <c r="K104" s="543"/>
      <c r="L104" s="544"/>
      <c r="M104" s="545"/>
      <c r="N104" s="2752"/>
      <c r="O104" s="2752"/>
      <c r="P104" s="2760"/>
      <c r="Q104" s="2743"/>
      <c r="R104" s="2744"/>
      <c r="S104" s="2744"/>
      <c r="T104" s="2744"/>
      <c r="U104" s="2744"/>
      <c r="V104" s="2744"/>
      <c r="W104" s="2744"/>
      <c r="X104" s="2744"/>
      <c r="Y104" s="2744"/>
      <c r="Z104" s="2744"/>
      <c r="AA104" s="2744"/>
      <c r="AB104" s="2744"/>
      <c r="AC104" s="2744"/>
    </row>
    <row r="105" spans="1:29" s="420" customFormat="1" ht="15.75" thickBot="1">
      <c r="A105" s="500"/>
      <c r="B105" s="490"/>
      <c r="C105" s="3451">
        <v>100</v>
      </c>
      <c r="D105" s="3452">
        <v>99</v>
      </c>
      <c r="E105" s="3452">
        <v>98</v>
      </c>
      <c r="F105" s="3452">
        <v>97</v>
      </c>
      <c r="G105" s="3452"/>
      <c r="H105" s="483"/>
      <c r="I105" s="483"/>
      <c r="J105" s="483"/>
      <c r="K105" s="483"/>
      <c r="L105" s="483"/>
      <c r="M105" s="484"/>
      <c r="N105" s="2751"/>
      <c r="O105" s="2751"/>
      <c r="P105" s="2760"/>
      <c r="Q105" s="2743"/>
      <c r="R105" s="2744"/>
      <c r="S105" s="2744"/>
      <c r="T105" s="2744"/>
      <c r="U105" s="2744"/>
      <c r="V105" s="2744"/>
      <c r="W105" s="2744"/>
      <c r="X105" s="2744"/>
      <c r="Y105" s="2744"/>
      <c r="Z105" s="2744"/>
      <c r="AA105" s="2744"/>
      <c r="AB105" s="2744"/>
      <c r="AC105" s="2744"/>
    </row>
    <row r="106" spans="1:29" ht="15" thickTop="1">
      <c r="A106" s="546"/>
      <c r="B106" s="485" t="s">
        <v>1738</v>
      </c>
      <c r="C106" s="3453" t="s">
        <v>3436</v>
      </c>
      <c r="D106" s="501"/>
      <c r="E106" s="530"/>
      <c r="F106" s="530"/>
      <c r="G106" s="530"/>
      <c r="H106" s="530"/>
      <c r="I106" s="530"/>
      <c r="J106" s="530"/>
      <c r="K106" s="531"/>
      <c r="L106" s="532"/>
      <c r="M106" s="533"/>
      <c r="N106" s="2750"/>
      <c r="O106" s="2750"/>
      <c r="P106" s="2759"/>
      <c r="Q106" s="2736"/>
      <c r="R106" s="2722"/>
      <c r="S106" s="2722"/>
      <c r="T106" s="2722"/>
      <c r="U106" s="2722"/>
      <c r="V106" s="2722"/>
      <c r="W106" s="2722"/>
      <c r="X106" s="2722"/>
      <c r="Y106" s="2722"/>
      <c r="Z106" s="2722"/>
      <c r="AA106" s="2722"/>
      <c r="AB106" s="2722"/>
      <c r="AC106" s="2722"/>
    </row>
    <row r="107" spans="1:29" ht="15.75" thickBot="1">
      <c r="A107" s="481"/>
      <c r="B107" s="490"/>
      <c r="C107" s="491">
        <v>100</v>
      </c>
      <c r="D107" s="491">
        <f t="shared" ref="D107:M107" si="31">C107-$K35</f>
        <v>98</v>
      </c>
      <c r="E107" s="491">
        <f t="shared" si="31"/>
        <v>96</v>
      </c>
      <c r="F107" s="491">
        <f t="shared" si="31"/>
        <v>94</v>
      </c>
      <c r="G107" s="491">
        <f t="shared" si="31"/>
        <v>92</v>
      </c>
      <c r="H107" s="491">
        <f t="shared" si="31"/>
        <v>90</v>
      </c>
      <c r="I107" s="491">
        <f t="shared" si="31"/>
        <v>88</v>
      </c>
      <c r="J107" s="491">
        <f t="shared" si="31"/>
        <v>86</v>
      </c>
      <c r="K107" s="491">
        <f t="shared" si="31"/>
        <v>84</v>
      </c>
      <c r="L107" s="491">
        <f t="shared" si="31"/>
        <v>82</v>
      </c>
      <c r="M107" s="492">
        <f t="shared" si="31"/>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6"/>
      <c r="B108" s="485" t="s">
        <v>1740</v>
      </c>
      <c r="C108" s="3453" t="s">
        <v>3572</v>
      </c>
      <c r="D108" s="3453" t="s">
        <v>3573</v>
      </c>
      <c r="E108" s="3453" t="s">
        <v>3574</v>
      </c>
      <c r="F108" s="3454" t="s">
        <v>3575</v>
      </c>
      <c r="G108" s="530"/>
      <c r="H108" s="530"/>
      <c r="I108" s="530"/>
      <c r="J108" s="530"/>
      <c r="K108" s="531"/>
      <c r="L108" s="532"/>
      <c r="M108" s="533"/>
      <c r="N108" s="2750"/>
      <c r="O108" s="2750"/>
      <c r="P108" s="2759"/>
      <c r="Q108" s="2736"/>
      <c r="R108" s="2722"/>
      <c r="S108" s="2722"/>
      <c r="T108" s="2722"/>
      <c r="U108" s="2722"/>
      <c r="V108" s="2722"/>
      <c r="W108" s="2722"/>
      <c r="X108" s="2722"/>
      <c r="Y108" s="2722"/>
      <c r="Z108" s="2722"/>
      <c r="AA108" s="2722"/>
      <c r="AB108" s="2722"/>
      <c r="AC108" s="2722"/>
    </row>
    <row r="109" spans="1:29" ht="15.75" thickBot="1">
      <c r="A109" s="481"/>
      <c r="B109" s="490"/>
      <c r="C109" s="491">
        <v>100</v>
      </c>
      <c r="D109" s="491">
        <f t="shared" ref="D109:M109" si="32">C109-$K36</f>
        <v>97</v>
      </c>
      <c r="E109" s="491">
        <f t="shared" si="32"/>
        <v>94</v>
      </c>
      <c r="F109" s="491">
        <f t="shared" si="32"/>
        <v>91</v>
      </c>
      <c r="G109" s="491">
        <f t="shared" si="32"/>
        <v>88</v>
      </c>
      <c r="H109" s="491">
        <f t="shared" si="32"/>
        <v>85</v>
      </c>
      <c r="I109" s="491">
        <f t="shared" si="32"/>
        <v>82</v>
      </c>
      <c r="J109" s="491">
        <f t="shared" si="32"/>
        <v>79</v>
      </c>
      <c r="K109" s="491">
        <f t="shared" si="32"/>
        <v>76</v>
      </c>
      <c r="L109" s="491">
        <f t="shared" si="32"/>
        <v>73</v>
      </c>
      <c r="M109" s="492">
        <f t="shared" si="32"/>
        <v>70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50"/>
      <c r="O110" s="2750"/>
      <c r="P110" s="2759"/>
      <c r="Q110" s="2736"/>
      <c r="R110" s="2722"/>
      <c r="S110" s="2722"/>
      <c r="T110" s="2722"/>
      <c r="U110" s="2722"/>
      <c r="V110" s="2722"/>
      <c r="W110" s="2722"/>
      <c r="X110" s="2722"/>
      <c r="Y110" s="2722"/>
      <c r="Z110" s="2722"/>
      <c r="AA110" s="2722"/>
      <c r="AB110" s="2722"/>
      <c r="AC110" s="2722"/>
    </row>
    <row r="111" spans="1:29">
      <c r="A111" s="546"/>
      <c r="B111" s="493"/>
      <c r="C111" s="550">
        <v>0.5</v>
      </c>
      <c r="D111" s="550">
        <v>0.6</v>
      </c>
      <c r="E111" s="550">
        <v>0.7</v>
      </c>
      <c r="F111" s="550">
        <v>0.8</v>
      </c>
      <c r="G111" s="550">
        <v>0.9</v>
      </c>
      <c r="H111" s="550">
        <v>1.0001</v>
      </c>
      <c r="I111" s="569"/>
      <c r="J111" s="569"/>
      <c r="K111" s="570"/>
      <c r="L111" s="571"/>
      <c r="M111" s="572"/>
      <c r="N111" s="2750"/>
      <c r="O111" s="2750"/>
      <c r="P111" s="2759"/>
      <c r="Q111" s="2736"/>
      <c r="R111" s="2722"/>
      <c r="S111" s="2722"/>
      <c r="T111" s="2722"/>
      <c r="U111" s="2722"/>
      <c r="V111" s="2722"/>
      <c r="W111" s="2722"/>
      <c r="X111" s="2722"/>
      <c r="Y111" s="2722"/>
      <c r="Z111" s="2722"/>
      <c r="AA111" s="2722"/>
      <c r="AB111" s="2722"/>
      <c r="AC111" s="2722"/>
    </row>
    <row r="112" spans="1:29" ht="15.75" thickBot="1">
      <c r="A112" s="481"/>
      <c r="B112" s="490"/>
      <c r="C112" s="529">
        <v>100</v>
      </c>
      <c r="D112" s="491">
        <f>C112+$K37</f>
        <v>103</v>
      </c>
      <c r="E112" s="491">
        <f t="shared" ref="E112:M112" si="33">D112+$K37</f>
        <v>106</v>
      </c>
      <c r="F112" s="491">
        <f t="shared" si="33"/>
        <v>109</v>
      </c>
      <c r="G112" s="491">
        <f t="shared" si="33"/>
        <v>112</v>
      </c>
      <c r="H112" s="491">
        <f t="shared" si="33"/>
        <v>115</v>
      </c>
      <c r="I112" s="491">
        <f t="shared" si="33"/>
        <v>118</v>
      </c>
      <c r="J112" s="491">
        <f t="shared" si="33"/>
        <v>121</v>
      </c>
      <c r="K112" s="491">
        <f t="shared" si="33"/>
        <v>124</v>
      </c>
      <c r="L112" s="491">
        <f t="shared" si="33"/>
        <v>127</v>
      </c>
      <c r="M112" s="491">
        <f t="shared" si="33"/>
        <v>130</v>
      </c>
      <c r="N112" s="2751"/>
      <c r="O112" s="2751"/>
      <c r="P112" s="2759"/>
      <c r="Q112" s="2736"/>
      <c r="R112" s="2722"/>
      <c r="S112" s="2722"/>
      <c r="T112" s="2722"/>
      <c r="U112" s="2722"/>
      <c r="V112" s="2722"/>
      <c r="W112" s="2722"/>
      <c r="X112" s="2722"/>
      <c r="Y112" s="2722"/>
      <c r="Z112" s="2722"/>
      <c r="AA112" s="2722"/>
      <c r="AB112" s="2722"/>
      <c r="AC112" s="2722"/>
    </row>
    <row r="113" spans="1:29" s="420" customFormat="1" ht="15" thickTop="1">
      <c r="A113" s="540"/>
      <c r="B113" s="485" t="s">
        <v>1824</v>
      </c>
      <c r="C113" s="3455" t="s">
        <v>3576</v>
      </c>
      <c r="D113" s="501"/>
      <c r="E113" s="501"/>
      <c r="F113" s="501"/>
      <c r="G113" s="501"/>
      <c r="H113" s="530"/>
      <c r="I113" s="530"/>
      <c r="J113" s="530"/>
      <c r="K113" s="531"/>
      <c r="L113" s="532"/>
      <c r="M113" s="533"/>
      <c r="N113" s="2752"/>
      <c r="O113" s="2752"/>
      <c r="P113" s="2760"/>
      <c r="Q113" s="2743"/>
      <c r="R113" s="2744"/>
      <c r="S113" s="2744"/>
      <c r="T113" s="2744"/>
      <c r="U113" s="2744"/>
      <c r="V113" s="2744"/>
      <c r="W113" s="2744"/>
      <c r="X113" s="2744"/>
      <c r="Y113" s="2744"/>
      <c r="Z113" s="2744"/>
      <c r="AA113" s="2744"/>
      <c r="AB113" s="2744"/>
      <c r="AC113" s="2744"/>
    </row>
    <row r="114" spans="1:29" s="420" customFormat="1" ht="15.75" thickBot="1">
      <c r="A114" s="500"/>
      <c r="B114" s="490"/>
      <c r="C114" s="491">
        <v>100</v>
      </c>
      <c r="D114" s="491">
        <f>C114-$K38</f>
        <v>98</v>
      </c>
      <c r="E114" s="491">
        <f t="shared" ref="E114:M114" si="34">D114-$K38</f>
        <v>96</v>
      </c>
      <c r="F114" s="491">
        <f t="shared" si="34"/>
        <v>94</v>
      </c>
      <c r="G114" s="491">
        <f t="shared" si="34"/>
        <v>92</v>
      </c>
      <c r="H114" s="491">
        <f t="shared" si="34"/>
        <v>90</v>
      </c>
      <c r="I114" s="491">
        <f t="shared" si="34"/>
        <v>88</v>
      </c>
      <c r="J114" s="491">
        <f t="shared" si="34"/>
        <v>86</v>
      </c>
      <c r="K114" s="491">
        <f t="shared" si="34"/>
        <v>84</v>
      </c>
      <c r="L114" s="491">
        <f t="shared" si="34"/>
        <v>82</v>
      </c>
      <c r="M114" s="491">
        <f t="shared" si="34"/>
        <v>80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6"/>
      <c r="B115" s="485" t="s">
        <v>1741</v>
      </c>
      <c r="C115" s="3455" t="s">
        <v>3577</v>
      </c>
      <c r="D115" s="501"/>
      <c r="E115" s="530"/>
      <c r="F115" s="530"/>
      <c r="G115" s="530"/>
      <c r="H115" s="530"/>
      <c r="I115" s="530"/>
      <c r="J115" s="530"/>
      <c r="K115" s="531"/>
      <c r="L115" s="532"/>
      <c r="M115" s="533"/>
      <c r="N115" s="2750"/>
      <c r="O115" s="2750"/>
      <c r="P115" s="2759"/>
      <c r="Q115" s="2736"/>
      <c r="R115" s="2722"/>
      <c r="S115" s="2722"/>
      <c r="T115" s="2722"/>
      <c r="U115" s="2722"/>
      <c r="V115" s="2722"/>
      <c r="W115" s="2722"/>
      <c r="X115" s="2722"/>
      <c r="Y115" s="2722"/>
      <c r="Z115" s="2722"/>
      <c r="AA115" s="2722"/>
      <c r="AB115" s="2722"/>
      <c r="AC115" s="2722"/>
    </row>
    <row r="116" spans="1:29" ht="15.75" thickBot="1">
      <c r="A116" s="481"/>
      <c r="B116" s="490"/>
      <c r="C116" s="491">
        <v>100</v>
      </c>
      <c r="D116" s="491">
        <f t="shared" ref="D116:M116" si="35">C116-$K39</f>
        <v>98</v>
      </c>
      <c r="E116" s="491">
        <f t="shared" si="35"/>
        <v>96</v>
      </c>
      <c r="F116" s="491">
        <f t="shared" si="35"/>
        <v>94</v>
      </c>
      <c r="G116" s="491">
        <f t="shared" si="35"/>
        <v>92</v>
      </c>
      <c r="H116" s="491">
        <f t="shared" si="35"/>
        <v>90</v>
      </c>
      <c r="I116" s="491">
        <f t="shared" si="35"/>
        <v>88</v>
      </c>
      <c r="J116" s="491">
        <f t="shared" si="35"/>
        <v>86</v>
      </c>
      <c r="K116" s="491">
        <f t="shared" si="35"/>
        <v>84</v>
      </c>
      <c r="L116" s="491">
        <f t="shared" si="35"/>
        <v>82</v>
      </c>
      <c r="M116" s="492">
        <f t="shared" si="35"/>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6"/>
      <c r="B117" s="485" t="s">
        <v>1742</v>
      </c>
      <c r="C117" s="3456" t="s">
        <v>3578</v>
      </c>
      <c r="D117" s="501"/>
      <c r="E117" s="501"/>
      <c r="F117" s="501"/>
      <c r="G117" s="501"/>
      <c r="H117" s="530"/>
      <c r="I117" s="530"/>
      <c r="J117" s="530"/>
      <c r="K117" s="531"/>
      <c r="L117" s="532"/>
      <c r="M117" s="533"/>
      <c r="N117" s="2750"/>
      <c r="O117" s="2750"/>
      <c r="P117" s="2759"/>
      <c r="Q117" s="2736"/>
      <c r="R117" s="2722"/>
      <c r="S117" s="2722"/>
      <c r="T117" s="2722"/>
      <c r="U117" s="2722"/>
      <c r="V117" s="2722"/>
      <c r="W117" s="2722"/>
      <c r="X117" s="2722"/>
      <c r="Y117" s="2722"/>
      <c r="Z117" s="2722"/>
      <c r="AA117" s="2722"/>
      <c r="AB117" s="2722"/>
      <c r="AC117" s="2722"/>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51"/>
      <c r="O118" s="2751"/>
      <c r="P118" s="2759"/>
      <c r="Q118" s="2736"/>
      <c r="R118" s="2722"/>
      <c r="S118" s="2722"/>
      <c r="T118" s="2722"/>
      <c r="U118" s="2722"/>
      <c r="V118" s="2722"/>
      <c r="W118" s="2722"/>
      <c r="X118" s="2722"/>
      <c r="Y118" s="2722"/>
      <c r="Z118" s="2722"/>
      <c r="AA118" s="2722"/>
      <c r="AB118" s="2722"/>
      <c r="AC118" s="2722"/>
    </row>
    <row r="119" spans="1:29" ht="15" thickTop="1">
      <c r="A119" s="546"/>
      <c r="B119" s="582" t="s">
        <v>1825</v>
      </c>
      <c r="C119" s="3457" t="s">
        <v>3579</v>
      </c>
      <c r="D119" s="530"/>
      <c r="E119" s="530"/>
      <c r="F119" s="530"/>
      <c r="G119" s="530"/>
      <c r="H119" s="530"/>
      <c r="I119" s="530"/>
      <c r="J119" s="530"/>
      <c r="K119" s="530"/>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1"/>
      <c r="B120" s="490"/>
      <c r="C120" s="529">
        <v>100</v>
      </c>
      <c r="D120" s="491">
        <f>C120-$K41</f>
        <v>98</v>
      </c>
      <c r="E120" s="491">
        <f t="shared" ref="E120:M120" si="36">D120-$K41</f>
        <v>96</v>
      </c>
      <c r="F120" s="491">
        <f t="shared" si="36"/>
        <v>94</v>
      </c>
      <c r="G120" s="491">
        <f t="shared" si="36"/>
        <v>92</v>
      </c>
      <c r="H120" s="491">
        <f t="shared" si="36"/>
        <v>90</v>
      </c>
      <c r="I120" s="491">
        <f t="shared" si="36"/>
        <v>88</v>
      </c>
      <c r="J120" s="491">
        <f t="shared" si="36"/>
        <v>86</v>
      </c>
      <c r="K120" s="491">
        <f t="shared" si="36"/>
        <v>84</v>
      </c>
      <c r="L120" s="491">
        <f t="shared" si="36"/>
        <v>82</v>
      </c>
      <c r="M120" s="491">
        <f t="shared" si="36"/>
        <v>80</v>
      </c>
      <c r="N120" s="2751"/>
      <c r="O120" s="2751"/>
      <c r="P120" s="2759"/>
      <c r="Q120" s="2736"/>
      <c r="R120" s="2722"/>
      <c r="S120" s="2722"/>
      <c r="T120" s="2722"/>
      <c r="U120" s="2722"/>
      <c r="V120" s="2722"/>
      <c r="W120" s="2722"/>
      <c r="X120" s="2722"/>
      <c r="Y120" s="2722"/>
      <c r="Z120" s="2722"/>
      <c r="AA120" s="2722"/>
      <c r="AB120" s="2722"/>
      <c r="AC120" s="2722"/>
    </row>
    <row r="121" spans="1:29" s="420" customFormat="1" ht="15" thickTop="1">
      <c r="A121" s="540"/>
      <c r="B121" s="485" t="s">
        <v>1808</v>
      </c>
      <c r="C121" s="501"/>
      <c r="D121" s="501"/>
      <c r="E121" s="501"/>
      <c r="F121" s="530"/>
      <c r="G121" s="502"/>
      <c r="H121" s="502"/>
      <c r="I121" s="502"/>
      <c r="J121" s="502"/>
      <c r="K121" s="502"/>
      <c r="L121" s="503"/>
      <c r="M121" s="504"/>
      <c r="N121" s="2752"/>
      <c r="O121" s="2752"/>
      <c r="P121" s="2760"/>
      <c r="Q121" s="2743"/>
      <c r="R121" s="2744"/>
      <c r="S121" s="2744"/>
      <c r="T121" s="2744"/>
      <c r="U121" s="2744"/>
      <c r="V121" s="2744"/>
      <c r="W121" s="2744"/>
      <c r="X121" s="2744"/>
      <c r="Y121" s="2744"/>
      <c r="Z121" s="2744"/>
      <c r="AA121" s="2744"/>
      <c r="AB121" s="2744"/>
      <c r="AC121" s="2744"/>
    </row>
    <row r="122" spans="1:29" s="420" customFormat="1" ht="15.75" thickBot="1">
      <c r="A122" s="500"/>
      <c r="B122" s="482"/>
      <c r="C122" s="507"/>
      <c r="D122" s="507"/>
      <c r="E122" s="507"/>
      <c r="F122" s="507"/>
      <c r="G122" s="507"/>
      <c r="H122" s="507"/>
      <c r="I122" s="507"/>
      <c r="J122" s="507"/>
      <c r="K122" s="507"/>
      <c r="L122" s="507"/>
      <c r="M122" s="507"/>
      <c r="N122" s="2752"/>
      <c r="O122" s="2752"/>
      <c r="P122" s="2760"/>
      <c r="Q122" s="2743"/>
      <c r="R122" s="2744"/>
      <c r="S122" s="2744"/>
      <c r="T122" s="2744"/>
      <c r="U122" s="2744"/>
      <c r="V122" s="2744"/>
      <c r="W122" s="2744"/>
      <c r="X122" s="2744"/>
      <c r="Y122" s="2744"/>
      <c r="Z122" s="2744"/>
      <c r="AA122" s="2744"/>
      <c r="AB122" s="2744"/>
      <c r="AC122" s="2744"/>
    </row>
    <row r="123" spans="1:29" ht="15" thickTop="1">
      <c r="A123" s="546"/>
      <c r="B123" s="485" t="s">
        <v>1744</v>
      </c>
      <c r="C123" s="3453" t="s">
        <v>3572</v>
      </c>
      <c r="D123" s="3453" t="s">
        <v>3573</v>
      </c>
      <c r="E123" s="3453" t="s">
        <v>3574</v>
      </c>
      <c r="F123" s="3454" t="s">
        <v>3575</v>
      </c>
      <c r="G123" s="530"/>
      <c r="H123" s="530"/>
      <c r="I123" s="530"/>
      <c r="J123" s="530"/>
      <c r="K123" s="531"/>
      <c r="L123" s="532"/>
      <c r="M123" s="533"/>
      <c r="N123" s="2750"/>
      <c r="O123" s="2750"/>
      <c r="P123" s="2759"/>
      <c r="Q123" s="2736"/>
      <c r="R123" s="2722"/>
      <c r="S123" s="2722"/>
      <c r="T123" s="2722"/>
      <c r="U123" s="2722"/>
      <c r="V123" s="2722"/>
      <c r="W123" s="2722"/>
      <c r="X123" s="2722"/>
      <c r="Y123" s="2722"/>
      <c r="Z123" s="2722"/>
      <c r="AA123" s="2722"/>
      <c r="AB123" s="2722"/>
      <c r="AC123" s="2722"/>
    </row>
    <row r="124" spans="1:29" ht="15.75" thickBot="1">
      <c r="A124" s="481"/>
      <c r="B124" s="490"/>
      <c r="C124" s="491">
        <v>100</v>
      </c>
      <c r="D124" s="491">
        <f t="shared" ref="D124:M124" si="37">C124-$K43</f>
        <v>98</v>
      </c>
      <c r="E124" s="491">
        <f t="shared" si="37"/>
        <v>96</v>
      </c>
      <c r="F124" s="491">
        <f t="shared" si="37"/>
        <v>94</v>
      </c>
      <c r="G124" s="491">
        <f t="shared" si="37"/>
        <v>92</v>
      </c>
      <c r="H124" s="491">
        <f t="shared" si="37"/>
        <v>90</v>
      </c>
      <c r="I124" s="491">
        <f t="shared" si="37"/>
        <v>88</v>
      </c>
      <c r="J124" s="491">
        <f t="shared" si="37"/>
        <v>86</v>
      </c>
      <c r="K124" s="491">
        <f t="shared" si="37"/>
        <v>84</v>
      </c>
      <c r="L124" s="491">
        <f t="shared" si="37"/>
        <v>82</v>
      </c>
      <c r="M124" s="492">
        <f t="shared" si="37"/>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50"/>
      <c r="O125" s="2750"/>
      <c r="P125" s="2760"/>
      <c r="Q125" s="2736"/>
      <c r="R125" s="2722"/>
      <c r="S125" s="2722"/>
      <c r="T125" s="2722"/>
      <c r="U125" s="2722"/>
      <c r="V125" s="2722"/>
      <c r="W125" s="2722"/>
      <c r="X125" s="2722"/>
      <c r="Y125" s="2722"/>
      <c r="Z125" s="2722"/>
      <c r="AA125" s="2722"/>
      <c r="AB125" s="2722"/>
      <c r="AC125" s="2722"/>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51"/>
      <c r="O126" s="2751"/>
      <c r="P126" s="2759"/>
      <c r="Q126" s="2736"/>
      <c r="R126" s="2722"/>
      <c r="S126" s="2722"/>
      <c r="T126" s="2722"/>
      <c r="U126" s="2722"/>
      <c r="V126" s="2722"/>
      <c r="W126" s="2722"/>
      <c r="X126" s="2722"/>
      <c r="Y126" s="2722"/>
      <c r="Z126" s="2722"/>
      <c r="AA126" s="2722"/>
      <c r="AB126" s="2722"/>
      <c r="AC126" s="2722"/>
    </row>
    <row r="127" spans="1:29" s="420" customFormat="1" ht="15" thickTop="1">
      <c r="A127" s="540"/>
      <c r="B127" s="485" t="str">
        <f>B45</f>
        <v>地下面积占比</v>
      </c>
      <c r="C127" s="3453" t="s">
        <v>3749</v>
      </c>
      <c r="D127" s="3456" t="s">
        <v>3750</v>
      </c>
      <c r="E127" s="3456" t="s">
        <v>3751</v>
      </c>
      <c r="F127" s="3453"/>
      <c r="G127" s="501"/>
      <c r="H127" s="502"/>
      <c r="I127" s="502"/>
      <c r="J127" s="502"/>
      <c r="K127" s="502"/>
      <c r="L127" s="503"/>
      <c r="M127" s="504"/>
      <c r="N127" s="2752"/>
      <c r="O127" s="2752"/>
      <c r="P127" s="2760"/>
      <c r="Q127" s="2743"/>
      <c r="R127" s="2744"/>
      <c r="S127" s="2744"/>
      <c r="T127" s="2744"/>
      <c r="U127" s="2744"/>
      <c r="V127" s="2744"/>
      <c r="W127" s="2744"/>
      <c r="X127" s="2744"/>
      <c r="Y127" s="2744"/>
      <c r="Z127" s="2744"/>
      <c r="AA127" s="2744"/>
      <c r="AB127" s="2744"/>
      <c r="AC127" s="2744"/>
    </row>
    <row r="128" spans="1:29" s="420" customFormat="1" ht="15.75" thickBot="1">
      <c r="A128" s="500"/>
      <c r="B128" s="490"/>
      <c r="C128" s="3451">
        <v>100</v>
      </c>
      <c r="D128" s="3452">
        <v>99</v>
      </c>
      <c r="E128" s="3452">
        <v>98</v>
      </c>
      <c r="F128" s="3452"/>
      <c r="G128" s="507"/>
      <c r="H128" s="509"/>
      <c r="I128" s="509"/>
      <c r="J128" s="509"/>
      <c r="K128" s="509"/>
      <c r="L128" s="509"/>
      <c r="M128" s="510"/>
      <c r="N128" s="2752"/>
      <c r="O128" s="2752"/>
      <c r="P128" s="2760"/>
      <c r="Q128" s="2743"/>
      <c r="R128" s="2744"/>
      <c r="S128" s="2744"/>
      <c r="T128" s="2744"/>
      <c r="U128" s="2744"/>
      <c r="V128" s="2744"/>
      <c r="W128" s="2744"/>
      <c r="X128" s="2744"/>
      <c r="Y128" s="2744"/>
      <c r="Z128" s="2744"/>
      <c r="AA128" s="2744"/>
      <c r="AB128" s="2744"/>
      <c r="AC128" s="2744"/>
    </row>
    <row r="129" spans="1:29" ht="15" thickTop="1">
      <c r="A129" s="546"/>
      <c r="B129" s="485">
        <f>B46</f>
        <v>111</v>
      </c>
      <c r="C129" s="501"/>
      <c r="D129" s="501"/>
      <c r="E129" s="501"/>
      <c r="F129" s="501"/>
      <c r="G129" s="530"/>
      <c r="H129" s="530"/>
      <c r="I129" s="530"/>
      <c r="J129" s="530"/>
      <c r="K129" s="531"/>
      <c r="L129" s="532"/>
      <c r="M129" s="533"/>
      <c r="N129" s="2750"/>
      <c r="O129" s="2750"/>
      <c r="P129" s="2759"/>
      <c r="Q129" s="2736"/>
      <c r="R129" s="2722"/>
      <c r="S129" s="2722"/>
      <c r="T129" s="2722"/>
      <c r="U129" s="2722"/>
      <c r="V129" s="2722"/>
      <c r="W129" s="2722"/>
      <c r="X129" s="2722"/>
      <c r="Y129" s="2722"/>
      <c r="Z129" s="2722"/>
      <c r="AA129" s="2722"/>
      <c r="AB129" s="2722"/>
      <c r="AC129" s="2722"/>
    </row>
    <row r="130" spans="1:29" ht="15.75" thickBot="1">
      <c r="A130" s="481"/>
      <c r="B130" s="490"/>
      <c r="C130" s="507"/>
      <c r="D130" s="507"/>
      <c r="E130" s="507"/>
      <c r="F130" s="507"/>
      <c r="G130" s="483"/>
      <c r="H130" s="483"/>
      <c r="I130" s="483"/>
      <c r="J130" s="483"/>
      <c r="K130" s="483"/>
      <c r="L130" s="483"/>
      <c r="M130" s="484"/>
      <c r="N130" s="2751"/>
      <c r="O130" s="2751"/>
      <c r="P130" s="2759"/>
      <c r="Q130" s="2736"/>
      <c r="R130" s="2722"/>
      <c r="S130" s="2722"/>
      <c r="T130" s="2722"/>
      <c r="U130" s="2722"/>
      <c r="V130" s="2722"/>
      <c r="W130" s="2722"/>
      <c r="X130" s="2722"/>
      <c r="Y130" s="2722"/>
      <c r="Z130" s="2722"/>
      <c r="AA130" s="2722"/>
      <c r="AB130" s="2722"/>
      <c r="AC130" s="2722"/>
    </row>
    <row r="131" spans="1:29" ht="15" thickTop="1">
      <c r="A131" s="546"/>
      <c r="B131" s="493">
        <f>B47</f>
        <v>111</v>
      </c>
      <c r="C131" s="470"/>
      <c r="D131" s="470"/>
      <c r="E131" s="470"/>
      <c r="F131" s="470"/>
      <c r="G131" s="534"/>
      <c r="H131" s="534"/>
      <c r="I131" s="534"/>
      <c r="J131" s="534"/>
      <c r="K131" s="470"/>
      <c r="L131" s="471"/>
      <c r="M131" s="537"/>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6"/>
      <c r="C132" s="517"/>
      <c r="D132" s="517"/>
      <c r="E132" s="517"/>
      <c r="F132" s="517"/>
      <c r="G132" s="538"/>
      <c r="H132" s="538"/>
      <c r="I132" s="538"/>
      <c r="J132" s="538"/>
      <c r="K132" s="538"/>
      <c r="L132" s="538"/>
      <c r="M132" s="539"/>
      <c r="N132" s="2751"/>
      <c r="O132" s="2751"/>
      <c r="P132" s="2759"/>
      <c r="Q132" s="2736"/>
      <c r="R132" s="2722"/>
      <c r="S132" s="2722"/>
      <c r="T132" s="2722"/>
      <c r="U132" s="2722"/>
      <c r="V132" s="2722"/>
      <c r="W132" s="2722"/>
      <c r="X132" s="2722"/>
      <c r="Y132" s="2722"/>
      <c r="Z132" s="2722"/>
      <c r="AA132" s="2722"/>
      <c r="AB132" s="2722"/>
      <c r="AC132" s="272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G35 E35 I35">
      <formula1>办公建筑结构</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G20 C20 E20 I20">
      <formula1>公共配套设施</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G33 E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G38 E38 I38">
      <formula1>写字楼等级</formula1>
    </dataValidation>
    <dataValidation type="list" allowBlank="1" showInputMessage="1" showErrorMessage="1" sqref="C39 G39 E39 I39">
      <formula1>办公物业管理</formula1>
    </dataValidation>
    <dataValidation type="list" allowBlank="1" showInputMessage="1" showErrorMessage="1" sqref="C40 G40 E40 I40">
      <formula1>办公基础设施水平</formula1>
    </dataValidation>
    <dataValidation type="list" allowBlank="1" showInputMessage="1" showErrorMessage="1" sqref="C41 G41 E41 I41">
      <formula1>办公层高</formula1>
    </dataValidation>
    <dataValidation type="list" allowBlank="1" showInputMessage="1" showErrorMessage="1" sqref="C43 G43 E43 I43">
      <formula1>办公内部装修</formula1>
    </dataValidation>
    <dataValidation type="list" allowBlank="1" showInputMessage="1" showErrorMessage="1" sqref="C8 E8 G8 I8">
      <formula1>办公交易情况</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c r="E1" s="3431"/>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0</v>
      </c>
      <c r="C3" s="352" t="s">
        <v>1768</v>
      </c>
      <c r="D3" s="351">
        <f>IF(D1="",'数据-汇总表'!E3,SUMIF('数据-汇总表'!$C19:$C33,D1,'数据-汇总表'!$E19:$E33))</f>
        <v>12000.23</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886" t="s">
        <v>1770</v>
      </c>
      <c r="D4" s="3887"/>
      <c r="E4" s="3888" t="s">
        <v>1771</v>
      </c>
      <c r="F4" s="3889"/>
      <c r="G4" s="3886" t="s">
        <v>1772</v>
      </c>
      <c r="H4" s="3887"/>
      <c r="I4" s="3886" t="s">
        <v>1773</v>
      </c>
      <c r="J4" s="3887"/>
      <c r="K4" s="557" t="s">
        <v>1774</v>
      </c>
      <c r="L4" s="910"/>
      <c r="M4" s="911"/>
      <c r="N4" s="911"/>
      <c r="O4" s="911"/>
      <c r="P4" s="3890" t="s">
        <v>1775</v>
      </c>
      <c r="Q4" s="3891"/>
      <c r="R4" s="3896" t="s">
        <v>1771</v>
      </c>
      <c r="S4" s="3897"/>
      <c r="T4" s="3896" t="s">
        <v>1772</v>
      </c>
      <c r="U4" s="3897"/>
      <c r="V4" s="3902" t="s">
        <v>1773</v>
      </c>
      <c r="W4" s="3902"/>
      <c r="X4" s="1352"/>
      <c r="Y4" s="3896" t="s">
        <v>1775</v>
      </c>
      <c r="Z4" s="3897"/>
      <c r="AA4" s="3883" t="s">
        <v>1771</v>
      </c>
      <c r="AB4" s="3884" t="s">
        <v>1772</v>
      </c>
      <c r="AC4" s="3883" t="s">
        <v>1773</v>
      </c>
    </row>
    <row r="5" spans="1:29" ht="15">
      <c r="A5" s="356"/>
      <c r="B5" s="357"/>
      <c r="C5" s="3905" t="s">
        <v>1673</v>
      </c>
      <c r="D5" s="3906"/>
      <c r="E5" s="3912" t="s">
        <v>1674</v>
      </c>
      <c r="F5" s="3913"/>
      <c r="G5" s="3905" t="s">
        <v>1675</v>
      </c>
      <c r="H5" s="3906"/>
      <c r="I5" s="3905" t="s">
        <v>1676</v>
      </c>
      <c r="J5" s="3906"/>
      <c r="K5" s="557"/>
      <c r="L5" s="910"/>
      <c r="M5" s="911"/>
      <c r="N5" s="911"/>
      <c r="O5" s="911"/>
      <c r="P5" s="3892"/>
      <c r="Q5" s="3893"/>
      <c r="R5" s="3898"/>
      <c r="S5" s="3899"/>
      <c r="T5" s="3898"/>
      <c r="U5" s="3899"/>
      <c r="V5" s="3902"/>
      <c r="W5" s="3902"/>
      <c r="X5" s="1352"/>
      <c r="Y5" s="3898"/>
      <c r="Z5" s="3899"/>
      <c r="AA5" s="3884"/>
      <c r="AB5" s="3884"/>
      <c r="AC5" s="3884"/>
    </row>
    <row r="6" spans="1:29" ht="15.75" thickBot="1">
      <c r="A6" s="358"/>
      <c r="B6" s="359"/>
      <c r="C6" s="3903" t="s">
        <v>1677</v>
      </c>
      <c r="D6" s="3904"/>
      <c r="E6" s="3910" t="s">
        <v>1677</v>
      </c>
      <c r="F6" s="3911"/>
      <c r="G6" s="3903" t="s">
        <v>1677</v>
      </c>
      <c r="H6" s="3904"/>
      <c r="I6" s="3903" t="s">
        <v>1677</v>
      </c>
      <c r="J6" s="3904"/>
      <c r="K6" s="557" t="s">
        <v>1678</v>
      </c>
      <c r="L6" s="910"/>
      <c r="M6" s="911"/>
      <c r="N6" s="911"/>
      <c r="O6" s="911"/>
      <c r="P6" s="3894"/>
      <c r="Q6" s="3895"/>
      <c r="R6" s="3898"/>
      <c r="S6" s="3899"/>
      <c r="T6" s="3900"/>
      <c r="U6" s="3901"/>
      <c r="V6" s="3902"/>
      <c r="W6" s="3902"/>
      <c r="X6" s="1352"/>
      <c r="Y6" s="3900"/>
      <c r="Z6" s="3901"/>
      <c r="AA6" s="3885"/>
      <c r="AB6" s="3885"/>
      <c r="AC6" s="3885"/>
    </row>
    <row r="7" spans="1:29" s="107" customFormat="1" ht="15.75" thickBot="1">
      <c r="A7" s="360" t="s">
        <v>1679</v>
      </c>
      <c r="B7" s="361"/>
      <c r="C7" s="362">
        <f>'数据-取费表'!B2</f>
        <v>44937</v>
      </c>
      <c r="D7" s="363">
        <v>100</v>
      </c>
      <c r="E7" s="364"/>
      <c r="F7" s="365">
        <f>SUMIF(52:52,YEAR(E7)&amp;"-"&amp;MONTH(E7),53:53)</f>
        <v>0</v>
      </c>
      <c r="G7" s="364"/>
      <c r="H7" s="363">
        <f>SUMIF(52:52,YEAR(G7)&amp;"-"&amp;MONTH(G7),53:53)</f>
        <v>0</v>
      </c>
      <c r="I7" s="364"/>
      <c r="J7" s="363">
        <f>SUMIF(52:52,YEAR(I7)&amp;"-"&amp;MONTH(I7),53:53)</f>
        <v>0</v>
      </c>
      <c r="K7" s="558"/>
      <c r="L7" s="912"/>
      <c r="M7" s="913"/>
      <c r="N7" s="913"/>
      <c r="O7" s="913"/>
      <c r="P7" s="3907" t="s">
        <v>1680</v>
      </c>
      <c r="Q7" s="3909"/>
      <c r="R7" s="698" t="s">
        <v>14</v>
      </c>
      <c r="S7" s="699">
        <f t="shared" ref="S7:S15" si="0">F7</f>
        <v>0</v>
      </c>
      <c r="T7" s="698" t="s">
        <v>14</v>
      </c>
      <c r="U7" s="699">
        <f t="shared" ref="U7:U15" si="1">H7</f>
        <v>0</v>
      </c>
      <c r="V7" s="698" t="s">
        <v>14</v>
      </c>
      <c r="W7" s="699">
        <f t="shared" ref="W7:W15" si="2">J7</f>
        <v>0</v>
      </c>
      <c r="X7" s="700"/>
      <c r="Y7" s="3907" t="s">
        <v>1680</v>
      </c>
      <c r="Z7" s="3908"/>
      <c r="AA7" s="701" t="e">
        <f>D7/F7</f>
        <v>#DIV/0!</v>
      </c>
      <c r="AB7" s="701" t="e">
        <f>D7/H7</f>
        <v>#DIV/0!</v>
      </c>
      <c r="AC7" s="701"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2"/>
      <c r="M8" s="913"/>
      <c r="N8" s="913"/>
      <c r="O8" s="913"/>
      <c r="P8" s="3907" t="s">
        <v>1683</v>
      </c>
      <c r="Q8" s="3908"/>
      <c r="R8" s="698" t="s">
        <v>14</v>
      </c>
      <c r="S8" s="699">
        <f t="shared" si="0"/>
        <v>100</v>
      </c>
      <c r="T8" s="698" t="s">
        <v>14</v>
      </c>
      <c r="U8" s="699">
        <f t="shared" si="1"/>
        <v>100</v>
      </c>
      <c r="V8" s="698" t="s">
        <v>14</v>
      </c>
      <c r="W8" s="699">
        <f t="shared" si="2"/>
        <v>100</v>
      </c>
      <c r="X8" s="700"/>
      <c r="Y8" s="3907" t="s">
        <v>1683</v>
      </c>
      <c r="Z8" s="3908"/>
      <c r="AA8" s="701">
        <f t="shared" ref="AA8:AA40" si="3">D8/F8</f>
        <v>1</v>
      </c>
      <c r="AB8" s="701">
        <f t="shared" ref="AB8:AB40" si="4">D8/H8</f>
        <v>1</v>
      </c>
      <c r="AC8" s="701">
        <f t="shared" ref="AC8:AC40" si="5">D8/J8</f>
        <v>1</v>
      </c>
    </row>
    <row r="9" spans="1:29" s="107"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2"/>
      <c r="M9" s="913"/>
      <c r="N9" s="913"/>
      <c r="O9" s="914"/>
      <c r="P9" s="3871" t="s">
        <v>1686</v>
      </c>
      <c r="Q9" s="1340" t="str">
        <f t="shared" ref="Q9:Q15" si="6">B9</f>
        <v>用途</v>
      </c>
      <c r="R9" s="698" t="s">
        <v>14</v>
      </c>
      <c r="S9" s="699">
        <f t="shared" si="0"/>
        <v>100</v>
      </c>
      <c r="T9" s="698" t="s">
        <v>14</v>
      </c>
      <c r="U9" s="699">
        <f t="shared" si="1"/>
        <v>100</v>
      </c>
      <c r="V9" s="698" t="s">
        <v>14</v>
      </c>
      <c r="W9" s="699">
        <f t="shared" si="2"/>
        <v>100</v>
      </c>
      <c r="X9" s="700"/>
      <c r="Y9" s="3746" t="s">
        <v>1687</v>
      </c>
      <c r="Z9" s="52" t="str">
        <f t="shared" ref="Z9:Z15" si="7">Q9</f>
        <v>用途</v>
      </c>
      <c r="AA9" s="701">
        <f t="shared" si="3"/>
        <v>1</v>
      </c>
      <c r="AB9" s="701">
        <f t="shared" si="4"/>
        <v>1</v>
      </c>
      <c r="AC9" s="701">
        <f t="shared" si="5"/>
        <v>1</v>
      </c>
    </row>
    <row r="10" spans="1:29" s="376" customFormat="1" ht="27">
      <c r="A10" s="372"/>
      <c r="B10" s="373" t="s">
        <v>1688</v>
      </c>
      <c r="C10" s="3432"/>
      <c r="D10" s="125">
        <v>100</v>
      </c>
      <c r="E10" s="3432"/>
      <c r="F10" s="125">
        <f>SUMIF(59:59,E10,60:60)-SUMIF(59:59,C10,60:60)+100</f>
        <v>100</v>
      </c>
      <c r="G10" s="3433"/>
      <c r="H10" s="125">
        <f>SUMIF(59:59,G10,60:60)-SUMIF(59:59,C10,60:60)+100</f>
        <v>100</v>
      </c>
      <c r="I10" s="3432"/>
      <c r="J10" s="125">
        <f>SUMIF(59:59,I10,60:60)-SUMIF(59:59,C10,60:60)+100</f>
        <v>100</v>
      </c>
      <c r="K10" s="558"/>
      <c r="L10" s="915"/>
      <c r="M10" s="916"/>
      <c r="N10" s="916"/>
      <c r="O10" s="917"/>
      <c r="P10" s="3871"/>
      <c r="Q10" s="1340" t="str">
        <f t="shared" si="6"/>
        <v>土地使用年限（年）</v>
      </c>
      <c r="R10" s="698" t="s">
        <v>14</v>
      </c>
      <c r="S10" s="699">
        <f t="shared" si="0"/>
        <v>100</v>
      </c>
      <c r="T10" s="698" t="s">
        <v>14</v>
      </c>
      <c r="U10" s="699">
        <f t="shared" si="1"/>
        <v>100</v>
      </c>
      <c r="V10" s="698" t="s">
        <v>14</v>
      </c>
      <c r="W10" s="699">
        <f t="shared" si="2"/>
        <v>100</v>
      </c>
      <c r="X10" s="700"/>
      <c r="Y10" s="3746"/>
      <c r="Z10" s="52" t="str">
        <f t="shared" si="7"/>
        <v>土地使用年限（年）</v>
      </c>
      <c r="AA10" s="701">
        <f t="shared" si="3"/>
        <v>1</v>
      </c>
      <c r="AB10" s="701">
        <f t="shared" si="4"/>
        <v>1</v>
      </c>
      <c r="AC10" s="701">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871"/>
      <c r="Q11" s="1340" t="str">
        <f t="shared" si="6"/>
        <v>容积率</v>
      </c>
      <c r="R11" s="698" t="s">
        <v>14</v>
      </c>
      <c r="S11" s="699">
        <f t="shared" si="0"/>
        <v>100</v>
      </c>
      <c r="T11" s="698" t="s">
        <v>14</v>
      </c>
      <c r="U11" s="699">
        <f t="shared" si="1"/>
        <v>100</v>
      </c>
      <c r="V11" s="698" t="s">
        <v>14</v>
      </c>
      <c r="W11" s="699">
        <f t="shared" si="2"/>
        <v>100</v>
      </c>
      <c r="X11" s="700"/>
      <c r="Y11" s="3746"/>
      <c r="Z11" s="52" t="str">
        <f t="shared" si="7"/>
        <v>容积率</v>
      </c>
      <c r="AA11" s="701">
        <f t="shared" si="3"/>
        <v>1</v>
      </c>
      <c r="AB11" s="701">
        <f t="shared" si="4"/>
        <v>1</v>
      </c>
      <c r="AC11" s="701">
        <f t="shared" si="5"/>
        <v>1</v>
      </c>
    </row>
    <row r="12" spans="1:29" s="107" customFormat="1" ht="15">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871"/>
      <c r="Q12" s="1340">
        <f t="shared" si="6"/>
        <v>111</v>
      </c>
      <c r="R12" s="698" t="s">
        <v>14</v>
      </c>
      <c r="S12" s="699">
        <f t="shared" si="0"/>
        <v>100</v>
      </c>
      <c r="T12" s="698" t="s">
        <v>14</v>
      </c>
      <c r="U12" s="699">
        <f t="shared" si="1"/>
        <v>100</v>
      </c>
      <c r="V12" s="698" t="s">
        <v>14</v>
      </c>
      <c r="W12" s="699">
        <f t="shared" si="2"/>
        <v>100</v>
      </c>
      <c r="X12" s="700"/>
      <c r="Y12" s="3746"/>
      <c r="Z12" s="52">
        <f t="shared" si="7"/>
        <v>111</v>
      </c>
      <c r="AA12" s="701">
        <f>D12/F12</f>
        <v>1</v>
      </c>
      <c r="AB12" s="701">
        <f>D12/H12</f>
        <v>1</v>
      </c>
      <c r="AC12" s="701">
        <f>D12/J12</f>
        <v>1</v>
      </c>
    </row>
    <row r="13" spans="1:29" ht="15">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871"/>
      <c r="Q13" s="1340">
        <f t="shared" si="6"/>
        <v>111</v>
      </c>
      <c r="R13" s="698" t="s">
        <v>14</v>
      </c>
      <c r="S13" s="699">
        <f t="shared" si="0"/>
        <v>100</v>
      </c>
      <c r="T13" s="698" t="s">
        <v>14</v>
      </c>
      <c r="U13" s="699">
        <f t="shared" si="1"/>
        <v>100</v>
      </c>
      <c r="V13" s="698" t="s">
        <v>14</v>
      </c>
      <c r="W13" s="699">
        <f t="shared" si="2"/>
        <v>100</v>
      </c>
      <c r="X13" s="700"/>
      <c r="Y13" s="3746"/>
      <c r="Z13" s="52">
        <f t="shared" si="7"/>
        <v>111</v>
      </c>
      <c r="AA13" s="701">
        <f t="shared" si="3"/>
        <v>1</v>
      </c>
      <c r="AB13" s="701">
        <f t="shared" si="4"/>
        <v>1</v>
      </c>
      <c r="AC13" s="701">
        <f t="shared" si="5"/>
        <v>1</v>
      </c>
    </row>
    <row r="14" spans="1:29" ht="15.75"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871"/>
      <c r="Q14" s="1340">
        <f t="shared" si="6"/>
        <v>111</v>
      </c>
      <c r="R14" s="698" t="s">
        <v>14</v>
      </c>
      <c r="S14" s="699">
        <f t="shared" si="0"/>
        <v>100</v>
      </c>
      <c r="T14" s="698" t="s">
        <v>14</v>
      </c>
      <c r="U14" s="699">
        <f t="shared" si="1"/>
        <v>100</v>
      </c>
      <c r="V14" s="698" t="s">
        <v>14</v>
      </c>
      <c r="W14" s="699">
        <f t="shared" si="2"/>
        <v>100</v>
      </c>
      <c r="X14" s="700"/>
      <c r="Y14" s="3746"/>
      <c r="Z14" s="52">
        <f t="shared" si="7"/>
        <v>111</v>
      </c>
      <c r="AA14" s="701">
        <f t="shared" si="3"/>
        <v>1</v>
      </c>
      <c r="AB14" s="701">
        <f t="shared" si="4"/>
        <v>1</v>
      </c>
      <c r="AC14" s="701">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0"/>
      <c r="M15" s="911"/>
      <c r="N15" s="911"/>
      <c r="O15" s="919"/>
      <c r="P15" s="3873" t="s">
        <v>1691</v>
      </c>
      <c r="Q15" s="1349" t="str">
        <f t="shared" si="6"/>
        <v>产业集聚程度</v>
      </c>
      <c r="R15" s="702" t="s">
        <v>14</v>
      </c>
      <c r="S15" s="703">
        <f t="shared" si="0"/>
        <v>100</v>
      </c>
      <c r="T15" s="702" t="s">
        <v>14</v>
      </c>
      <c r="U15" s="703">
        <f t="shared" si="1"/>
        <v>100</v>
      </c>
      <c r="V15" s="702" t="s">
        <v>14</v>
      </c>
      <c r="W15" s="703">
        <f t="shared" si="2"/>
        <v>100</v>
      </c>
      <c r="X15" s="1352"/>
      <c r="Y15" s="3873" t="s">
        <v>1691</v>
      </c>
      <c r="Z15" s="1353" t="str">
        <f t="shared" si="7"/>
        <v>产业集聚程度</v>
      </c>
      <c r="AA15" s="1350">
        <f t="shared" si="3"/>
        <v>1</v>
      </c>
      <c r="AB15" s="1350">
        <f t="shared" si="4"/>
        <v>1</v>
      </c>
      <c r="AC15" s="1350">
        <f t="shared" si="5"/>
        <v>1</v>
      </c>
    </row>
    <row r="16" spans="1:29" ht="15">
      <c r="A16" s="377"/>
      <c r="B16" s="395"/>
      <c r="C16" s="396"/>
      <c r="D16" s="397"/>
      <c r="E16" s="396"/>
      <c r="F16" s="398"/>
      <c r="G16" s="396"/>
      <c r="H16" s="399"/>
      <c r="I16" s="396"/>
      <c r="J16" s="397"/>
      <c r="K16" s="562"/>
      <c r="L16" s="920"/>
      <c r="M16" s="911"/>
      <c r="N16" s="911"/>
      <c r="O16" s="919"/>
      <c r="P16" s="3874"/>
      <c r="Q16" s="1349"/>
      <c r="R16" s="702"/>
      <c r="S16" s="703"/>
      <c r="T16" s="702"/>
      <c r="U16" s="703"/>
      <c r="V16" s="702"/>
      <c r="W16" s="703"/>
      <c r="X16" s="1352"/>
      <c r="Y16" s="3874"/>
      <c r="Z16" s="1353"/>
      <c r="AA16" s="1350">
        <v>1</v>
      </c>
      <c r="AB16" s="1350">
        <v>1</v>
      </c>
      <c r="AC16" s="1350">
        <v>1</v>
      </c>
    </row>
    <row r="17" spans="1:29" ht="85.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0"/>
      <c r="M17" s="911"/>
      <c r="N17" s="911"/>
      <c r="O17" s="919"/>
      <c r="P17" s="3874"/>
      <c r="Q17" s="1349" t="str">
        <f>B17</f>
        <v>交通便捷度</v>
      </c>
      <c r="R17" s="702" t="s">
        <v>14</v>
      </c>
      <c r="S17" s="703">
        <f>F17</f>
        <v>100</v>
      </c>
      <c r="T17" s="702" t="s">
        <v>14</v>
      </c>
      <c r="U17" s="703">
        <f>H17</f>
        <v>100</v>
      </c>
      <c r="V17" s="702" t="s">
        <v>14</v>
      </c>
      <c r="W17" s="703">
        <f>J17</f>
        <v>100</v>
      </c>
      <c r="X17" s="1352"/>
      <c r="Y17" s="3874"/>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920"/>
      <c r="M18" s="911"/>
      <c r="N18" s="911"/>
      <c r="O18" s="919"/>
      <c r="P18" s="3874"/>
      <c r="Q18" s="1349"/>
      <c r="R18" s="702"/>
      <c r="S18" s="703"/>
      <c r="T18" s="702"/>
      <c r="U18" s="703"/>
      <c r="V18" s="702"/>
      <c r="W18" s="703"/>
      <c r="X18" s="1352"/>
      <c r="Y18" s="3874"/>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0"/>
      <c r="M19" s="911"/>
      <c r="N19" s="911"/>
      <c r="O19" s="919"/>
      <c r="P19" s="3874"/>
      <c r="Q19" s="1349" t="str">
        <f>B19</f>
        <v>公共配套设施</v>
      </c>
      <c r="R19" s="702" t="s">
        <v>14</v>
      </c>
      <c r="S19" s="703">
        <f>F19</f>
        <v>100</v>
      </c>
      <c r="T19" s="702" t="s">
        <v>14</v>
      </c>
      <c r="U19" s="703">
        <f>H19</f>
        <v>100</v>
      </c>
      <c r="V19" s="702" t="s">
        <v>14</v>
      </c>
      <c r="W19" s="703">
        <f>J19</f>
        <v>100</v>
      </c>
      <c r="X19" s="1352"/>
      <c r="Y19" s="3874"/>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920"/>
      <c r="M20" s="911"/>
      <c r="N20" s="911"/>
      <c r="O20" s="919"/>
      <c r="P20" s="3874"/>
      <c r="Q20" s="1349"/>
      <c r="R20" s="702"/>
      <c r="S20" s="703"/>
      <c r="T20" s="702"/>
      <c r="U20" s="703"/>
      <c r="V20" s="702"/>
      <c r="W20" s="703"/>
      <c r="X20" s="1352"/>
      <c r="Y20" s="3874"/>
      <c r="Z20" s="1353"/>
      <c r="AA20" s="1350">
        <v>1</v>
      </c>
      <c r="AB20" s="1350">
        <v>1</v>
      </c>
      <c r="AC20" s="1350">
        <v>1</v>
      </c>
    </row>
    <row r="21" spans="1:29" ht="28.5">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0"/>
      <c r="M21" s="911"/>
      <c r="N21" s="911"/>
      <c r="O21" s="919"/>
      <c r="P21" s="3874"/>
      <c r="Q21" s="1349" t="str">
        <f>B21</f>
        <v>基础设施水平</v>
      </c>
      <c r="R21" s="702" t="s">
        <v>14</v>
      </c>
      <c r="S21" s="703">
        <f>F21</f>
        <v>100</v>
      </c>
      <c r="T21" s="702" t="s">
        <v>14</v>
      </c>
      <c r="U21" s="703">
        <f>H21</f>
        <v>100</v>
      </c>
      <c r="V21" s="702" t="s">
        <v>14</v>
      </c>
      <c r="W21" s="703">
        <f>J21</f>
        <v>100</v>
      </c>
      <c r="X21" s="1352"/>
      <c r="Y21" s="3874"/>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920"/>
      <c r="M22" s="911"/>
      <c r="N22" s="911"/>
      <c r="O22" s="919"/>
      <c r="P22" s="3874"/>
      <c r="Q22" s="1349"/>
      <c r="R22" s="702"/>
      <c r="S22" s="703"/>
      <c r="T22" s="702"/>
      <c r="U22" s="703"/>
      <c r="V22" s="702"/>
      <c r="W22" s="703"/>
      <c r="X22" s="1352"/>
      <c r="Y22" s="3874"/>
      <c r="Z22" s="1353"/>
      <c r="AA22" s="1350">
        <v>1</v>
      </c>
      <c r="AB22" s="1350">
        <v>1</v>
      </c>
      <c r="AC22" s="1350">
        <v>1</v>
      </c>
    </row>
    <row r="23" spans="1:29" ht="71.25">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0"/>
      <c r="M23" s="911"/>
      <c r="N23" s="911"/>
      <c r="O23" s="919"/>
      <c r="P23" s="3874"/>
      <c r="Q23" s="1349" t="str">
        <f>B23</f>
        <v>环境质量</v>
      </c>
      <c r="R23" s="702" t="s">
        <v>14</v>
      </c>
      <c r="S23" s="703">
        <f>F23</f>
        <v>100</v>
      </c>
      <c r="T23" s="702" t="s">
        <v>14</v>
      </c>
      <c r="U23" s="703">
        <f>H23</f>
        <v>100</v>
      </c>
      <c r="V23" s="702" t="s">
        <v>14</v>
      </c>
      <c r="W23" s="703">
        <f>J23</f>
        <v>100</v>
      </c>
      <c r="X23" s="1352"/>
      <c r="Y23" s="3874"/>
      <c r="Z23" s="1353" t="str">
        <f>Q23</f>
        <v>环境质量</v>
      </c>
      <c r="AA23" s="1350">
        <f t="shared" si="3"/>
        <v>1</v>
      </c>
      <c r="AB23" s="1350">
        <f t="shared" si="4"/>
        <v>1</v>
      </c>
      <c r="AC23" s="1350">
        <f t="shared" si="5"/>
        <v>1</v>
      </c>
    </row>
    <row r="24" spans="1:29" ht="15">
      <c r="A24" s="377"/>
      <c r="B24" s="1128"/>
      <c r="C24" s="396"/>
      <c r="D24" s="397"/>
      <c r="E24" s="1895"/>
      <c r="F24" s="398"/>
      <c r="G24" s="1894"/>
      <c r="H24" s="397"/>
      <c r="I24" s="1895"/>
      <c r="J24" s="397"/>
      <c r="K24" s="562"/>
      <c r="L24" s="920"/>
      <c r="M24" s="911"/>
      <c r="N24" s="911"/>
      <c r="O24" s="919"/>
      <c r="P24" s="3874"/>
      <c r="Q24" s="1349"/>
      <c r="R24" s="702"/>
      <c r="S24" s="703"/>
      <c r="T24" s="702"/>
      <c r="U24" s="703"/>
      <c r="V24" s="702"/>
      <c r="W24" s="703"/>
      <c r="X24" s="1352"/>
      <c r="Y24" s="3874"/>
      <c r="Z24" s="1353"/>
      <c r="AA24" s="1350">
        <v>1</v>
      </c>
      <c r="AB24" s="1350">
        <v>1</v>
      </c>
      <c r="AC24" s="1350">
        <v>1</v>
      </c>
    </row>
    <row r="25" spans="1:29" ht="15">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874"/>
      <c r="Q25" s="1349">
        <f>B25</f>
        <v>111</v>
      </c>
      <c r="R25" s="702" t="s">
        <v>14</v>
      </c>
      <c r="S25" s="703">
        <f>F25</f>
        <v>100</v>
      </c>
      <c r="T25" s="702" t="s">
        <v>14</v>
      </c>
      <c r="U25" s="703">
        <f>H25</f>
        <v>100</v>
      </c>
      <c r="V25" s="702" t="s">
        <v>14</v>
      </c>
      <c r="W25" s="703">
        <f>J25</f>
        <v>100</v>
      </c>
      <c r="X25" s="1352"/>
      <c r="Y25" s="3874"/>
      <c r="Z25" s="1353">
        <f>Q25</f>
        <v>111</v>
      </c>
      <c r="AA25" s="1350">
        <f t="shared" si="3"/>
        <v>1</v>
      </c>
      <c r="AB25" s="1350">
        <f t="shared" si="4"/>
        <v>1</v>
      </c>
      <c r="AC25" s="1350">
        <f t="shared" si="5"/>
        <v>1</v>
      </c>
    </row>
    <row r="26" spans="1:29" ht="15">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874"/>
      <c r="Q26" s="1349">
        <f t="shared" ref="Q26:Q40" si="11">B26</f>
        <v>111</v>
      </c>
      <c r="R26" s="702" t="s">
        <v>14</v>
      </c>
      <c r="S26" s="703">
        <f>F26</f>
        <v>100</v>
      </c>
      <c r="T26" s="702" t="s">
        <v>14</v>
      </c>
      <c r="U26" s="703">
        <f>H26</f>
        <v>100</v>
      </c>
      <c r="V26" s="702" t="s">
        <v>14</v>
      </c>
      <c r="W26" s="703">
        <f>J26</f>
        <v>100</v>
      </c>
      <c r="X26" s="1352"/>
      <c r="Y26" s="3874"/>
      <c r="Z26" s="1353">
        <f>Q26</f>
        <v>111</v>
      </c>
      <c r="AA26" s="1350">
        <f t="shared" si="3"/>
        <v>1</v>
      </c>
      <c r="AB26" s="1350">
        <f t="shared" si="4"/>
        <v>1</v>
      </c>
      <c r="AC26" s="1350">
        <f t="shared" si="5"/>
        <v>1</v>
      </c>
    </row>
    <row r="27" spans="1:29" s="107" customFormat="1" ht="15">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874"/>
      <c r="Q27" s="1340">
        <f t="shared" si="11"/>
        <v>111</v>
      </c>
      <c r="R27" s="698" t="s">
        <v>14</v>
      </c>
      <c r="S27" s="699">
        <f>F27</f>
        <v>100</v>
      </c>
      <c r="T27" s="698" t="s">
        <v>14</v>
      </c>
      <c r="U27" s="699">
        <f>H27</f>
        <v>100</v>
      </c>
      <c r="V27" s="698" t="s">
        <v>14</v>
      </c>
      <c r="W27" s="699">
        <f>J27</f>
        <v>100</v>
      </c>
      <c r="X27" s="700"/>
      <c r="Y27" s="3874"/>
      <c r="Z27" s="52">
        <f>Q27</f>
        <v>111</v>
      </c>
      <c r="AA27" s="1350">
        <f>D27/F27</f>
        <v>1</v>
      </c>
      <c r="AB27" s="1350">
        <f>D27/H27</f>
        <v>1</v>
      </c>
      <c r="AC27" s="1350">
        <f>D27/J27</f>
        <v>1</v>
      </c>
    </row>
    <row r="28" spans="1:29" ht="15.75"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874"/>
      <c r="Q28" s="1349">
        <f t="shared" si="11"/>
        <v>111</v>
      </c>
      <c r="R28" s="702" t="s">
        <v>14</v>
      </c>
      <c r="S28" s="703">
        <f t="shared" ref="S28:S40" si="12">F28</f>
        <v>100</v>
      </c>
      <c r="T28" s="702" t="s">
        <v>14</v>
      </c>
      <c r="U28" s="703">
        <f t="shared" ref="U28:U40" si="13">H28</f>
        <v>100</v>
      </c>
      <c r="V28" s="702" t="s">
        <v>14</v>
      </c>
      <c r="W28" s="703">
        <f t="shared" ref="W28:W40" si="14">J28</f>
        <v>100</v>
      </c>
      <c r="X28" s="1352"/>
      <c r="Y28" s="3874"/>
      <c r="Z28" s="1353">
        <f t="shared" ref="Z28:Z40" si="15">Q28</f>
        <v>111</v>
      </c>
      <c r="AA28" s="1350">
        <f t="shared" si="3"/>
        <v>1</v>
      </c>
      <c r="AB28" s="1350">
        <f t="shared" si="4"/>
        <v>1</v>
      </c>
      <c r="AC28" s="1350">
        <f t="shared" si="5"/>
        <v>1</v>
      </c>
    </row>
    <row r="29" spans="1:29" ht="28.5">
      <c r="A29" s="415" t="s">
        <v>1694</v>
      </c>
      <c r="B29" s="63" t="s">
        <v>1817</v>
      </c>
      <c r="C29" s="1964"/>
      <c r="D29" s="416">
        <v>100</v>
      </c>
      <c r="E29" s="1964"/>
      <c r="F29" s="410">
        <f>SUMIF(88:88,E29,89:89)-SUMIF(88:88,C29,89:89)+100</f>
        <v>100</v>
      </c>
      <c r="G29" s="1964"/>
      <c r="H29" s="384">
        <f>SUMIF(88:88,G29,89:89)-SUMIF(88:88,C29,89:89)+100</f>
        <v>100</v>
      </c>
      <c r="I29" s="1964"/>
      <c r="J29" s="416">
        <f>SUMIF(88:88,I29,89:89)-SUMIF(88:88,C29,89:89)+100</f>
        <v>100</v>
      </c>
      <c r="K29" s="559"/>
      <c r="L29" s="920"/>
      <c r="M29" s="911"/>
      <c r="N29" s="911"/>
      <c r="O29" s="919"/>
      <c r="P29" s="3931" t="s">
        <v>1696</v>
      </c>
      <c r="Q29" s="1349" t="str">
        <f t="shared" si="11"/>
        <v>建筑类型</v>
      </c>
      <c r="R29" s="702" t="s">
        <v>14</v>
      </c>
      <c r="S29" s="703">
        <f t="shared" si="12"/>
        <v>100</v>
      </c>
      <c r="T29" s="702" t="s">
        <v>14</v>
      </c>
      <c r="U29" s="703">
        <f t="shared" si="13"/>
        <v>100</v>
      </c>
      <c r="V29" s="702" t="s">
        <v>14</v>
      </c>
      <c r="W29" s="703">
        <f t="shared" si="14"/>
        <v>100</v>
      </c>
      <c r="X29" s="1352"/>
      <c r="Y29" s="3878" t="s">
        <v>1696</v>
      </c>
      <c r="Z29" s="1353" t="str">
        <f t="shared" si="15"/>
        <v>建筑类型</v>
      </c>
      <c r="AA29" s="1350">
        <f t="shared" si="3"/>
        <v>1</v>
      </c>
      <c r="AB29" s="1350">
        <f t="shared" si="4"/>
        <v>1</v>
      </c>
      <c r="AC29" s="1350">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8"/>
      <c r="M30" s="921"/>
      <c r="N30" s="921"/>
      <c r="O30" s="922"/>
      <c r="P30" s="3878"/>
      <c r="Q30" s="704" t="str">
        <f t="shared" si="11"/>
        <v>项目建筑规模</v>
      </c>
      <c r="R30" s="705" t="s">
        <v>14</v>
      </c>
      <c r="S30" s="706" t="e">
        <f t="shared" si="12"/>
        <v>#N/A</v>
      </c>
      <c r="T30" s="705" t="s">
        <v>14</v>
      </c>
      <c r="U30" s="706" t="e">
        <f t="shared" si="13"/>
        <v>#N/A</v>
      </c>
      <c r="V30" s="705" t="s">
        <v>14</v>
      </c>
      <c r="W30" s="706" t="e">
        <f t="shared" si="14"/>
        <v>#N/A</v>
      </c>
      <c r="X30" s="707"/>
      <c r="Y30" s="3878"/>
      <c r="Z30" s="708" t="str">
        <f t="shared" si="15"/>
        <v>项目建筑规模</v>
      </c>
      <c r="AA30" s="1350" t="e">
        <f t="shared" si="3"/>
        <v>#N/A</v>
      </c>
      <c r="AB30" s="1350" t="e">
        <f t="shared" si="4"/>
        <v>#N/A</v>
      </c>
      <c r="AC30" s="1350"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0"/>
      <c r="M31" s="911"/>
      <c r="N31" s="911"/>
      <c r="O31" s="919"/>
      <c r="P31" s="3878"/>
      <c r="Q31" s="1349" t="str">
        <f t="shared" si="11"/>
        <v>建筑结构</v>
      </c>
      <c r="R31" s="702" t="s">
        <v>14</v>
      </c>
      <c r="S31" s="703">
        <f t="shared" si="12"/>
        <v>100</v>
      </c>
      <c r="T31" s="702" t="s">
        <v>14</v>
      </c>
      <c r="U31" s="703">
        <f t="shared" si="13"/>
        <v>100</v>
      </c>
      <c r="V31" s="702" t="s">
        <v>14</v>
      </c>
      <c r="W31" s="703">
        <f t="shared" si="14"/>
        <v>100</v>
      </c>
      <c r="X31" s="1352"/>
      <c r="Y31" s="3878"/>
      <c r="Z31" s="1353" t="str">
        <f t="shared" si="15"/>
        <v>建筑结构</v>
      </c>
      <c r="AA31" s="1350">
        <f t="shared" si="3"/>
        <v>1</v>
      </c>
      <c r="AB31" s="1350">
        <f t="shared" si="4"/>
        <v>1</v>
      </c>
      <c r="AC31" s="1350">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0"/>
      <c r="M32" s="911"/>
      <c r="N32" s="911"/>
      <c r="O32" s="919"/>
      <c r="P32" s="3878"/>
      <c r="Q32" s="1349" t="str">
        <f t="shared" si="11"/>
        <v>公共部分装修</v>
      </c>
      <c r="R32" s="702" t="s">
        <v>14</v>
      </c>
      <c r="S32" s="703">
        <f t="shared" si="12"/>
        <v>100</v>
      </c>
      <c r="T32" s="702" t="s">
        <v>14</v>
      </c>
      <c r="U32" s="703">
        <f t="shared" si="13"/>
        <v>100</v>
      </c>
      <c r="V32" s="702" t="s">
        <v>14</v>
      </c>
      <c r="W32" s="703">
        <f t="shared" si="14"/>
        <v>100</v>
      </c>
      <c r="X32" s="1352"/>
      <c r="Y32" s="3878"/>
      <c r="Z32" s="1353" t="str">
        <f t="shared" si="15"/>
        <v>公共部分装修</v>
      </c>
      <c r="AA32" s="1350">
        <f t="shared" si="3"/>
        <v>1</v>
      </c>
      <c r="AB32" s="1350">
        <f t="shared" si="4"/>
        <v>1</v>
      </c>
      <c r="AC32" s="1350">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0"/>
      <c r="M33" s="911"/>
      <c r="N33" s="911"/>
      <c r="O33" s="919"/>
      <c r="P33" s="3878"/>
      <c r="Q33" s="1349" t="str">
        <f t="shared" si="11"/>
        <v>成新度</v>
      </c>
      <c r="R33" s="702" t="s">
        <v>14</v>
      </c>
      <c r="S33" s="703" t="e">
        <f t="shared" si="12"/>
        <v>#N/A</v>
      </c>
      <c r="T33" s="702" t="s">
        <v>14</v>
      </c>
      <c r="U33" s="703" t="e">
        <f t="shared" si="13"/>
        <v>#N/A</v>
      </c>
      <c r="V33" s="702" t="s">
        <v>14</v>
      </c>
      <c r="W33" s="703" t="e">
        <f t="shared" si="14"/>
        <v>#N/A</v>
      </c>
      <c r="X33" s="1352"/>
      <c r="Y33" s="3878"/>
      <c r="Z33" s="1353" t="str">
        <f t="shared" si="15"/>
        <v>成新度</v>
      </c>
      <c r="AA33" s="1350" t="e">
        <f t="shared" si="3"/>
        <v>#N/A</v>
      </c>
      <c r="AB33" s="1350" t="e">
        <f t="shared" si="4"/>
        <v>#N/A</v>
      </c>
      <c r="AC33" s="1350"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2"/>
      <c r="M34" s="913"/>
      <c r="N34" s="913"/>
      <c r="O34" s="914"/>
      <c r="P34" s="3878"/>
      <c r="Q34" s="1340" t="str">
        <f t="shared" si="11"/>
        <v>物业管理</v>
      </c>
      <c r="R34" s="698" t="s">
        <v>14</v>
      </c>
      <c r="S34" s="699">
        <f t="shared" si="12"/>
        <v>100</v>
      </c>
      <c r="T34" s="698" t="s">
        <v>14</v>
      </c>
      <c r="U34" s="699">
        <f t="shared" si="13"/>
        <v>100</v>
      </c>
      <c r="V34" s="698" t="s">
        <v>14</v>
      </c>
      <c r="W34" s="699">
        <f t="shared" si="14"/>
        <v>100</v>
      </c>
      <c r="X34" s="700"/>
      <c r="Y34" s="3878"/>
      <c r="Z34" s="52" t="str">
        <f t="shared" si="15"/>
        <v>物业管理</v>
      </c>
      <c r="AA34" s="701">
        <f t="shared" si="3"/>
        <v>1</v>
      </c>
      <c r="AB34" s="701">
        <f t="shared" si="4"/>
        <v>1</v>
      </c>
      <c r="AC34" s="701">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0"/>
      <c r="M35" s="911"/>
      <c r="N35" s="911"/>
      <c r="O35" s="919"/>
      <c r="P35" s="3878" t="s">
        <v>1696</v>
      </c>
      <c r="Q35" s="1349" t="str">
        <f t="shared" si="11"/>
        <v>市政基础设施</v>
      </c>
      <c r="R35" s="702" t="s">
        <v>14</v>
      </c>
      <c r="S35" s="703">
        <f t="shared" si="12"/>
        <v>100</v>
      </c>
      <c r="T35" s="702" t="s">
        <v>14</v>
      </c>
      <c r="U35" s="703">
        <f t="shared" si="13"/>
        <v>100</v>
      </c>
      <c r="V35" s="702" t="s">
        <v>14</v>
      </c>
      <c r="W35" s="703">
        <f t="shared" si="14"/>
        <v>100</v>
      </c>
      <c r="X35" s="1352"/>
      <c r="Y35" s="3878" t="s">
        <v>1696</v>
      </c>
      <c r="Z35" s="1353" t="str">
        <f t="shared" si="15"/>
        <v>市政基础设施</v>
      </c>
      <c r="AA35" s="1350">
        <f t="shared" si="3"/>
        <v>1</v>
      </c>
      <c r="AB35" s="1350">
        <f t="shared" si="4"/>
        <v>1</v>
      </c>
      <c r="AC35" s="1350">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0"/>
      <c r="M36" s="911"/>
      <c r="N36" s="911"/>
      <c r="O36" s="919"/>
      <c r="P36" s="3878"/>
      <c r="Q36" s="1349" t="str">
        <f t="shared" si="11"/>
        <v>内部装修</v>
      </c>
      <c r="R36" s="702" t="s">
        <v>14</v>
      </c>
      <c r="S36" s="703">
        <f t="shared" si="12"/>
        <v>100</v>
      </c>
      <c r="T36" s="702" t="s">
        <v>14</v>
      </c>
      <c r="U36" s="703">
        <f t="shared" si="13"/>
        <v>100</v>
      </c>
      <c r="V36" s="702" t="s">
        <v>14</v>
      </c>
      <c r="W36" s="703">
        <f t="shared" si="14"/>
        <v>100</v>
      </c>
      <c r="X36" s="1352"/>
      <c r="Y36" s="3878"/>
      <c r="Z36" s="1353" t="str">
        <f t="shared" si="15"/>
        <v>内部装修</v>
      </c>
      <c r="AA36" s="1350">
        <f t="shared" si="3"/>
        <v>1</v>
      </c>
      <c r="AB36" s="1350">
        <f t="shared" si="4"/>
        <v>1</v>
      </c>
      <c r="AC36" s="1350">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0"/>
      <c r="M37" s="911"/>
      <c r="N37" s="911"/>
      <c r="O37" s="919"/>
      <c r="P37" s="3878"/>
      <c r="Q37" s="1349" t="str">
        <f t="shared" si="11"/>
        <v>内部装修状况</v>
      </c>
      <c r="R37" s="702" t="s">
        <v>14</v>
      </c>
      <c r="S37" s="703">
        <f t="shared" si="12"/>
        <v>100</v>
      </c>
      <c r="T37" s="702" t="s">
        <v>14</v>
      </c>
      <c r="U37" s="703">
        <f t="shared" si="13"/>
        <v>100</v>
      </c>
      <c r="V37" s="702" t="s">
        <v>14</v>
      </c>
      <c r="W37" s="703">
        <f t="shared" si="14"/>
        <v>100</v>
      </c>
      <c r="X37" s="1352"/>
      <c r="Y37" s="3878"/>
      <c r="Z37" s="1353" t="str">
        <f t="shared" si="15"/>
        <v>内部装修状况</v>
      </c>
      <c r="AA37" s="1350">
        <f t="shared" si="3"/>
        <v>1</v>
      </c>
      <c r="AB37" s="1350">
        <f t="shared" si="4"/>
        <v>1</v>
      </c>
      <c r="AC37" s="1350">
        <f t="shared" si="5"/>
        <v>1</v>
      </c>
    </row>
    <row r="38" spans="1:29" s="420" customFormat="1" ht="15">
      <c r="A38" s="417"/>
      <c r="B38" s="1130">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8"/>
      <c r="M38" s="921"/>
      <c r="N38" s="921"/>
      <c r="O38" s="922"/>
      <c r="P38" s="3878"/>
      <c r="Q38" s="704">
        <f t="shared" si="11"/>
        <v>111</v>
      </c>
      <c r="R38" s="705" t="s">
        <v>14</v>
      </c>
      <c r="S38" s="706">
        <f t="shared" si="12"/>
        <v>100</v>
      </c>
      <c r="T38" s="705" t="s">
        <v>14</v>
      </c>
      <c r="U38" s="706">
        <f t="shared" si="13"/>
        <v>100</v>
      </c>
      <c r="V38" s="705" t="s">
        <v>14</v>
      </c>
      <c r="W38" s="706">
        <f t="shared" si="14"/>
        <v>100</v>
      </c>
      <c r="X38" s="707"/>
      <c r="Y38" s="3878"/>
      <c r="Z38" s="708">
        <f t="shared" si="15"/>
        <v>111</v>
      </c>
      <c r="AA38" s="1350">
        <f t="shared" si="3"/>
        <v>1</v>
      </c>
      <c r="AB38" s="1350">
        <f t="shared" si="4"/>
        <v>1</v>
      </c>
      <c r="AC38" s="1350">
        <f t="shared" si="5"/>
        <v>1</v>
      </c>
    </row>
    <row r="39" spans="1:29" ht="15">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878"/>
      <c r="Q39" s="1349">
        <f t="shared" si="11"/>
        <v>111</v>
      </c>
      <c r="R39" s="702" t="s">
        <v>14</v>
      </c>
      <c r="S39" s="703">
        <f t="shared" si="12"/>
        <v>100</v>
      </c>
      <c r="T39" s="702" t="s">
        <v>14</v>
      </c>
      <c r="U39" s="703">
        <f t="shared" si="13"/>
        <v>100</v>
      </c>
      <c r="V39" s="702" t="s">
        <v>14</v>
      </c>
      <c r="W39" s="703">
        <f t="shared" si="14"/>
        <v>100</v>
      </c>
      <c r="X39" s="1352"/>
      <c r="Y39" s="3878"/>
      <c r="Z39" s="1353">
        <f t="shared" si="15"/>
        <v>111</v>
      </c>
      <c r="AA39" s="1350">
        <f t="shared" si="3"/>
        <v>1</v>
      </c>
      <c r="AB39" s="1350">
        <f t="shared" si="4"/>
        <v>1</v>
      </c>
      <c r="AC39" s="1350">
        <f t="shared" si="5"/>
        <v>1</v>
      </c>
    </row>
    <row r="40" spans="1:29" ht="15.75"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879"/>
      <c r="Q40" s="1349">
        <f t="shared" si="11"/>
        <v>111</v>
      </c>
      <c r="R40" s="702" t="s">
        <v>14</v>
      </c>
      <c r="S40" s="703">
        <f t="shared" si="12"/>
        <v>100</v>
      </c>
      <c r="T40" s="702" t="s">
        <v>14</v>
      </c>
      <c r="U40" s="703">
        <f t="shared" si="13"/>
        <v>100</v>
      </c>
      <c r="V40" s="702" t="s">
        <v>14</v>
      </c>
      <c r="W40" s="703">
        <f t="shared" si="14"/>
        <v>100</v>
      </c>
      <c r="X40" s="1352"/>
      <c r="Y40" s="3879"/>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871" t="str">
        <f>A41</f>
        <v>成交单价（元/平方米）</v>
      </c>
      <c r="Q41" s="3871"/>
      <c r="R41" s="3872">
        <f>E41</f>
        <v>0</v>
      </c>
      <c r="S41" s="3872"/>
      <c r="T41" s="3872">
        <f>G41</f>
        <v>0</v>
      </c>
      <c r="U41" s="3872"/>
      <c r="V41" s="3872">
        <f>I41</f>
        <v>0</v>
      </c>
      <c r="W41" s="3872"/>
      <c r="X41" s="687"/>
      <c r="Y41" s="709"/>
      <c r="Z41" s="687"/>
      <c r="AA41" s="687"/>
      <c r="AB41" s="687"/>
      <c r="AC41" s="687"/>
    </row>
    <row r="42" spans="1:29" ht="15.75" thickBot="1">
      <c r="A42" s="435" t="s">
        <v>1793</v>
      </c>
      <c r="B42" s="436"/>
      <c r="C42" s="1157" t="e">
        <f>R43</f>
        <v>#DIV/0!</v>
      </c>
      <c r="D42" s="2314" t="s">
        <v>2138</v>
      </c>
      <c r="E42" s="1158" t="e">
        <f>R42</f>
        <v>#DIV/0!</v>
      </c>
      <c r="F42" s="2315"/>
      <c r="G42" s="1157" t="e">
        <f>T42</f>
        <v>#DIV/0!</v>
      </c>
      <c r="H42" s="2315"/>
      <c r="I42" s="1158" t="e">
        <f>V42</f>
        <v>#DIV/0!</v>
      </c>
      <c r="J42" s="2315"/>
      <c r="K42" s="2317">
        <f>F42+H42+J42</f>
        <v>0</v>
      </c>
      <c r="L42" s="923"/>
      <c r="M42" s="924"/>
      <c r="N42" s="911"/>
      <c r="O42" s="924"/>
      <c r="P42" s="3871" t="str">
        <f>A42</f>
        <v>比较价值（元/平方米）</v>
      </c>
      <c r="Q42" s="3871"/>
      <c r="R42" s="3872" t="e">
        <f>IF(F1="售价",ROUND(PRODUCT(R41,AA7:AA40),0),ROUND(PRODUCT(R41,AA7:AA40),1))</f>
        <v>#DIV/0!</v>
      </c>
      <c r="S42" s="3872"/>
      <c r="T42" s="3872" t="e">
        <f>IF(F1="售价",ROUND(PRODUCT(T41,AB7:AB40),0),ROUND(PRODUCT(T41,AB7:AB40),1))</f>
        <v>#DIV/0!</v>
      </c>
      <c r="U42" s="3872"/>
      <c r="V42" s="3872" t="e">
        <f>IF(F1="售价",ROUND(PRODUCT(V41,AC7:AC40),0),ROUND(PRODUCT(V41,AC7:AC40),1))</f>
        <v>#DIV/0!</v>
      </c>
      <c r="W42" s="3872"/>
      <c r="X42" s="687"/>
      <c r="Y42" s="687"/>
      <c r="Z42" s="687"/>
      <c r="AA42" s="687"/>
      <c r="AB42" s="687"/>
      <c r="AC42" s="687"/>
    </row>
    <row r="43" spans="1:29" ht="15.75" thickBot="1">
      <c r="A43" s="439" t="s">
        <v>1794</v>
      </c>
      <c r="B43" s="440"/>
      <c r="C43" s="1160" t="e">
        <f>R43</f>
        <v>#DIV/0!</v>
      </c>
      <c r="D43" s="1160"/>
      <c r="E43" s="1160"/>
      <c r="F43" s="1160"/>
      <c r="G43" s="1160"/>
      <c r="H43" s="1160"/>
      <c r="I43" s="1160"/>
      <c r="J43" s="1160"/>
      <c r="K43" s="712"/>
      <c r="L43" s="923"/>
      <c r="M43" s="924"/>
      <c r="N43" s="924"/>
      <c r="O43" s="924"/>
      <c r="P43" s="3868" t="str">
        <f>A43</f>
        <v>估价对象XX用房的比较价值（楼面单价，元/平方米）</v>
      </c>
      <c r="Q43" s="3869"/>
      <c r="R43" s="3870" t="e">
        <f>IF(F1="售价",ROUND(IF(D42="简单平均",AVERAGE(R42:V42),R42*F42+T42*H42+V42*J42),0),ROUND(IF(D42="简单平均",AVERAGE(R42:V42),R42*F42+T42*H42+V42*J42),1))</f>
        <v>#DIV/0!</v>
      </c>
      <c r="S43" s="3870"/>
      <c r="T43" s="3870"/>
      <c r="U43" s="3870"/>
      <c r="V43" s="3870"/>
      <c r="W43" s="3870"/>
      <c r="X43" s="687"/>
      <c r="Y43" s="687"/>
      <c r="Z43" s="687"/>
      <c r="AA43" s="687"/>
      <c r="AB43" s="687"/>
      <c r="AC43" s="687"/>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886"/>
      <c r="M46" s="924"/>
      <c r="N46" s="924"/>
      <c r="O46" s="924"/>
    </row>
    <row r="47" spans="1:29"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886"/>
      <c r="M47" s="924"/>
      <c r="N47" s="924"/>
      <c r="O47" s="924"/>
    </row>
    <row r="48" spans="1:29"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927"/>
      <c r="M48" s="925"/>
      <c r="N48" s="925"/>
      <c r="O48" s="925"/>
    </row>
    <row r="49" spans="1:17" s="449"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2023-1</v>
      </c>
      <c r="D52" s="1182">
        <f>EDATE(C52,-1)</f>
        <v>44896</v>
      </c>
      <c r="E52" s="1182">
        <f t="shared" ref="E52:O52" si="16">EDATE(D52,-1)</f>
        <v>44866</v>
      </c>
      <c r="F52" s="1182">
        <f t="shared" si="16"/>
        <v>44835</v>
      </c>
      <c r="G52" s="1182">
        <f t="shared" si="16"/>
        <v>44805</v>
      </c>
      <c r="H52" s="1182">
        <f t="shared" si="16"/>
        <v>44774</v>
      </c>
      <c r="I52" s="1182">
        <f t="shared" si="16"/>
        <v>44743</v>
      </c>
      <c r="J52" s="1182">
        <f t="shared" si="16"/>
        <v>44713</v>
      </c>
      <c r="K52" s="1182">
        <f t="shared" si="16"/>
        <v>44682</v>
      </c>
      <c r="L52" s="1182">
        <f t="shared" si="16"/>
        <v>44652</v>
      </c>
      <c r="M52" s="1182">
        <f t="shared" si="16"/>
        <v>44621</v>
      </c>
      <c r="N52" s="1182">
        <f t="shared" si="16"/>
        <v>44593</v>
      </c>
      <c r="O52" s="1182">
        <f t="shared" si="16"/>
        <v>44562</v>
      </c>
      <c r="P52" s="454"/>
    </row>
    <row r="53" spans="1:17" s="107" customFormat="1" ht="15">
      <c r="A53" s="456"/>
      <c r="B53" s="457"/>
      <c r="C53" s="1180">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7"/>
      <c r="O54" s="2768"/>
      <c r="P54" s="451"/>
      <c r="Q54" s="451"/>
    </row>
    <row r="55" spans="1:17" s="107" customFormat="1" ht="15">
      <c r="A55" s="468" t="s">
        <v>1681</v>
      </c>
      <c r="B55" s="457"/>
      <c r="C55" s="469" t="s">
        <v>1776</v>
      </c>
      <c r="D55" s="470"/>
      <c r="E55" s="470"/>
      <c r="F55" s="470"/>
      <c r="G55" s="470"/>
      <c r="H55" s="470"/>
      <c r="I55" s="470"/>
      <c r="J55" s="470"/>
      <c r="K55" s="470"/>
      <c r="L55" s="471"/>
      <c r="M55" s="472"/>
      <c r="N55" s="929"/>
      <c r="O55" s="929"/>
      <c r="P55" s="473"/>
      <c r="Q55" s="451"/>
    </row>
    <row r="56" spans="1:17" s="107"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f>C9</f>
        <v>0</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c r="D59" s="530"/>
      <c r="E59" s="530"/>
      <c r="F59" s="530"/>
      <c r="G59" s="530"/>
      <c r="H59" s="530"/>
      <c r="I59" s="530"/>
      <c r="J59" s="530"/>
      <c r="K59" s="531"/>
      <c r="L59" s="532"/>
      <c r="M59" s="533"/>
      <c r="N59" s="930"/>
      <c r="O59" s="930"/>
      <c r="P59" s="42"/>
      <c r="Q59" s="451"/>
    </row>
    <row r="60" spans="1:17" ht="15.75" thickBot="1">
      <c r="A60" s="481"/>
      <c r="B60" s="490"/>
      <c r="C60" s="483"/>
      <c r="D60" s="483"/>
      <c r="E60" s="483"/>
      <c r="F60" s="483"/>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1"/>
      <c r="O79" s="931"/>
      <c r="P79" s="42"/>
      <c r="Q79" s="451"/>
    </row>
    <row r="80" spans="1:17" s="107" customFormat="1" ht="15.75" thickTop="1">
      <c r="A80" s="526"/>
      <c r="B80" s="485">
        <f>B25</f>
        <v>111</v>
      </c>
      <c r="C80" s="501"/>
      <c r="D80" s="501"/>
      <c r="E80" s="501"/>
      <c r="F80" s="501"/>
      <c r="G80" s="501"/>
      <c r="H80" s="501"/>
      <c r="I80" s="501"/>
      <c r="J80" s="501"/>
      <c r="K80" s="501"/>
      <c r="L80" s="527"/>
      <c r="M80" s="528"/>
      <c r="N80" s="929"/>
      <c r="O80" s="929"/>
      <c r="P80" s="42"/>
      <c r="Q80" s="451"/>
    </row>
    <row r="81" spans="1:17" s="107" customFormat="1" ht="15.75" thickBot="1">
      <c r="A81" s="526"/>
      <c r="B81" s="490"/>
      <c r="C81" s="507"/>
      <c r="D81" s="483"/>
      <c r="E81" s="483"/>
      <c r="F81" s="483"/>
      <c r="G81" s="483"/>
      <c r="H81" s="483"/>
      <c r="I81" s="483"/>
      <c r="J81" s="483"/>
      <c r="K81" s="483"/>
      <c r="L81" s="483"/>
      <c r="M81" s="484"/>
      <c r="N81" s="931"/>
      <c r="O81" s="931"/>
      <c r="P81" s="42"/>
      <c r="Q81" s="451"/>
    </row>
    <row r="82" spans="1:17" s="107" customFormat="1" ht="15.75" thickTop="1">
      <c r="A82" s="526"/>
      <c r="B82" s="485">
        <f>B26</f>
        <v>111</v>
      </c>
      <c r="C82" s="501"/>
      <c r="D82" s="501"/>
      <c r="E82" s="501"/>
      <c r="F82" s="501"/>
      <c r="G82" s="501"/>
      <c r="H82" s="501"/>
      <c r="I82" s="501"/>
      <c r="J82" s="501"/>
      <c r="K82" s="501"/>
      <c r="L82" s="527"/>
      <c r="M82" s="528"/>
      <c r="N82" s="929"/>
      <c r="O82" s="929"/>
      <c r="P82" s="42"/>
      <c r="Q82" s="451"/>
    </row>
    <row r="83" spans="1:17" s="107"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5"/>
      <c r="B87" s="516"/>
      <c r="C87" s="517"/>
      <c r="D87" s="517"/>
      <c r="E87" s="517"/>
      <c r="F87" s="517"/>
      <c r="G87" s="538"/>
      <c r="H87" s="538"/>
      <c r="I87" s="538"/>
      <c r="J87" s="538"/>
      <c r="K87" s="538"/>
      <c r="L87" s="538"/>
      <c r="M87" s="539"/>
      <c r="N87" s="931"/>
      <c r="O87" s="931"/>
      <c r="P87" s="42"/>
      <c r="Q87" s="451"/>
    </row>
    <row r="88" spans="1:17">
      <c r="A88" s="474" t="s">
        <v>1694</v>
      </c>
      <c r="B88" s="475" t="s">
        <v>1736</v>
      </c>
      <c r="C88" s="477"/>
      <c r="D88" s="477"/>
      <c r="E88" s="477"/>
      <c r="F88" s="477"/>
      <c r="G88" s="477"/>
      <c r="H88" s="477"/>
      <c r="I88" s="477"/>
      <c r="J88" s="477"/>
      <c r="K88" s="478"/>
      <c r="L88" s="479"/>
      <c r="M88" s="480"/>
      <c r="N88" s="930"/>
      <c r="O88" s="930"/>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1"/>
      <c r="O89" s="931"/>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0" customFormat="1">
      <c r="A91" s="540"/>
      <c r="B91" s="541"/>
      <c r="C91" s="542"/>
      <c r="D91" s="542"/>
      <c r="E91" s="542"/>
      <c r="F91" s="542"/>
      <c r="G91" s="542"/>
      <c r="H91" s="542"/>
      <c r="I91" s="542"/>
      <c r="J91" s="543"/>
      <c r="K91" s="543"/>
      <c r="L91" s="544"/>
      <c r="M91" s="545"/>
      <c r="N91" s="932"/>
      <c r="O91" s="932"/>
      <c r="P91" s="505"/>
      <c r="Q91" s="506"/>
    </row>
    <row r="92" spans="1:17" s="420" customFormat="1" ht="15.75" thickBot="1">
      <c r="A92" s="500"/>
      <c r="B92" s="490"/>
      <c r="C92" s="507"/>
      <c r="D92" s="483"/>
      <c r="E92" s="483"/>
      <c r="F92" s="483"/>
      <c r="G92" s="483"/>
      <c r="H92" s="483"/>
      <c r="I92" s="483"/>
      <c r="J92" s="483"/>
      <c r="K92" s="483"/>
      <c r="L92" s="483"/>
      <c r="M92" s="484"/>
      <c r="N92" s="931"/>
      <c r="O92" s="931"/>
      <c r="P92" s="505"/>
      <c r="Q92" s="506"/>
    </row>
    <row r="93" spans="1:17" ht="15" thickTop="1">
      <c r="A93" s="546"/>
      <c r="B93" s="485" t="s">
        <v>1738</v>
      </c>
      <c r="C93" s="501"/>
      <c r="D93" s="501"/>
      <c r="E93" s="530"/>
      <c r="F93" s="530"/>
      <c r="G93" s="530"/>
      <c r="H93" s="530"/>
      <c r="I93" s="530"/>
      <c r="J93" s="530"/>
      <c r="K93" s="531"/>
      <c r="L93" s="532"/>
      <c r="M93" s="533"/>
      <c r="N93" s="930"/>
      <c r="O93" s="930"/>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1"/>
      <c r="O99" s="931"/>
      <c r="P99" s="42"/>
      <c r="Q99" s="451"/>
    </row>
    <row r="100" spans="1:17" s="420" customFormat="1" ht="15" thickTop="1">
      <c r="A100" s="540"/>
      <c r="B100" s="485" t="s">
        <v>1741</v>
      </c>
      <c r="C100" s="501"/>
      <c r="D100" s="501"/>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2"/>
      <c r="O101" s="932"/>
      <c r="P101" s="505"/>
      <c r="Q101" s="506"/>
    </row>
    <row r="102" spans="1:17" ht="15" thickTop="1">
      <c r="A102" s="546"/>
      <c r="B102" s="485" t="s">
        <v>1742</v>
      </c>
      <c r="C102" s="501"/>
      <c r="D102" s="501"/>
      <c r="E102" s="501"/>
      <c r="F102" s="501"/>
      <c r="G102" s="501"/>
      <c r="H102" s="530"/>
      <c r="I102" s="530"/>
      <c r="J102" s="530"/>
      <c r="K102" s="531"/>
      <c r="L102" s="532"/>
      <c r="M102" s="533"/>
      <c r="N102" s="930"/>
      <c r="O102" s="930"/>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1"/>
      <c r="O103" s="931"/>
      <c r="P103" s="42"/>
      <c r="Q103" s="451"/>
    </row>
    <row r="104" spans="1:17" ht="15" thickTop="1">
      <c r="A104" s="546"/>
      <c r="B104" s="485" t="s">
        <v>1744</v>
      </c>
      <c r="C104" s="501"/>
      <c r="D104" s="501"/>
      <c r="E104" s="501"/>
      <c r="F104" s="501"/>
      <c r="G104" s="501"/>
      <c r="H104" s="530"/>
      <c r="I104" s="530"/>
      <c r="J104" s="530"/>
      <c r="K104" s="531"/>
      <c r="L104" s="532"/>
      <c r="M104" s="533"/>
      <c r="N104" s="930"/>
      <c r="O104" s="930"/>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1"/>
      <c r="O107" s="931"/>
      <c r="P107" s="42"/>
      <c r="Q107" s="451"/>
    </row>
    <row r="108" spans="1:17" s="420"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0"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估价对象为北京市房地产，为所有。根据《国有土地使用证》[]，估价对象（分摊）出让国有建设用地使用权面积为1066.21平方米，建筑面积为12000.23平方米。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估价对象为北京市房地产,属开发建设的，该项目尚在开发建设中。根据《国有土地使用证》[]，估价对象（分摊）出让国有建设用地使用权面积为1066.21平方米，规划建筑面积为12000.23平方米。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2023年1月11日（评估专业人员实地查勘之日）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本次评估采用的主估价方法为成本法和比较法。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3341</v>
      </c>
      <c r="C1" s="1221" t="s">
        <v>1662</v>
      </c>
      <c r="D1" s="1222"/>
      <c r="E1" s="3431"/>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6"/>
      <c r="R3" s="696"/>
      <c r="S3" s="696"/>
      <c r="T3" s="696"/>
      <c r="U3" s="696"/>
      <c r="V3" s="696"/>
      <c r="W3" s="696"/>
      <c r="X3" s="696"/>
      <c r="Y3" s="696"/>
      <c r="Z3" s="696"/>
      <c r="AA3" s="696"/>
      <c r="AB3" s="713"/>
      <c r="AC3" s="710"/>
    </row>
    <row r="4" spans="1:29" ht="15">
      <c r="A4" s="353" t="s">
        <v>1769</v>
      </c>
      <c r="B4" s="354"/>
      <c r="C4" s="3886" t="s">
        <v>1770</v>
      </c>
      <c r="D4" s="3887"/>
      <c r="E4" s="3888" t="s">
        <v>1771</v>
      </c>
      <c r="F4" s="3889"/>
      <c r="G4" s="3886" t="s">
        <v>1772</v>
      </c>
      <c r="H4" s="3887"/>
      <c r="I4" s="3886" t="s">
        <v>1773</v>
      </c>
      <c r="J4" s="3887"/>
      <c r="K4" s="557" t="s">
        <v>1774</v>
      </c>
      <c r="L4" s="2712"/>
      <c r="M4" s="2713"/>
      <c r="N4" s="2713"/>
      <c r="O4" s="2713"/>
      <c r="P4" s="3890" t="s">
        <v>1775</v>
      </c>
      <c r="Q4" s="3891"/>
      <c r="R4" s="3896" t="s">
        <v>1771</v>
      </c>
      <c r="S4" s="3897"/>
      <c r="T4" s="3896" t="s">
        <v>1772</v>
      </c>
      <c r="U4" s="3897"/>
      <c r="V4" s="3902" t="s">
        <v>1773</v>
      </c>
      <c r="W4" s="3902"/>
      <c r="X4" s="1352"/>
      <c r="Y4" s="3896" t="s">
        <v>1775</v>
      </c>
      <c r="Z4" s="3897"/>
      <c r="AA4" s="3883" t="s">
        <v>1771</v>
      </c>
      <c r="AB4" s="3884" t="s">
        <v>1772</v>
      </c>
      <c r="AC4" s="3883" t="s">
        <v>1773</v>
      </c>
    </row>
    <row r="5" spans="1:29" ht="15">
      <c r="A5" s="356"/>
      <c r="B5" s="357"/>
      <c r="C5" s="3905" t="s">
        <v>1673</v>
      </c>
      <c r="D5" s="3906"/>
      <c r="E5" s="3912" t="s">
        <v>1674</v>
      </c>
      <c r="F5" s="3913"/>
      <c r="G5" s="3905" t="s">
        <v>1675</v>
      </c>
      <c r="H5" s="3906"/>
      <c r="I5" s="3905" t="s">
        <v>1676</v>
      </c>
      <c r="J5" s="3906"/>
      <c r="K5" s="557"/>
      <c r="L5" s="2712"/>
      <c r="M5" s="2713"/>
      <c r="N5" s="2713"/>
      <c r="O5" s="2713"/>
      <c r="P5" s="3892"/>
      <c r="Q5" s="3893"/>
      <c r="R5" s="3898"/>
      <c r="S5" s="3899"/>
      <c r="T5" s="3898"/>
      <c r="U5" s="3899"/>
      <c r="V5" s="3902"/>
      <c r="W5" s="3902"/>
      <c r="X5" s="1352"/>
      <c r="Y5" s="3898"/>
      <c r="Z5" s="3899"/>
      <c r="AA5" s="3884"/>
      <c r="AB5" s="3884"/>
      <c r="AC5" s="3884"/>
    </row>
    <row r="6" spans="1:29" ht="15.75" thickBot="1">
      <c r="A6" s="358"/>
      <c r="B6" s="359"/>
      <c r="C6" s="3903" t="s">
        <v>1677</v>
      </c>
      <c r="D6" s="3904"/>
      <c r="E6" s="3910" t="s">
        <v>1677</v>
      </c>
      <c r="F6" s="3911"/>
      <c r="G6" s="3903" t="s">
        <v>1677</v>
      </c>
      <c r="H6" s="3904"/>
      <c r="I6" s="3903" t="s">
        <v>1677</v>
      </c>
      <c r="J6" s="3904"/>
      <c r="K6" s="557" t="s">
        <v>1678</v>
      </c>
      <c r="L6" s="2712"/>
      <c r="M6" s="2713"/>
      <c r="N6" s="2713"/>
      <c r="O6" s="2713"/>
      <c r="P6" s="3894"/>
      <c r="Q6" s="3895"/>
      <c r="R6" s="3898"/>
      <c r="S6" s="3899"/>
      <c r="T6" s="3900"/>
      <c r="U6" s="3901"/>
      <c r="V6" s="3902"/>
      <c r="W6" s="3902"/>
      <c r="X6" s="1352"/>
      <c r="Y6" s="3900"/>
      <c r="Z6" s="3901"/>
      <c r="AA6" s="3885"/>
      <c r="AB6" s="3885"/>
      <c r="AC6" s="3885"/>
    </row>
    <row r="7" spans="1:29" s="107" customFormat="1" ht="15.75" thickBot="1">
      <c r="A7" s="360" t="s">
        <v>1679</v>
      </c>
      <c r="B7" s="361"/>
      <c r="C7" s="362">
        <f>'数据-取费表'!B2</f>
        <v>44937</v>
      </c>
      <c r="D7" s="363">
        <v>100</v>
      </c>
      <c r="E7" s="364"/>
      <c r="F7" s="365">
        <f>SUMIF(48:48,YEAR(E7)&amp;"-"&amp;MONTH(E7),49:49)</f>
        <v>0</v>
      </c>
      <c r="G7" s="364"/>
      <c r="H7" s="363">
        <f>SUMIF(48:48,YEAR(G7)&amp;"-"&amp;MONTH(G7),49:49)</f>
        <v>0</v>
      </c>
      <c r="I7" s="364"/>
      <c r="J7" s="363">
        <f>SUMIF(48:48,YEAR(I7)&amp;"-"&amp;MONTH(I7),49:49)</f>
        <v>0</v>
      </c>
      <c r="K7" s="558"/>
      <c r="L7" s="2714"/>
      <c r="M7" s="2715"/>
      <c r="N7" s="2715"/>
      <c r="O7" s="2715"/>
      <c r="P7" s="3907" t="s">
        <v>1680</v>
      </c>
      <c r="Q7" s="3909"/>
      <c r="R7" s="698" t="s">
        <v>14</v>
      </c>
      <c r="S7" s="699">
        <f t="shared" ref="S7:S14" si="0">F7</f>
        <v>0</v>
      </c>
      <c r="T7" s="698" t="s">
        <v>14</v>
      </c>
      <c r="U7" s="699">
        <f t="shared" ref="U7:U14" si="1">H7</f>
        <v>0</v>
      </c>
      <c r="V7" s="698" t="s">
        <v>14</v>
      </c>
      <c r="W7" s="699">
        <f t="shared" ref="W7:W14" si="2">J7</f>
        <v>0</v>
      </c>
      <c r="X7" s="700"/>
      <c r="Y7" s="3907" t="s">
        <v>1680</v>
      </c>
      <c r="Z7" s="3908"/>
      <c r="AA7" s="701" t="e">
        <f>D7/F7</f>
        <v>#DIV/0!</v>
      </c>
      <c r="AB7" s="701" t="e">
        <f>D7/H7</f>
        <v>#DIV/0!</v>
      </c>
      <c r="AC7" s="701"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4"/>
      <c r="M8" s="2715"/>
      <c r="N8" s="2715"/>
      <c r="O8" s="2715"/>
      <c r="P8" s="3907" t="s">
        <v>1683</v>
      </c>
      <c r="Q8" s="3908"/>
      <c r="R8" s="698" t="s">
        <v>14</v>
      </c>
      <c r="S8" s="699">
        <f t="shared" si="0"/>
        <v>100</v>
      </c>
      <c r="T8" s="698" t="s">
        <v>14</v>
      </c>
      <c r="U8" s="699">
        <f t="shared" si="1"/>
        <v>100</v>
      </c>
      <c r="V8" s="698" t="s">
        <v>14</v>
      </c>
      <c r="W8" s="699">
        <f t="shared" si="2"/>
        <v>100</v>
      </c>
      <c r="X8" s="700"/>
      <c r="Y8" s="3907" t="s">
        <v>1683</v>
      </c>
      <c r="Z8" s="3908"/>
      <c r="AA8" s="701">
        <f t="shared" ref="AA8:AA36" si="3">D8/F8</f>
        <v>1</v>
      </c>
      <c r="AB8" s="701">
        <f t="shared" ref="AB8:AB36" si="4">D8/H8</f>
        <v>1</v>
      </c>
      <c r="AC8" s="701">
        <f t="shared" ref="AC8:AC36" si="5">D8/J8</f>
        <v>1</v>
      </c>
    </row>
    <row r="9" spans="1:29" s="107"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4"/>
      <c r="M9" s="2715"/>
      <c r="N9" s="2715"/>
      <c r="O9" s="2715"/>
      <c r="P9" s="3871" t="s">
        <v>1686</v>
      </c>
      <c r="Q9" s="1340" t="str">
        <f t="shared" ref="Q9:Q14" si="6">B9</f>
        <v>用途</v>
      </c>
      <c r="R9" s="698" t="s">
        <v>14</v>
      </c>
      <c r="S9" s="699">
        <f t="shared" si="0"/>
        <v>100</v>
      </c>
      <c r="T9" s="698" t="s">
        <v>14</v>
      </c>
      <c r="U9" s="699">
        <f t="shared" si="1"/>
        <v>100</v>
      </c>
      <c r="V9" s="698" t="s">
        <v>14</v>
      </c>
      <c r="W9" s="699">
        <f t="shared" si="2"/>
        <v>100</v>
      </c>
      <c r="X9" s="700"/>
      <c r="Y9" s="3746" t="s">
        <v>1687</v>
      </c>
      <c r="Z9" s="52" t="str">
        <f t="shared" ref="Z9:Z14" si="7">Q9</f>
        <v>用途</v>
      </c>
      <c r="AA9" s="701">
        <f t="shared" si="3"/>
        <v>1</v>
      </c>
      <c r="AB9" s="701">
        <f t="shared" si="4"/>
        <v>1</v>
      </c>
      <c r="AC9" s="701">
        <f t="shared" si="5"/>
        <v>1</v>
      </c>
    </row>
    <row r="10" spans="1:29" s="376" customFormat="1" ht="27">
      <c r="A10" s="587"/>
      <c r="B10" s="588" t="s">
        <v>1688</v>
      </c>
      <c r="C10" s="3432"/>
      <c r="D10" s="125">
        <v>100</v>
      </c>
      <c r="E10" s="3432"/>
      <c r="F10" s="125">
        <f>SUMIF(55:55,E10,56:56)-SUMIF(55:55,C10,56:56)+100</f>
        <v>100</v>
      </c>
      <c r="G10" s="3433"/>
      <c r="H10" s="125">
        <f>SUMIF(55:55,G10,56:56)-SUMIF(55:55,C10,56:56)+100</f>
        <v>100</v>
      </c>
      <c r="I10" s="3432"/>
      <c r="J10" s="125">
        <f>SUMIF(55:55,I10,56:56)-SUMIF(55:55,C10,56:56)+100</f>
        <v>100</v>
      </c>
      <c r="K10" s="558"/>
      <c r="L10" s="2716"/>
      <c r="M10" s="2717"/>
      <c r="N10" s="2717"/>
      <c r="O10" s="2717"/>
      <c r="P10" s="3871"/>
      <c r="Q10" s="1340" t="str">
        <f t="shared" si="6"/>
        <v>土地使用年限（年）</v>
      </c>
      <c r="R10" s="698" t="s">
        <v>14</v>
      </c>
      <c r="S10" s="699">
        <f t="shared" si="0"/>
        <v>100</v>
      </c>
      <c r="T10" s="698" t="s">
        <v>14</v>
      </c>
      <c r="U10" s="699">
        <f t="shared" si="1"/>
        <v>100</v>
      </c>
      <c r="V10" s="698" t="s">
        <v>14</v>
      </c>
      <c r="W10" s="699">
        <f t="shared" si="2"/>
        <v>100</v>
      </c>
      <c r="X10" s="700"/>
      <c r="Y10" s="3746"/>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8"/>
      <c r="M11" s="2713"/>
      <c r="N11" s="2713"/>
      <c r="O11" s="2713"/>
      <c r="P11" s="3871"/>
      <c r="Q11" s="1340">
        <f t="shared" si="6"/>
        <v>111</v>
      </c>
      <c r="R11" s="698" t="s">
        <v>14</v>
      </c>
      <c r="S11" s="699">
        <f t="shared" si="0"/>
        <v>100</v>
      </c>
      <c r="T11" s="698" t="s">
        <v>14</v>
      </c>
      <c r="U11" s="699">
        <f t="shared" si="1"/>
        <v>100</v>
      </c>
      <c r="V11" s="698" t="s">
        <v>14</v>
      </c>
      <c r="W11" s="699">
        <f t="shared" si="2"/>
        <v>100</v>
      </c>
      <c r="X11" s="700"/>
      <c r="Y11" s="3746"/>
      <c r="Z11" s="52">
        <f t="shared" si="7"/>
        <v>111</v>
      </c>
      <c r="AA11" s="701">
        <f t="shared" si="3"/>
        <v>1</v>
      </c>
      <c r="AB11" s="701">
        <f t="shared" si="4"/>
        <v>1</v>
      </c>
      <c r="AC11" s="701">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4"/>
      <c r="M12" s="2715"/>
      <c r="N12" s="2715"/>
      <c r="O12" s="2715"/>
      <c r="P12" s="3871"/>
      <c r="Q12" s="1340">
        <f t="shared" si="6"/>
        <v>111</v>
      </c>
      <c r="R12" s="698" t="s">
        <v>14</v>
      </c>
      <c r="S12" s="699">
        <f t="shared" si="0"/>
        <v>100</v>
      </c>
      <c r="T12" s="698" t="s">
        <v>14</v>
      </c>
      <c r="U12" s="699">
        <f t="shared" si="1"/>
        <v>100</v>
      </c>
      <c r="V12" s="698" t="s">
        <v>14</v>
      </c>
      <c r="W12" s="699">
        <f t="shared" si="2"/>
        <v>100</v>
      </c>
      <c r="X12" s="700"/>
      <c r="Y12" s="3746"/>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9"/>
      <c r="M13" s="2713"/>
      <c r="N13" s="2713"/>
      <c r="O13" s="2713"/>
      <c r="P13" s="3871"/>
      <c r="Q13" s="1340">
        <f t="shared" si="6"/>
        <v>111</v>
      </c>
      <c r="R13" s="698" t="s">
        <v>14</v>
      </c>
      <c r="S13" s="699">
        <f t="shared" si="0"/>
        <v>100</v>
      </c>
      <c r="T13" s="698" t="s">
        <v>14</v>
      </c>
      <c r="U13" s="699">
        <f t="shared" si="1"/>
        <v>100</v>
      </c>
      <c r="V13" s="698" t="s">
        <v>14</v>
      </c>
      <c r="W13" s="699">
        <f t="shared" si="2"/>
        <v>100</v>
      </c>
      <c r="X13" s="700"/>
      <c r="Y13" s="3746"/>
      <c r="Z13" s="52">
        <f t="shared" si="7"/>
        <v>111</v>
      </c>
      <c r="AA13" s="701">
        <f t="shared" si="3"/>
        <v>1</v>
      </c>
      <c r="AB13" s="701">
        <f t="shared" si="4"/>
        <v>1</v>
      </c>
      <c r="AC13" s="701">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9"/>
      <c r="M14" s="2713"/>
      <c r="N14" s="2713"/>
      <c r="O14" s="2713"/>
      <c r="P14" s="3873" t="s">
        <v>1691</v>
      </c>
      <c r="Q14" s="1349" t="str">
        <f t="shared" si="6"/>
        <v>交通便捷度</v>
      </c>
      <c r="R14" s="702" t="s">
        <v>14</v>
      </c>
      <c r="S14" s="703">
        <f t="shared" si="0"/>
        <v>100</v>
      </c>
      <c r="T14" s="702" t="s">
        <v>14</v>
      </c>
      <c r="U14" s="703">
        <f t="shared" si="1"/>
        <v>100</v>
      </c>
      <c r="V14" s="702" t="s">
        <v>14</v>
      </c>
      <c r="W14" s="703">
        <f t="shared" si="2"/>
        <v>100</v>
      </c>
      <c r="X14" s="1352"/>
      <c r="Y14" s="3873"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9"/>
      <c r="M15" s="2713"/>
      <c r="N15" s="2713"/>
      <c r="O15" s="2713"/>
      <c r="P15" s="3874"/>
      <c r="Q15" s="1349"/>
      <c r="R15" s="702"/>
      <c r="S15" s="703"/>
      <c r="T15" s="702"/>
      <c r="U15" s="703"/>
      <c r="V15" s="702"/>
      <c r="W15" s="703"/>
      <c r="X15" s="1352"/>
      <c r="Y15" s="3874"/>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9"/>
      <c r="M16" s="2713"/>
      <c r="N16" s="2713"/>
      <c r="O16" s="2713"/>
      <c r="P16" s="3874"/>
      <c r="Q16" s="1349" t="str">
        <f>B16</f>
        <v>公共配套设施</v>
      </c>
      <c r="R16" s="702" t="s">
        <v>14</v>
      </c>
      <c r="S16" s="703">
        <f>F16</f>
        <v>100</v>
      </c>
      <c r="T16" s="702" t="s">
        <v>14</v>
      </c>
      <c r="U16" s="703">
        <f>H16</f>
        <v>100</v>
      </c>
      <c r="V16" s="702" t="s">
        <v>14</v>
      </c>
      <c r="W16" s="703">
        <f>J16</f>
        <v>100</v>
      </c>
      <c r="X16" s="1352"/>
      <c r="Y16" s="3874"/>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9"/>
      <c r="M17" s="2713"/>
      <c r="N17" s="2713"/>
      <c r="O17" s="2713"/>
      <c r="P17" s="3874"/>
      <c r="Q17" s="1349"/>
      <c r="R17" s="702"/>
      <c r="S17" s="703"/>
      <c r="T17" s="702"/>
      <c r="U17" s="703"/>
      <c r="V17" s="702"/>
      <c r="W17" s="703"/>
      <c r="X17" s="1352"/>
      <c r="Y17" s="3874"/>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9"/>
      <c r="M18" s="2713"/>
      <c r="N18" s="2713"/>
      <c r="O18" s="2713"/>
      <c r="P18" s="3874"/>
      <c r="Q18" s="1349" t="str">
        <f>B18</f>
        <v>基础设施水平</v>
      </c>
      <c r="R18" s="702" t="s">
        <v>14</v>
      </c>
      <c r="S18" s="703">
        <f>F18</f>
        <v>100</v>
      </c>
      <c r="T18" s="702" t="s">
        <v>14</v>
      </c>
      <c r="U18" s="703">
        <f>H18</f>
        <v>100</v>
      </c>
      <c r="V18" s="702" t="s">
        <v>14</v>
      </c>
      <c r="W18" s="703">
        <f>J18</f>
        <v>100</v>
      </c>
      <c r="X18" s="1352"/>
      <c r="Y18" s="3874"/>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9"/>
      <c r="M19" s="2713"/>
      <c r="N19" s="2713"/>
      <c r="O19" s="2713"/>
      <c r="P19" s="3874"/>
      <c r="Q19" s="1349"/>
      <c r="R19" s="702"/>
      <c r="S19" s="703"/>
      <c r="T19" s="702"/>
      <c r="U19" s="703"/>
      <c r="V19" s="702"/>
      <c r="W19" s="703"/>
      <c r="X19" s="1352"/>
      <c r="Y19" s="3874"/>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9"/>
      <c r="M20" s="2713"/>
      <c r="N20" s="2713"/>
      <c r="O20" s="2713"/>
      <c r="P20" s="3874"/>
      <c r="Q20" s="1349" t="str">
        <f>B20</f>
        <v>自然及人文环境</v>
      </c>
      <c r="R20" s="702" t="s">
        <v>14</v>
      </c>
      <c r="S20" s="703">
        <f>F20</f>
        <v>100</v>
      </c>
      <c r="T20" s="702" t="s">
        <v>14</v>
      </c>
      <c r="U20" s="703">
        <f>H20</f>
        <v>100</v>
      </c>
      <c r="V20" s="702" t="s">
        <v>14</v>
      </c>
      <c r="W20" s="703">
        <f>J20</f>
        <v>100</v>
      </c>
      <c r="X20" s="1352"/>
      <c r="Y20" s="3874"/>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9"/>
      <c r="M21" s="2713"/>
      <c r="N21" s="2713"/>
      <c r="O21" s="2713"/>
      <c r="P21" s="3874"/>
      <c r="Q21" s="1349"/>
      <c r="R21" s="702"/>
      <c r="S21" s="703"/>
      <c r="T21" s="702"/>
      <c r="U21" s="703"/>
      <c r="V21" s="702"/>
      <c r="W21" s="703"/>
      <c r="X21" s="1352"/>
      <c r="Y21" s="3874"/>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9"/>
      <c r="M22" s="2713"/>
      <c r="N22" s="2713"/>
      <c r="O22" s="2713"/>
      <c r="P22" s="3874"/>
      <c r="Q22" s="1349" t="str">
        <f>B22</f>
        <v>楼层</v>
      </c>
      <c r="R22" s="702" t="s">
        <v>14</v>
      </c>
      <c r="S22" s="703">
        <f>F22</f>
        <v>100</v>
      </c>
      <c r="T22" s="702" t="s">
        <v>14</v>
      </c>
      <c r="U22" s="703">
        <f>H22</f>
        <v>100</v>
      </c>
      <c r="V22" s="702" t="s">
        <v>14</v>
      </c>
      <c r="W22" s="703">
        <f>J22</f>
        <v>100</v>
      </c>
      <c r="X22" s="1352"/>
      <c r="Y22" s="3874"/>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9"/>
      <c r="M23" s="2713"/>
      <c r="N23" s="2713"/>
      <c r="O23" s="2713"/>
      <c r="P23" s="3874"/>
      <c r="Q23" s="1349">
        <f>B23</f>
        <v>111</v>
      </c>
      <c r="R23" s="702" t="s">
        <v>14</v>
      </c>
      <c r="S23" s="703">
        <f>F23</f>
        <v>100</v>
      </c>
      <c r="T23" s="702" t="s">
        <v>14</v>
      </c>
      <c r="U23" s="703">
        <f>H23</f>
        <v>100</v>
      </c>
      <c r="V23" s="702" t="s">
        <v>14</v>
      </c>
      <c r="W23" s="703">
        <f>J23</f>
        <v>100</v>
      </c>
      <c r="X23" s="1352"/>
      <c r="Y23" s="3874"/>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9"/>
      <c r="M24" s="2713"/>
      <c r="N24" s="2713"/>
      <c r="O24" s="2713"/>
      <c r="P24" s="3874"/>
      <c r="Q24" s="1349">
        <f t="shared" ref="Q24:Q36" si="11">B24</f>
        <v>111</v>
      </c>
      <c r="R24" s="702" t="s">
        <v>14</v>
      </c>
      <c r="S24" s="703">
        <f>F24</f>
        <v>100</v>
      </c>
      <c r="T24" s="702" t="s">
        <v>14</v>
      </c>
      <c r="U24" s="703">
        <f>H24</f>
        <v>100</v>
      </c>
      <c r="V24" s="702" t="s">
        <v>14</v>
      </c>
      <c r="W24" s="703">
        <f>J24</f>
        <v>100</v>
      </c>
      <c r="X24" s="1352"/>
      <c r="Y24" s="3874"/>
      <c r="Z24" s="1353">
        <f>Q24</f>
        <v>111</v>
      </c>
      <c r="AA24" s="1350">
        <f t="shared" si="3"/>
        <v>1</v>
      </c>
      <c r="AB24" s="1350">
        <f t="shared" si="4"/>
        <v>1</v>
      </c>
      <c r="AC24" s="1350">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4"/>
      <c r="M25" s="2715"/>
      <c r="N25" s="2715"/>
      <c r="O25" s="2715"/>
      <c r="P25" s="3874"/>
      <c r="Q25" s="1340">
        <f t="shared" si="11"/>
        <v>111</v>
      </c>
      <c r="R25" s="698" t="s">
        <v>14</v>
      </c>
      <c r="S25" s="699">
        <f>F25</f>
        <v>100</v>
      </c>
      <c r="T25" s="698" t="s">
        <v>14</v>
      </c>
      <c r="U25" s="699">
        <f>H25</f>
        <v>100</v>
      </c>
      <c r="V25" s="698" t="s">
        <v>14</v>
      </c>
      <c r="W25" s="699">
        <f>J25</f>
        <v>100</v>
      </c>
      <c r="X25" s="700"/>
      <c r="Y25" s="3874"/>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9"/>
      <c r="M26" s="2713"/>
      <c r="N26" s="2713"/>
      <c r="O26" s="2713"/>
      <c r="P26" s="3931"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878"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8"/>
      <c r="M27" s="2720"/>
      <c r="N27" s="2720"/>
      <c r="O27" s="2720"/>
      <c r="P27" s="3878"/>
      <c r="Q27" s="704" t="str">
        <f t="shared" si="11"/>
        <v>项目停车位配比</v>
      </c>
      <c r="R27" s="705" t="s">
        <v>14</v>
      </c>
      <c r="S27" s="706">
        <f t="shared" si="12"/>
        <v>100</v>
      </c>
      <c r="T27" s="705" t="s">
        <v>14</v>
      </c>
      <c r="U27" s="706">
        <f t="shared" si="13"/>
        <v>100</v>
      </c>
      <c r="V27" s="705" t="s">
        <v>14</v>
      </c>
      <c r="W27" s="706">
        <f t="shared" si="14"/>
        <v>100</v>
      </c>
      <c r="X27" s="707"/>
      <c r="Y27" s="3878"/>
      <c r="Z27" s="708"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9"/>
      <c r="M28" s="2713"/>
      <c r="N28" s="2713"/>
      <c r="O28" s="2713"/>
      <c r="P28" s="3878"/>
      <c r="Q28" s="1349" t="str">
        <f t="shared" si="11"/>
        <v>公共部分装修</v>
      </c>
      <c r="R28" s="702" t="s">
        <v>14</v>
      </c>
      <c r="S28" s="703">
        <f t="shared" si="12"/>
        <v>100</v>
      </c>
      <c r="T28" s="702" t="s">
        <v>14</v>
      </c>
      <c r="U28" s="703">
        <f t="shared" si="13"/>
        <v>100</v>
      </c>
      <c r="V28" s="702" t="s">
        <v>14</v>
      </c>
      <c r="W28" s="703">
        <f t="shared" si="14"/>
        <v>100</v>
      </c>
      <c r="X28" s="1352"/>
      <c r="Y28" s="3878"/>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9"/>
      <c r="M29" s="2713"/>
      <c r="N29" s="2713"/>
      <c r="O29" s="2713"/>
      <c r="P29" s="3878"/>
      <c r="Q29" s="1349" t="str">
        <f t="shared" si="11"/>
        <v>成新率</v>
      </c>
      <c r="R29" s="702" t="s">
        <v>14</v>
      </c>
      <c r="S29" s="703" t="e">
        <f t="shared" si="12"/>
        <v>#N/A</v>
      </c>
      <c r="T29" s="702" t="s">
        <v>14</v>
      </c>
      <c r="U29" s="703" t="e">
        <f t="shared" si="13"/>
        <v>#N/A</v>
      </c>
      <c r="V29" s="702" t="s">
        <v>14</v>
      </c>
      <c r="W29" s="703" t="e">
        <f t="shared" si="14"/>
        <v>#N/A</v>
      </c>
      <c r="X29" s="1352"/>
      <c r="Y29" s="3878"/>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9"/>
      <c r="M30" s="2713"/>
      <c r="N30" s="2713"/>
      <c r="O30" s="2713"/>
      <c r="P30" s="3878"/>
      <c r="Q30" s="1349" t="str">
        <f t="shared" si="11"/>
        <v>物业等级</v>
      </c>
      <c r="R30" s="702" t="s">
        <v>14</v>
      </c>
      <c r="S30" s="703">
        <f t="shared" si="12"/>
        <v>100</v>
      </c>
      <c r="T30" s="702" t="s">
        <v>14</v>
      </c>
      <c r="U30" s="703">
        <f t="shared" si="13"/>
        <v>100</v>
      </c>
      <c r="V30" s="702" t="s">
        <v>14</v>
      </c>
      <c r="W30" s="703">
        <f t="shared" si="14"/>
        <v>100</v>
      </c>
      <c r="X30" s="1352"/>
      <c r="Y30" s="3878"/>
      <c r="Z30" s="1353" t="str">
        <f t="shared" si="15"/>
        <v>物业等级</v>
      </c>
      <c r="AA30" s="1350">
        <f t="shared" si="3"/>
        <v>1</v>
      </c>
      <c r="AB30" s="1350">
        <f t="shared" si="4"/>
        <v>1</v>
      </c>
      <c r="AC30" s="1350">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4"/>
      <c r="M31" s="2715"/>
      <c r="N31" s="2715"/>
      <c r="O31" s="2715"/>
      <c r="P31" s="3878"/>
      <c r="Q31" s="1340" t="str">
        <f t="shared" si="11"/>
        <v>停车位面积</v>
      </c>
      <c r="R31" s="698" t="s">
        <v>14</v>
      </c>
      <c r="S31" s="699" t="e">
        <f t="shared" si="12"/>
        <v>#N/A</v>
      </c>
      <c r="T31" s="698" t="s">
        <v>14</v>
      </c>
      <c r="U31" s="699" t="e">
        <f t="shared" si="13"/>
        <v>#N/A</v>
      </c>
      <c r="V31" s="698" t="s">
        <v>14</v>
      </c>
      <c r="W31" s="699" t="e">
        <f t="shared" si="14"/>
        <v>#N/A</v>
      </c>
      <c r="X31" s="700"/>
      <c r="Y31" s="3878"/>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9"/>
      <c r="M32" s="2713"/>
      <c r="N32" s="2713"/>
      <c r="O32" s="2713"/>
      <c r="P32" s="3878" t="s">
        <v>1696</v>
      </c>
      <c r="Q32" s="1349" t="str">
        <f t="shared" si="11"/>
        <v>车位类型</v>
      </c>
      <c r="R32" s="702" t="s">
        <v>14</v>
      </c>
      <c r="S32" s="703">
        <f t="shared" si="12"/>
        <v>100</v>
      </c>
      <c r="T32" s="702" t="s">
        <v>14</v>
      </c>
      <c r="U32" s="703">
        <f t="shared" si="13"/>
        <v>100</v>
      </c>
      <c r="V32" s="702" t="s">
        <v>14</v>
      </c>
      <c r="W32" s="703">
        <f t="shared" si="14"/>
        <v>100</v>
      </c>
      <c r="X32" s="1352"/>
      <c r="Y32" s="3878"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9"/>
      <c r="M33" s="2713"/>
      <c r="N33" s="2713"/>
      <c r="O33" s="2713"/>
      <c r="P33" s="3878"/>
      <c r="Q33" s="1349" t="str">
        <f t="shared" si="11"/>
        <v>是否直接入户</v>
      </c>
      <c r="R33" s="702" t="s">
        <v>14</v>
      </c>
      <c r="S33" s="703">
        <f t="shared" si="12"/>
        <v>100</v>
      </c>
      <c r="T33" s="702" t="s">
        <v>14</v>
      </c>
      <c r="U33" s="703">
        <f t="shared" si="13"/>
        <v>100</v>
      </c>
      <c r="V33" s="702" t="s">
        <v>14</v>
      </c>
      <c r="W33" s="703">
        <f t="shared" si="14"/>
        <v>100</v>
      </c>
      <c r="X33" s="1352"/>
      <c r="Y33" s="3878"/>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9"/>
      <c r="M34" s="2713"/>
      <c r="N34" s="2713"/>
      <c r="O34" s="2713"/>
      <c r="P34" s="3878"/>
      <c r="Q34" s="1349">
        <f t="shared" si="11"/>
        <v>111</v>
      </c>
      <c r="R34" s="702" t="s">
        <v>14</v>
      </c>
      <c r="S34" s="703">
        <f t="shared" si="12"/>
        <v>100</v>
      </c>
      <c r="T34" s="702" t="s">
        <v>14</v>
      </c>
      <c r="U34" s="703">
        <f t="shared" si="13"/>
        <v>100</v>
      </c>
      <c r="V34" s="702" t="s">
        <v>14</v>
      </c>
      <c r="W34" s="703">
        <f t="shared" si="14"/>
        <v>100</v>
      </c>
      <c r="X34" s="1352"/>
      <c r="Y34" s="3878"/>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8"/>
      <c r="M35" s="2720"/>
      <c r="N35" s="2720"/>
      <c r="O35" s="2720"/>
      <c r="P35" s="3878"/>
      <c r="Q35" s="704">
        <f t="shared" si="11"/>
        <v>111</v>
      </c>
      <c r="R35" s="705" t="s">
        <v>14</v>
      </c>
      <c r="S35" s="706">
        <f t="shared" si="12"/>
        <v>100</v>
      </c>
      <c r="T35" s="705" t="s">
        <v>14</v>
      </c>
      <c r="U35" s="706">
        <f t="shared" si="13"/>
        <v>100</v>
      </c>
      <c r="V35" s="705" t="s">
        <v>14</v>
      </c>
      <c r="W35" s="706">
        <f t="shared" si="14"/>
        <v>100</v>
      </c>
      <c r="X35" s="707"/>
      <c r="Y35" s="3878"/>
      <c r="Z35" s="708">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9"/>
      <c r="M36" s="2713"/>
      <c r="N36" s="2713"/>
      <c r="O36" s="2713"/>
      <c r="P36" s="3878"/>
      <c r="Q36" s="1349">
        <f t="shared" si="11"/>
        <v>111</v>
      </c>
      <c r="R36" s="702" t="s">
        <v>14</v>
      </c>
      <c r="S36" s="703">
        <f t="shared" si="12"/>
        <v>100</v>
      </c>
      <c r="T36" s="702" t="s">
        <v>14</v>
      </c>
      <c r="U36" s="703">
        <f t="shared" si="13"/>
        <v>100</v>
      </c>
      <c r="V36" s="702" t="s">
        <v>14</v>
      </c>
      <c r="W36" s="703">
        <f t="shared" si="14"/>
        <v>100</v>
      </c>
      <c r="X36" s="1352"/>
      <c r="Y36" s="3878"/>
      <c r="Z36" s="1353">
        <f t="shared" si="15"/>
        <v>111</v>
      </c>
      <c r="AA36" s="1350">
        <f t="shared" si="3"/>
        <v>1</v>
      </c>
      <c r="AB36" s="1350">
        <f t="shared" si="4"/>
        <v>1</v>
      </c>
      <c r="AC36" s="1350">
        <f t="shared" si="5"/>
        <v>1</v>
      </c>
    </row>
    <row r="37" spans="1:29" ht="15">
      <c r="A37" s="428" t="s">
        <v>1844</v>
      </c>
      <c r="B37" s="1970" t="s">
        <v>3361</v>
      </c>
      <c r="C37" s="1151" t="s">
        <v>0</v>
      </c>
      <c r="D37" s="1152"/>
      <c r="E37" s="1153"/>
      <c r="F37" s="1154"/>
      <c r="G37" s="1155"/>
      <c r="H37" s="1156"/>
      <c r="I37" s="1153"/>
      <c r="J37" s="1156"/>
      <c r="K37" s="566"/>
      <c r="L37" s="2721"/>
      <c r="M37" s="2722"/>
      <c r="N37" s="2713"/>
      <c r="O37" s="2722"/>
      <c r="P37" s="3871" t="str">
        <f>A37</f>
        <v>成交单价</v>
      </c>
      <c r="Q37" s="3871"/>
      <c r="R37" s="3872">
        <f>E37</f>
        <v>0</v>
      </c>
      <c r="S37" s="3872"/>
      <c r="T37" s="3872">
        <f>G37</f>
        <v>0</v>
      </c>
      <c r="U37" s="3872"/>
      <c r="V37" s="3872">
        <f>I37</f>
        <v>0</v>
      </c>
      <c r="W37" s="3872"/>
      <c r="X37" s="687"/>
      <c r="Y37" s="709"/>
      <c r="Z37" s="687"/>
      <c r="AA37" s="687"/>
      <c r="AB37" s="687"/>
      <c r="AC37" s="687"/>
    </row>
    <row r="38" spans="1:29" ht="15.75" thickBot="1">
      <c r="A38" s="435" t="s">
        <v>1845</v>
      </c>
      <c r="B38" s="436" t="str">
        <f>B37</f>
        <v>元/平方米</v>
      </c>
      <c r="C38" s="1157" t="e">
        <f>R39</f>
        <v>#DIV/0!</v>
      </c>
      <c r="D38" s="2314" t="s">
        <v>2138</v>
      </c>
      <c r="E38" s="1158" t="e">
        <f>R38</f>
        <v>#DIV/0!</v>
      </c>
      <c r="F38" s="2315"/>
      <c r="G38" s="1157" t="e">
        <f>T38</f>
        <v>#DIV/0!</v>
      </c>
      <c r="H38" s="2315"/>
      <c r="I38" s="1158" t="e">
        <f>V38</f>
        <v>#DIV/0!</v>
      </c>
      <c r="J38" s="2315"/>
      <c r="K38" s="2317">
        <f>F38+H38+J38</f>
        <v>0</v>
      </c>
      <c r="L38" s="2721"/>
      <c r="M38" s="2722"/>
      <c r="N38" s="2722"/>
      <c r="O38" s="2722"/>
      <c r="P38" s="3871" t="str">
        <f>A38</f>
        <v>比较价值（元/平方米）</v>
      </c>
      <c r="Q38" s="3871"/>
      <c r="R38" s="3872" t="e">
        <f>IF(F1="售价",ROUND(PRODUCT(R37,AA7:AA36),0),ROUND(PRODUCT(R37,AA7:AA36),1))</f>
        <v>#DIV/0!</v>
      </c>
      <c r="S38" s="3872"/>
      <c r="T38" s="3872" t="e">
        <f>IF(F1="售价",ROUND(PRODUCT(T37,AB7:AB36),0),ROUND(PRODUCT(T37,AB7:AB36),1))</f>
        <v>#DIV/0!</v>
      </c>
      <c r="U38" s="3872"/>
      <c r="V38" s="3872" t="e">
        <f>IF(F1="售价",ROUND(PRODUCT(V37,AC7:AC36),0),ROUND(PRODUCT(V37,AC7:AC36),1))</f>
        <v>#DIV/0!</v>
      </c>
      <c r="W38" s="3872"/>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21"/>
      <c r="M39" s="2722"/>
      <c r="N39" s="2722"/>
      <c r="O39" s="2722"/>
      <c r="P39" s="3868" t="str">
        <f>A39</f>
        <v>估价对象XX用房的比较价值（楼面单价，元/平方米）</v>
      </c>
      <c r="Q39" s="3869"/>
      <c r="R39" s="3932" t="e">
        <f>IF(F1="售价",ROUND(IF(D38="简单平均",AVERAGE(R38:W38),R38*F38+T38*H38+V38*J38),0),ROUND(IF(D38="简单平均",AVERAGE(R38:V38),R38*F38+T38*H38+V38*J38),1))</f>
        <v>#DIV/0!</v>
      </c>
      <c r="S39" s="3932"/>
      <c r="T39" s="3932"/>
      <c r="U39" s="3932"/>
      <c r="V39" s="3932"/>
      <c r="W39" s="3932"/>
      <c r="X39" s="687"/>
      <c r="Y39" s="687"/>
      <c r="Z39" s="687"/>
      <c r="AA39" s="687"/>
      <c r="AB39" s="687"/>
      <c r="AC39" s="687"/>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49" customFormat="1" ht="13.5" customHeight="1">
      <c r="A44" s="2725"/>
      <c r="B44" s="2725"/>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49"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5" customFormat="1" ht="15">
      <c r="A48" s="452" t="s">
        <v>1851</v>
      </c>
      <c r="B48" s="453"/>
      <c r="C48" s="1181" t="str">
        <f>YEAR(C7)&amp;"-"&amp;MONTH(C7)</f>
        <v>2023-1</v>
      </c>
      <c r="D48" s="1182">
        <f>EDATE(C48,-1)</f>
        <v>44896</v>
      </c>
      <c r="E48" s="1182">
        <f t="shared" ref="E48:O48" si="16">EDATE(D48,-1)</f>
        <v>44866</v>
      </c>
      <c r="F48" s="1182">
        <f t="shared" si="16"/>
        <v>44835</v>
      </c>
      <c r="G48" s="1182">
        <f t="shared" si="16"/>
        <v>44805</v>
      </c>
      <c r="H48" s="1182">
        <f t="shared" si="16"/>
        <v>44774</v>
      </c>
      <c r="I48" s="1182">
        <f t="shared" si="16"/>
        <v>44743</v>
      </c>
      <c r="J48" s="1182">
        <f t="shared" si="16"/>
        <v>44713</v>
      </c>
      <c r="K48" s="1182">
        <f t="shared" si="16"/>
        <v>44682</v>
      </c>
      <c r="L48" s="1182">
        <f t="shared" si="16"/>
        <v>44652</v>
      </c>
      <c r="M48" s="1182">
        <f t="shared" si="16"/>
        <v>44621</v>
      </c>
      <c r="N48" s="1182">
        <f t="shared" si="16"/>
        <v>44593</v>
      </c>
      <c r="O48" s="1182">
        <f t="shared" si="16"/>
        <v>44562</v>
      </c>
      <c r="P48" s="2756"/>
      <c r="Q48" s="2738"/>
      <c r="R48" s="2738"/>
      <c r="S48" s="2738"/>
      <c r="T48" s="2738"/>
      <c r="U48" s="2738"/>
      <c r="V48" s="2738"/>
      <c r="W48" s="2738"/>
      <c r="X48" s="2738"/>
      <c r="Y48" s="2738"/>
      <c r="Z48" s="2738"/>
      <c r="AA48" s="2738"/>
      <c r="AB48" s="2738"/>
      <c r="AC48" s="2738"/>
    </row>
    <row r="49" spans="1:29" s="107" customFormat="1" ht="15">
      <c r="A49" s="456"/>
      <c r="B49" s="457"/>
      <c r="C49" s="1174">
        <v>100</v>
      </c>
      <c r="D49" s="459"/>
      <c r="E49" s="459"/>
      <c r="F49" s="459"/>
      <c r="G49" s="459"/>
      <c r="H49" s="459"/>
      <c r="I49" s="459"/>
      <c r="J49" s="459"/>
      <c r="K49" s="459"/>
      <c r="L49" s="459"/>
      <c r="M49" s="460"/>
      <c r="N49" s="459"/>
      <c r="O49" s="460"/>
      <c r="P49" s="2757"/>
      <c r="Q49" s="2658"/>
      <c r="R49" s="2658"/>
      <c r="S49" s="2658"/>
      <c r="T49" s="2658"/>
      <c r="U49" s="2658"/>
      <c r="V49" s="2658"/>
      <c r="W49" s="2658"/>
      <c r="X49" s="2658"/>
      <c r="Y49" s="2658"/>
      <c r="Z49" s="2658"/>
      <c r="AA49" s="2658"/>
      <c r="AB49" s="2658"/>
      <c r="AC49" s="2658"/>
    </row>
    <row r="50" spans="1:29" s="107" customFormat="1" ht="15.75" thickBot="1">
      <c r="A50" s="462" t="s">
        <v>1716</v>
      </c>
      <c r="B50" s="463"/>
      <c r="C50" s="464"/>
      <c r="D50" s="465"/>
      <c r="E50" s="465"/>
      <c r="F50" s="465"/>
      <c r="G50" s="465"/>
      <c r="H50" s="465"/>
      <c r="I50" s="465"/>
      <c r="J50" s="465"/>
      <c r="K50" s="465"/>
      <c r="L50" s="465"/>
      <c r="M50" s="466"/>
      <c r="N50" s="465"/>
      <c r="O50" s="466"/>
      <c r="P50" s="2757"/>
      <c r="Q50" s="2736"/>
      <c r="R50" s="2658"/>
      <c r="S50" s="2658"/>
      <c r="T50" s="2658"/>
      <c r="U50" s="2658"/>
      <c r="V50" s="2658"/>
      <c r="W50" s="2658"/>
      <c r="X50" s="2658"/>
      <c r="Y50" s="2658"/>
      <c r="Z50" s="2658"/>
      <c r="AA50" s="2658"/>
      <c r="AB50" s="2658"/>
      <c r="AC50" s="2658"/>
    </row>
    <row r="51" spans="1:29" s="107" customFormat="1" ht="15">
      <c r="A51" s="468" t="s">
        <v>1681</v>
      </c>
      <c r="B51" s="457"/>
      <c r="C51" s="469" t="s">
        <v>1776</v>
      </c>
      <c r="D51" s="470"/>
      <c r="E51" s="470"/>
      <c r="F51" s="470"/>
      <c r="G51" s="470"/>
      <c r="H51" s="470"/>
      <c r="I51" s="470"/>
      <c r="J51" s="470"/>
      <c r="K51" s="470"/>
      <c r="L51" s="471"/>
      <c r="M51" s="472"/>
      <c r="N51" s="2749"/>
      <c r="O51" s="2749"/>
      <c r="P51" s="2758"/>
      <c r="Q51" s="2736"/>
      <c r="R51" s="2658"/>
      <c r="S51" s="2658"/>
      <c r="T51" s="2658"/>
      <c r="U51" s="2658"/>
      <c r="V51" s="2658"/>
      <c r="W51" s="2658"/>
      <c r="X51" s="2658"/>
      <c r="Y51" s="2658"/>
      <c r="Z51" s="2658"/>
      <c r="AA51" s="2658"/>
      <c r="AB51" s="2658"/>
      <c r="AC51" s="2658"/>
    </row>
    <row r="52" spans="1:29" s="107" customFormat="1" ht="15.75" thickBot="1">
      <c r="A52" s="468"/>
      <c r="B52" s="457"/>
      <c r="C52" s="585">
        <v>100</v>
      </c>
      <c r="D52" s="459"/>
      <c r="E52" s="459"/>
      <c r="F52" s="459"/>
      <c r="G52" s="459"/>
      <c r="H52" s="459"/>
      <c r="I52" s="459"/>
      <c r="J52" s="459"/>
      <c r="K52" s="459"/>
      <c r="L52" s="459"/>
      <c r="M52" s="461"/>
      <c r="N52" s="2749"/>
      <c r="O52" s="2749"/>
      <c r="P52" s="2757"/>
      <c r="Q52" s="2736"/>
      <c r="R52" s="2658"/>
      <c r="S52" s="2658"/>
      <c r="T52" s="2658"/>
      <c r="U52" s="2658"/>
      <c r="V52" s="2658"/>
      <c r="W52" s="2658"/>
      <c r="X52" s="2658"/>
      <c r="Y52" s="2658"/>
      <c r="Z52" s="2658"/>
      <c r="AA52" s="2658"/>
      <c r="AB52" s="2658"/>
      <c r="AC52" s="2658"/>
    </row>
    <row r="53" spans="1:29">
      <c r="A53" s="474" t="s">
        <v>1719</v>
      </c>
      <c r="B53" s="475" t="s">
        <v>1685</v>
      </c>
      <c r="C53" s="476">
        <f>C9</f>
        <v>0</v>
      </c>
      <c r="D53" s="477"/>
      <c r="E53" s="477"/>
      <c r="F53" s="477"/>
      <c r="G53" s="477"/>
      <c r="H53" s="477"/>
      <c r="I53" s="477"/>
      <c r="J53" s="477"/>
      <c r="K53" s="478"/>
      <c r="L53" s="479"/>
      <c r="M53" s="480"/>
      <c r="N53" s="2750"/>
      <c r="O53" s="2750"/>
      <c r="P53" s="2759"/>
      <c r="Q53" s="2736"/>
      <c r="R53" s="2722"/>
      <c r="S53" s="2722"/>
      <c r="T53" s="2722"/>
      <c r="U53" s="2722"/>
      <c r="V53" s="2722"/>
      <c r="W53" s="2722"/>
      <c r="X53" s="2722"/>
      <c r="Y53" s="2722"/>
      <c r="Z53" s="2722"/>
      <c r="AA53" s="2722"/>
      <c r="AB53" s="2722"/>
      <c r="AC53" s="2722"/>
    </row>
    <row r="54" spans="1:29" ht="15.75" thickBot="1">
      <c r="A54" s="481"/>
      <c r="B54" s="482"/>
      <c r="C54" s="483">
        <v>100</v>
      </c>
      <c r="D54" s="483"/>
      <c r="E54" s="483"/>
      <c r="F54" s="483"/>
      <c r="G54" s="483"/>
      <c r="H54" s="483"/>
      <c r="I54" s="483"/>
      <c r="J54" s="483"/>
      <c r="K54" s="483"/>
      <c r="L54" s="483"/>
      <c r="M54" s="484"/>
      <c r="N54" s="2751"/>
      <c r="O54" s="2751"/>
      <c r="P54" s="2759"/>
      <c r="Q54" s="2736"/>
      <c r="R54" s="2722"/>
      <c r="S54" s="2722"/>
      <c r="T54" s="2722"/>
      <c r="U54" s="2722"/>
      <c r="V54" s="2722"/>
      <c r="W54" s="2722"/>
      <c r="X54" s="2722"/>
      <c r="Y54" s="2722"/>
      <c r="Z54" s="2722"/>
      <c r="AA54" s="2722"/>
      <c r="AB54" s="2722"/>
      <c r="AC54" s="2722"/>
    </row>
    <row r="55" spans="1:29" ht="27.75" thickTop="1">
      <c r="A55" s="481"/>
      <c r="B55" s="485" t="s">
        <v>1688</v>
      </c>
      <c r="C55" s="530"/>
      <c r="D55" s="530"/>
      <c r="E55" s="530"/>
      <c r="F55" s="530"/>
      <c r="G55" s="530"/>
      <c r="H55" s="530"/>
      <c r="I55" s="530"/>
      <c r="J55" s="530"/>
      <c r="K55" s="531"/>
      <c r="L55" s="532"/>
      <c r="M55" s="533"/>
      <c r="N55" s="2750"/>
      <c r="O55" s="2750"/>
      <c r="P55" s="2759"/>
      <c r="Q55" s="2736"/>
      <c r="R55" s="2722"/>
      <c r="S55" s="2722"/>
      <c r="T55" s="2722"/>
      <c r="U55" s="2722"/>
      <c r="V55" s="2722"/>
      <c r="W55" s="2722"/>
      <c r="X55" s="2722"/>
      <c r="Y55" s="2722"/>
      <c r="Z55" s="2722"/>
      <c r="AA55" s="2722"/>
      <c r="AB55" s="2722"/>
      <c r="AC55" s="2722"/>
    </row>
    <row r="56" spans="1:29" ht="15.75" thickBot="1">
      <c r="A56" s="481"/>
      <c r="B56" s="490"/>
      <c r="C56" s="483"/>
      <c r="D56" s="483"/>
      <c r="E56" s="483"/>
      <c r="F56" s="483"/>
      <c r="G56" s="483"/>
      <c r="H56" s="483"/>
      <c r="I56" s="483"/>
      <c r="J56" s="483"/>
      <c r="K56" s="483"/>
      <c r="L56" s="483"/>
      <c r="M56" s="484"/>
      <c r="N56" s="2751"/>
      <c r="O56" s="2751"/>
      <c r="P56" s="2759"/>
      <c r="Q56" s="2736"/>
      <c r="R56" s="2722"/>
      <c r="S56" s="2722"/>
      <c r="T56" s="2722"/>
      <c r="U56" s="2722"/>
      <c r="V56" s="2722"/>
      <c r="W56" s="2722"/>
      <c r="X56" s="2722"/>
      <c r="Y56" s="2722"/>
      <c r="Z56" s="2722"/>
      <c r="AA56" s="2722"/>
      <c r="AB56" s="2722"/>
      <c r="AC56" s="2722"/>
    </row>
    <row r="57" spans="1:29" ht="15.75" thickTop="1">
      <c r="A57" s="481"/>
      <c r="B57" s="606">
        <f>B11</f>
        <v>111</v>
      </c>
      <c r="C57" s="496"/>
      <c r="D57" s="496"/>
      <c r="E57" s="496"/>
      <c r="F57" s="496"/>
      <c r="G57" s="496"/>
      <c r="H57" s="496"/>
      <c r="I57" s="496"/>
      <c r="J57" s="496"/>
      <c r="K57" s="497"/>
      <c r="L57" s="498"/>
      <c r="M57" s="499"/>
      <c r="N57" s="2750"/>
      <c r="O57" s="2750"/>
      <c r="P57" s="2759"/>
      <c r="Q57" s="2736"/>
      <c r="R57" s="2722"/>
      <c r="S57" s="2722"/>
      <c r="T57" s="2722"/>
      <c r="U57" s="2722"/>
      <c r="V57" s="2722"/>
      <c r="W57" s="2722"/>
      <c r="X57" s="2722"/>
      <c r="Y57" s="2722"/>
      <c r="Z57" s="2722"/>
      <c r="AA57" s="2722"/>
      <c r="AB57" s="2722"/>
      <c r="AC57" s="2722"/>
    </row>
    <row r="58" spans="1:29" ht="15.75" thickBot="1">
      <c r="A58" s="481"/>
      <c r="B58" s="482"/>
      <c r="C58" s="507"/>
      <c r="D58" s="483"/>
      <c r="E58" s="483"/>
      <c r="F58" s="483"/>
      <c r="G58" s="483"/>
      <c r="H58" s="483"/>
      <c r="I58" s="483"/>
      <c r="J58" s="483"/>
      <c r="K58" s="483"/>
      <c r="L58" s="483"/>
      <c r="M58" s="484"/>
      <c r="N58" s="2751"/>
      <c r="O58" s="2751"/>
      <c r="P58" s="2759"/>
      <c r="Q58" s="2736"/>
      <c r="R58" s="2722"/>
      <c r="S58" s="2722"/>
      <c r="T58" s="2722"/>
      <c r="U58" s="2722"/>
      <c r="V58" s="2722"/>
      <c r="W58" s="2722"/>
      <c r="X58" s="2722"/>
      <c r="Y58" s="2722"/>
      <c r="Z58" s="2722"/>
      <c r="AA58" s="2722"/>
      <c r="AB58" s="2722"/>
      <c r="AC58" s="2722"/>
    </row>
    <row r="59" spans="1:29" s="420" customFormat="1" ht="15.75" thickTop="1">
      <c r="A59" s="500"/>
      <c r="B59" s="485">
        <f>B12</f>
        <v>111</v>
      </c>
      <c r="C59" s="496"/>
      <c r="D59" s="496"/>
      <c r="E59" s="496"/>
      <c r="F59" s="496"/>
      <c r="G59" s="501"/>
      <c r="H59" s="502"/>
      <c r="I59" s="502"/>
      <c r="J59" s="502"/>
      <c r="K59" s="502"/>
      <c r="L59" s="503"/>
      <c r="M59" s="504"/>
      <c r="N59" s="2752"/>
      <c r="O59" s="2752"/>
      <c r="P59" s="2760"/>
      <c r="Q59" s="2743"/>
      <c r="R59" s="2744"/>
      <c r="S59" s="2744"/>
      <c r="T59" s="2744"/>
      <c r="U59" s="2744"/>
      <c r="V59" s="2744"/>
      <c r="W59" s="2744"/>
      <c r="X59" s="2744"/>
      <c r="Y59" s="2744"/>
      <c r="Z59" s="2744"/>
      <c r="AA59" s="2744"/>
      <c r="AB59" s="2744"/>
      <c r="AC59" s="2744"/>
    </row>
    <row r="60" spans="1:29" s="420" customFormat="1" ht="15.75" thickBot="1">
      <c r="A60" s="500"/>
      <c r="B60" s="490"/>
      <c r="C60" s="507"/>
      <c r="D60" s="483"/>
      <c r="E60" s="483"/>
      <c r="F60" s="483"/>
      <c r="G60" s="483"/>
      <c r="H60" s="483"/>
      <c r="I60" s="483"/>
      <c r="J60" s="483"/>
      <c r="K60" s="483"/>
      <c r="L60" s="483"/>
      <c r="M60" s="484"/>
      <c r="N60" s="2751"/>
      <c r="O60" s="2751"/>
      <c r="P60" s="2760"/>
      <c r="Q60" s="2743"/>
      <c r="R60" s="2744"/>
      <c r="S60" s="2744"/>
      <c r="T60" s="2744"/>
      <c r="U60" s="2744"/>
      <c r="V60" s="2744"/>
      <c r="W60" s="2744"/>
      <c r="X60" s="2744"/>
      <c r="Y60" s="2744"/>
      <c r="Z60" s="2744"/>
      <c r="AA60" s="2744"/>
      <c r="AB60" s="2744"/>
      <c r="AC60" s="2744"/>
    </row>
    <row r="61" spans="1:29" s="420" customFormat="1" ht="15.75" thickTop="1">
      <c r="A61" s="500"/>
      <c r="B61" s="485">
        <f>B13</f>
        <v>111</v>
      </c>
      <c r="C61" s="501"/>
      <c r="D61" s="501"/>
      <c r="E61" s="501"/>
      <c r="F61" s="501"/>
      <c r="G61" s="501"/>
      <c r="H61" s="502"/>
      <c r="I61" s="502"/>
      <c r="J61" s="502"/>
      <c r="K61" s="502"/>
      <c r="L61" s="503"/>
      <c r="M61" s="504"/>
      <c r="N61" s="2752"/>
      <c r="O61" s="2752"/>
      <c r="P61" s="2761"/>
      <c r="Q61" s="2746"/>
      <c r="R61" s="2744"/>
      <c r="S61" s="2744"/>
      <c r="T61" s="2744"/>
      <c r="U61" s="2744"/>
      <c r="V61" s="2744"/>
      <c r="W61" s="2744"/>
      <c r="X61" s="2744"/>
      <c r="Y61" s="2744"/>
      <c r="Z61" s="2744"/>
      <c r="AA61" s="2744"/>
      <c r="AB61" s="2744"/>
      <c r="AC61" s="2744"/>
    </row>
    <row r="62" spans="1:29" s="420" customFormat="1" ht="15.75" thickBot="1">
      <c r="A62" s="500"/>
      <c r="B62" s="490"/>
      <c r="C62" s="507"/>
      <c r="D62" s="507"/>
      <c r="E62" s="507"/>
      <c r="F62" s="507"/>
      <c r="G62" s="507"/>
      <c r="H62" s="509"/>
      <c r="I62" s="509"/>
      <c r="J62" s="509"/>
      <c r="K62" s="509"/>
      <c r="L62" s="509"/>
      <c r="M62" s="510"/>
      <c r="N62" s="2752"/>
      <c r="O62" s="2752"/>
      <c r="P62" s="2760"/>
      <c r="Q62" s="2743"/>
      <c r="R62" s="2744"/>
      <c r="S62" s="2744"/>
      <c r="T62" s="2744"/>
      <c r="U62" s="2744"/>
      <c r="V62" s="2744"/>
      <c r="W62" s="2744"/>
      <c r="X62" s="2744"/>
      <c r="Y62" s="2744"/>
      <c r="Z62" s="2744"/>
      <c r="AA62" s="2744"/>
      <c r="AB62" s="2744"/>
      <c r="AC62" s="2744"/>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50"/>
      <c r="O63" s="2750"/>
      <c r="P63" s="2763"/>
      <c r="Q63" s="2736"/>
      <c r="R63" s="2722"/>
      <c r="S63" s="2722"/>
      <c r="T63" s="2722"/>
      <c r="U63" s="2722"/>
      <c r="V63" s="2722"/>
      <c r="W63" s="2722"/>
      <c r="X63" s="2722"/>
      <c r="Y63" s="2722"/>
      <c r="Z63" s="2722"/>
      <c r="AA63" s="2722"/>
      <c r="AB63" s="2722"/>
      <c r="AC63" s="2722"/>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1"/>
      <c r="O64" s="2751"/>
      <c r="P64" s="2759"/>
      <c r="Q64" s="2736"/>
      <c r="R64" s="2722"/>
      <c r="S64" s="2722"/>
      <c r="T64" s="2722"/>
      <c r="U64" s="2722"/>
      <c r="V64" s="2722"/>
      <c r="W64" s="2722"/>
      <c r="X64" s="2722"/>
      <c r="Y64" s="2722"/>
      <c r="Z64" s="2722"/>
      <c r="AA64" s="2722"/>
      <c r="AB64" s="2722"/>
      <c r="AC64" s="2722"/>
    </row>
    <row r="65" spans="1:29" ht="15.75" thickTop="1">
      <c r="A65" s="481"/>
      <c r="B65" s="485" t="s">
        <v>1727</v>
      </c>
      <c r="C65" s="525" t="s">
        <v>1721</v>
      </c>
      <c r="D65" s="525" t="s">
        <v>1722</v>
      </c>
      <c r="E65" s="525" t="s">
        <v>1723</v>
      </c>
      <c r="F65" s="525" t="s">
        <v>1724</v>
      </c>
      <c r="G65" s="525" t="s">
        <v>1725</v>
      </c>
      <c r="H65" s="486"/>
      <c r="I65" s="486"/>
      <c r="J65" s="486"/>
      <c r="K65" s="487"/>
      <c r="L65" s="488"/>
      <c r="M65" s="489"/>
      <c r="N65" s="2750"/>
      <c r="O65" s="2750"/>
      <c r="P65" s="2759"/>
      <c r="Q65" s="2736"/>
      <c r="R65" s="2722"/>
      <c r="S65" s="2722"/>
      <c r="T65" s="2722"/>
      <c r="U65" s="2722"/>
      <c r="V65" s="2722"/>
      <c r="W65" s="2722"/>
      <c r="X65" s="2722"/>
      <c r="Y65" s="2722"/>
      <c r="Z65" s="2722"/>
      <c r="AA65" s="2722"/>
      <c r="AB65" s="2722"/>
      <c r="AC65" s="2722"/>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1"/>
      <c r="O66" s="2751"/>
      <c r="P66" s="2759"/>
      <c r="Q66" s="2736"/>
      <c r="R66" s="2722"/>
      <c r="S66" s="2722"/>
      <c r="T66" s="2722"/>
      <c r="U66" s="2722"/>
      <c r="V66" s="2722"/>
      <c r="W66" s="2722"/>
      <c r="X66" s="2722"/>
      <c r="Y66" s="2722"/>
      <c r="Z66" s="2722"/>
      <c r="AA66" s="2722"/>
      <c r="AB66" s="2722"/>
      <c r="AC66" s="2722"/>
    </row>
    <row r="67" spans="1:29" ht="15.75" thickTop="1">
      <c r="A67" s="481"/>
      <c r="B67" s="493" t="s">
        <v>1813</v>
      </c>
      <c r="C67" s="606" t="s">
        <v>1799</v>
      </c>
      <c r="D67" s="606" t="s">
        <v>1800</v>
      </c>
      <c r="E67" s="606" t="s">
        <v>1801</v>
      </c>
      <c r="F67" s="606" t="s">
        <v>1802</v>
      </c>
      <c r="G67" s="606" t="s">
        <v>1803</v>
      </c>
      <c r="H67" s="486"/>
      <c r="I67" s="486"/>
      <c r="J67" s="486"/>
      <c r="K67" s="486"/>
      <c r="L67" s="486"/>
      <c r="M67" s="1126"/>
      <c r="N67" s="2751"/>
      <c r="O67" s="2751"/>
      <c r="P67" s="2759"/>
      <c r="Q67" s="2736"/>
      <c r="R67" s="2722"/>
      <c r="S67" s="2722"/>
      <c r="T67" s="2722"/>
      <c r="U67" s="2722"/>
      <c r="V67" s="2722"/>
      <c r="W67" s="2722"/>
      <c r="X67" s="2722"/>
      <c r="Y67" s="2722"/>
      <c r="Z67" s="2722"/>
      <c r="AA67" s="2722"/>
      <c r="AB67" s="2722"/>
      <c r="AC67" s="2722"/>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1"/>
      <c r="O68" s="2751"/>
      <c r="P68" s="2759"/>
      <c r="Q68" s="2736"/>
      <c r="R68" s="2722"/>
      <c r="S68" s="2722"/>
      <c r="T68" s="2722"/>
      <c r="U68" s="2722"/>
      <c r="V68" s="2722"/>
      <c r="W68" s="2722"/>
      <c r="X68" s="2722"/>
      <c r="Y68" s="2722"/>
      <c r="Z68" s="2722"/>
      <c r="AA68" s="2722"/>
      <c r="AB68" s="2722"/>
      <c r="AC68" s="2722"/>
    </row>
    <row r="69" spans="1:29" ht="15.75" thickTop="1">
      <c r="A69" s="481"/>
      <c r="B69" s="485" t="s">
        <v>1733</v>
      </c>
      <c r="C69" s="525" t="s">
        <v>1721</v>
      </c>
      <c r="D69" s="525" t="s">
        <v>1722</v>
      </c>
      <c r="E69" s="525" t="s">
        <v>1723</v>
      </c>
      <c r="F69" s="525" t="s">
        <v>1724</v>
      </c>
      <c r="G69" s="525" t="s">
        <v>1725</v>
      </c>
      <c r="H69" s="486"/>
      <c r="I69" s="486"/>
      <c r="J69" s="486"/>
      <c r="K69" s="487"/>
      <c r="L69" s="488"/>
      <c r="M69" s="489"/>
      <c r="N69" s="2750"/>
      <c r="O69" s="2750"/>
      <c r="P69" s="2759"/>
      <c r="Q69" s="2736"/>
      <c r="R69" s="2722"/>
      <c r="S69" s="2722"/>
      <c r="T69" s="2722"/>
      <c r="U69" s="2722"/>
      <c r="V69" s="2722"/>
      <c r="W69" s="2722"/>
      <c r="X69" s="2722"/>
      <c r="Y69" s="2722"/>
      <c r="Z69" s="2722"/>
      <c r="AA69" s="2722"/>
      <c r="AB69" s="2722"/>
      <c r="AC69" s="2722"/>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1"/>
      <c r="O70" s="2751"/>
      <c r="P70" s="2759"/>
      <c r="Q70" s="2736"/>
      <c r="R70" s="2722"/>
      <c r="S70" s="2722"/>
      <c r="T70" s="2722"/>
      <c r="U70" s="2722"/>
      <c r="V70" s="2722"/>
      <c r="W70" s="2722"/>
      <c r="X70" s="2722"/>
      <c r="Y70" s="2722"/>
      <c r="Z70" s="2722"/>
      <c r="AA70" s="2722"/>
      <c r="AB70" s="2722"/>
      <c r="AC70" s="2722"/>
    </row>
    <row r="71" spans="1:29" ht="15.75" thickTop="1">
      <c r="A71" s="481"/>
      <c r="B71" s="485" t="s">
        <v>1852</v>
      </c>
      <c r="C71" s="501"/>
      <c r="D71" s="501"/>
      <c r="E71" s="501"/>
      <c r="F71" s="501"/>
      <c r="G71" s="501"/>
      <c r="H71" s="530"/>
      <c r="I71" s="530"/>
      <c r="J71" s="530"/>
      <c r="K71" s="531"/>
      <c r="L71" s="532"/>
      <c r="M71" s="533"/>
      <c r="N71" s="2750"/>
      <c r="O71" s="2750"/>
      <c r="P71" s="2759"/>
      <c r="Q71" s="2736"/>
      <c r="R71" s="2722"/>
      <c r="S71" s="2722"/>
      <c r="T71" s="2722"/>
      <c r="U71" s="2722"/>
      <c r="V71" s="2722"/>
      <c r="W71" s="2722"/>
      <c r="X71" s="2722"/>
      <c r="Y71" s="2722"/>
      <c r="Z71" s="2722"/>
      <c r="AA71" s="2722"/>
      <c r="AB71" s="2722"/>
      <c r="AC71" s="2722"/>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1"/>
      <c r="O72" s="2751"/>
      <c r="P72" s="2759"/>
      <c r="Q72" s="2736"/>
      <c r="R72" s="2722"/>
      <c r="S72" s="2722"/>
      <c r="T72" s="2722"/>
      <c r="U72" s="2722"/>
      <c r="V72" s="2722"/>
      <c r="W72" s="2722"/>
      <c r="X72" s="2722"/>
      <c r="Y72" s="2722"/>
      <c r="Z72" s="2722"/>
      <c r="AA72" s="2722"/>
      <c r="AB72" s="2722"/>
      <c r="AC72" s="2722"/>
    </row>
    <row r="73" spans="1:29" s="107" customFormat="1" ht="15.75" thickTop="1">
      <c r="A73" s="526"/>
      <c r="B73" s="485">
        <f>B23</f>
        <v>111</v>
      </c>
      <c r="C73" s="496"/>
      <c r="D73" s="496"/>
      <c r="E73" s="496"/>
      <c r="F73" s="496"/>
      <c r="G73" s="501"/>
      <c r="H73" s="501"/>
      <c r="I73" s="501"/>
      <c r="J73" s="501"/>
      <c r="K73" s="501"/>
      <c r="L73" s="527"/>
      <c r="M73" s="528"/>
      <c r="N73" s="2749"/>
      <c r="O73" s="2749"/>
      <c r="P73" s="2759"/>
      <c r="Q73" s="2736"/>
      <c r="R73" s="2658"/>
      <c r="S73" s="2658"/>
      <c r="T73" s="2658"/>
      <c r="U73" s="2658"/>
      <c r="V73" s="2658"/>
      <c r="W73" s="2658"/>
      <c r="X73" s="2658"/>
      <c r="Y73" s="2658"/>
      <c r="Z73" s="2658"/>
      <c r="AA73" s="2658"/>
      <c r="AB73" s="2658"/>
      <c r="AC73" s="2658"/>
    </row>
    <row r="74" spans="1:29" s="107" customFormat="1" ht="15.75" thickBot="1">
      <c r="A74" s="526"/>
      <c r="B74" s="490"/>
      <c r="C74" s="507"/>
      <c r="D74" s="483"/>
      <c r="E74" s="483"/>
      <c r="F74" s="483"/>
      <c r="G74" s="483"/>
      <c r="H74" s="483"/>
      <c r="I74" s="483"/>
      <c r="J74" s="483"/>
      <c r="K74" s="483"/>
      <c r="L74" s="483"/>
      <c r="M74" s="484"/>
      <c r="N74" s="2751"/>
      <c r="O74" s="2751"/>
      <c r="P74" s="2759"/>
      <c r="Q74" s="2736"/>
      <c r="R74" s="2658"/>
      <c r="S74" s="2658"/>
      <c r="T74" s="2658"/>
      <c r="U74" s="2658"/>
      <c r="V74" s="2658"/>
      <c r="W74" s="2658"/>
      <c r="X74" s="2658"/>
      <c r="Y74" s="2658"/>
      <c r="Z74" s="2658"/>
      <c r="AA74" s="2658"/>
      <c r="AB74" s="2658"/>
      <c r="AC74" s="2658"/>
    </row>
    <row r="75" spans="1:29" s="107" customFormat="1" ht="15.75" thickTop="1">
      <c r="A75" s="526"/>
      <c r="B75" s="485">
        <f>B24</f>
        <v>111</v>
      </c>
      <c r="C75" s="496"/>
      <c r="D75" s="496"/>
      <c r="E75" s="496"/>
      <c r="F75" s="496"/>
      <c r="G75" s="501"/>
      <c r="H75" s="501"/>
      <c r="I75" s="501"/>
      <c r="J75" s="501"/>
      <c r="K75" s="501"/>
      <c r="L75" s="501"/>
      <c r="M75" s="528"/>
      <c r="N75" s="2749"/>
      <c r="O75" s="2749"/>
      <c r="P75" s="2759"/>
      <c r="Q75" s="2736"/>
      <c r="R75" s="2658"/>
      <c r="S75" s="2658"/>
      <c r="T75" s="2658"/>
      <c r="U75" s="2658"/>
      <c r="V75" s="2658"/>
      <c r="W75" s="2658"/>
      <c r="X75" s="2658"/>
      <c r="Y75" s="2658"/>
      <c r="Z75" s="2658"/>
      <c r="AA75" s="2658"/>
      <c r="AB75" s="2658"/>
      <c r="AC75" s="2658"/>
    </row>
    <row r="76" spans="1:29" s="107" customFormat="1" ht="15.75" thickBot="1">
      <c r="A76" s="526"/>
      <c r="B76" s="490"/>
      <c r="C76" s="507"/>
      <c r="D76" s="483"/>
      <c r="E76" s="483"/>
      <c r="F76" s="483"/>
      <c r="G76" s="483"/>
      <c r="H76" s="483"/>
      <c r="I76" s="483"/>
      <c r="J76" s="483"/>
      <c r="K76" s="483"/>
      <c r="L76" s="483"/>
      <c r="M76" s="484"/>
      <c r="N76" s="2751"/>
      <c r="O76" s="2751"/>
      <c r="P76" s="2759"/>
      <c r="Q76" s="2736"/>
      <c r="R76" s="2658"/>
      <c r="S76" s="2658"/>
      <c r="T76" s="2658"/>
      <c r="U76" s="2658"/>
      <c r="V76" s="2658"/>
      <c r="W76" s="2658"/>
      <c r="X76" s="2658"/>
      <c r="Y76" s="2658"/>
      <c r="Z76" s="2658"/>
      <c r="AA76" s="2658"/>
      <c r="AB76" s="2658"/>
      <c r="AC76" s="2658"/>
    </row>
    <row r="77" spans="1:29" s="420" customFormat="1" ht="15.75" thickTop="1">
      <c r="A77" s="500"/>
      <c r="B77" s="485">
        <f>B25</f>
        <v>111</v>
      </c>
      <c r="C77" s="501"/>
      <c r="D77" s="501"/>
      <c r="E77" s="501"/>
      <c r="F77" s="501"/>
      <c r="G77" s="501"/>
      <c r="H77" s="502"/>
      <c r="I77" s="502"/>
      <c r="J77" s="502"/>
      <c r="K77" s="502"/>
      <c r="L77" s="503"/>
      <c r="M77" s="504"/>
      <c r="N77" s="2752"/>
      <c r="O77" s="2752"/>
      <c r="P77" s="2760"/>
      <c r="Q77" s="2743"/>
      <c r="R77" s="2744"/>
      <c r="S77" s="2744"/>
      <c r="T77" s="2744"/>
      <c r="U77" s="2744"/>
      <c r="V77" s="2744"/>
      <c r="W77" s="2744"/>
      <c r="X77" s="2744"/>
      <c r="Y77" s="2744"/>
      <c r="Z77" s="2744"/>
      <c r="AA77" s="2744"/>
      <c r="AB77" s="2744"/>
      <c r="AC77" s="2744"/>
    </row>
    <row r="78" spans="1:29" s="420" customFormat="1" ht="15.75" thickBot="1">
      <c r="A78" s="500"/>
      <c r="B78" s="490"/>
      <c r="C78" s="507"/>
      <c r="D78" s="507"/>
      <c r="E78" s="507"/>
      <c r="F78" s="507"/>
      <c r="G78" s="483"/>
      <c r="H78" s="483"/>
      <c r="I78" s="483"/>
      <c r="J78" s="483"/>
      <c r="K78" s="483"/>
      <c r="L78" s="483"/>
      <c r="M78" s="484"/>
      <c r="N78" s="2752"/>
      <c r="O78" s="2752"/>
      <c r="P78" s="2760"/>
      <c r="Q78" s="2743"/>
      <c r="R78" s="2744"/>
      <c r="S78" s="2744"/>
      <c r="T78" s="2744"/>
      <c r="U78" s="2744"/>
      <c r="V78" s="2744"/>
      <c r="W78" s="2744"/>
      <c r="X78" s="2744"/>
      <c r="Y78" s="2744"/>
      <c r="Z78" s="2744"/>
      <c r="AA78" s="2744"/>
      <c r="AB78" s="2744"/>
      <c r="AC78" s="2744"/>
    </row>
    <row r="79" spans="1:29" ht="27.75" thickTop="1">
      <c r="A79" s="474" t="s">
        <v>1694</v>
      </c>
      <c r="B79" s="475" t="s">
        <v>1853</v>
      </c>
      <c r="C79" s="476" t="str">
        <f>C26</f>
        <v>车库</v>
      </c>
      <c r="D79" s="477"/>
      <c r="E79" s="477"/>
      <c r="F79" s="477"/>
      <c r="G79" s="477"/>
      <c r="H79" s="477"/>
      <c r="I79" s="477"/>
      <c r="J79" s="477"/>
      <c r="K79" s="478"/>
      <c r="L79" s="479"/>
      <c r="M79" s="480"/>
      <c r="N79" s="2750"/>
      <c r="O79" s="2750"/>
      <c r="P79" s="2759"/>
      <c r="Q79" s="2736"/>
      <c r="R79" s="2722"/>
      <c r="S79" s="2722"/>
      <c r="T79" s="2722"/>
      <c r="U79" s="2722"/>
      <c r="V79" s="2722"/>
      <c r="W79" s="2722"/>
      <c r="X79" s="2722"/>
      <c r="Y79" s="2722"/>
      <c r="Z79" s="2722"/>
      <c r="AA79" s="2722"/>
      <c r="AB79" s="2722"/>
      <c r="AC79" s="2722"/>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1"/>
      <c r="B81" s="485" t="s">
        <v>1854</v>
      </c>
      <c r="C81" s="607"/>
      <c r="D81" s="607"/>
      <c r="E81" s="607"/>
      <c r="F81" s="607"/>
      <c r="G81" s="607"/>
      <c r="H81" s="607"/>
      <c r="I81" s="607"/>
      <c r="J81" s="607"/>
      <c r="K81" s="608"/>
      <c r="L81" s="609"/>
      <c r="M81" s="610"/>
      <c r="N81" s="2749"/>
      <c r="O81" s="2749"/>
      <c r="P81" s="2759"/>
      <c r="Q81" s="2736"/>
      <c r="R81" s="2722"/>
      <c r="S81" s="2722"/>
      <c r="T81" s="2722"/>
      <c r="U81" s="2722"/>
      <c r="V81" s="2722"/>
      <c r="W81" s="2722"/>
      <c r="X81" s="2722"/>
      <c r="Y81" s="2722"/>
      <c r="Z81" s="2722"/>
      <c r="AA81" s="2722"/>
      <c r="AB81" s="2722"/>
      <c r="AC81" s="2722"/>
    </row>
    <row r="82" spans="1:29" s="420" customFormat="1" ht="15.75" thickBot="1">
      <c r="A82" s="500"/>
      <c r="B82" s="490"/>
      <c r="C82" s="507"/>
      <c r="D82" s="483"/>
      <c r="E82" s="483"/>
      <c r="F82" s="483"/>
      <c r="G82" s="483"/>
      <c r="H82" s="483"/>
      <c r="I82" s="483"/>
      <c r="J82" s="483"/>
      <c r="K82" s="483"/>
      <c r="L82" s="483"/>
      <c r="M82" s="484"/>
      <c r="N82" s="2751"/>
      <c r="O82" s="2751"/>
      <c r="P82" s="2760"/>
      <c r="Q82" s="2743"/>
      <c r="R82" s="2744"/>
      <c r="S82" s="2744"/>
      <c r="T82" s="2744"/>
      <c r="U82" s="2744"/>
      <c r="V82" s="2744"/>
      <c r="W82" s="2744"/>
      <c r="X82" s="2744"/>
      <c r="Y82" s="2744"/>
      <c r="Z82" s="2744"/>
      <c r="AA82" s="2744"/>
      <c r="AB82" s="2744"/>
      <c r="AC82" s="2744"/>
    </row>
    <row r="83" spans="1:29" ht="15" thickTop="1">
      <c r="A83" s="546"/>
      <c r="B83" s="485" t="s">
        <v>1740</v>
      </c>
      <c r="C83" s="501"/>
      <c r="D83" s="501"/>
      <c r="E83" s="530"/>
      <c r="F83" s="530"/>
      <c r="G83" s="530"/>
      <c r="H83" s="530"/>
      <c r="I83" s="530"/>
      <c r="J83" s="530"/>
      <c r="K83" s="531"/>
      <c r="L83" s="532"/>
      <c r="M83" s="533"/>
      <c r="N83" s="2750"/>
      <c r="O83" s="2750"/>
      <c r="P83" s="2759"/>
      <c r="Q83" s="2736"/>
      <c r="R83" s="2722"/>
      <c r="S83" s="2722"/>
      <c r="T83" s="2722"/>
      <c r="U83" s="2722"/>
      <c r="V83" s="2722"/>
      <c r="W83" s="2722"/>
      <c r="X83" s="2722"/>
      <c r="Y83" s="2722"/>
      <c r="Z83" s="2722"/>
      <c r="AA83" s="2722"/>
      <c r="AB83" s="2722"/>
      <c r="AC83" s="2722"/>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50"/>
      <c r="O85" s="2750"/>
      <c r="P85" s="2759"/>
      <c r="Q85" s="2736"/>
      <c r="R85" s="2722"/>
      <c r="S85" s="2722"/>
      <c r="T85" s="2722"/>
      <c r="U85" s="2722"/>
      <c r="V85" s="2722"/>
      <c r="W85" s="2722"/>
      <c r="X85" s="2722"/>
      <c r="Y85" s="2722"/>
      <c r="Z85" s="2722"/>
      <c r="AA85" s="2722"/>
      <c r="AB85" s="2722"/>
      <c r="AC85" s="2722"/>
    </row>
    <row r="86" spans="1:29">
      <c r="A86" s="546"/>
      <c r="B86" s="493"/>
      <c r="C86" s="550">
        <v>0.5</v>
      </c>
      <c r="D86" s="550">
        <v>0.6</v>
      </c>
      <c r="E86" s="550">
        <v>0.7</v>
      </c>
      <c r="F86" s="550">
        <v>0.8</v>
      </c>
      <c r="G86" s="550">
        <v>0.9</v>
      </c>
      <c r="H86" s="550">
        <v>1.0001</v>
      </c>
      <c r="I86" s="569"/>
      <c r="J86" s="569"/>
      <c r="K86" s="570"/>
      <c r="L86" s="571"/>
      <c r="M86" s="572"/>
      <c r="N86" s="2750"/>
      <c r="O86" s="2750"/>
      <c r="P86" s="2759"/>
      <c r="Q86" s="2736"/>
      <c r="R86" s="2722"/>
      <c r="S86" s="2722"/>
      <c r="T86" s="2722"/>
      <c r="U86" s="2722"/>
      <c r="V86" s="2722"/>
      <c r="W86" s="2722"/>
      <c r="X86" s="2722"/>
      <c r="Y86" s="2722"/>
      <c r="Z86" s="2722"/>
      <c r="AA86" s="2722"/>
      <c r="AB86" s="2722"/>
      <c r="AC86" s="2722"/>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6"/>
      <c r="B88" s="493" t="s">
        <v>1856</v>
      </c>
      <c r="C88" s="477"/>
      <c r="D88" s="477"/>
      <c r="E88" s="477"/>
      <c r="F88" s="477"/>
      <c r="G88" s="477"/>
      <c r="H88" s="477"/>
      <c r="I88" s="477"/>
      <c r="J88" s="477"/>
      <c r="K88" s="478"/>
      <c r="L88" s="479"/>
      <c r="M88" s="480"/>
      <c r="N88" s="2750"/>
      <c r="O88" s="2750"/>
      <c r="P88" s="2759"/>
      <c r="Q88" s="2736"/>
      <c r="R88" s="2722"/>
      <c r="S88" s="2722"/>
      <c r="T88" s="2722"/>
      <c r="U88" s="2722"/>
      <c r="V88" s="2722"/>
      <c r="W88" s="2722"/>
      <c r="X88" s="2722"/>
      <c r="Y88" s="2722"/>
      <c r="Z88" s="2722"/>
      <c r="AA88" s="2722"/>
      <c r="AB88" s="2722"/>
      <c r="AC88" s="2722"/>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1"/>
      <c r="O89" s="2751"/>
      <c r="P89" s="2759"/>
      <c r="Q89" s="2736"/>
      <c r="R89" s="2722"/>
      <c r="S89" s="2722"/>
      <c r="T89" s="2722"/>
      <c r="U89" s="2722"/>
      <c r="V89" s="2722"/>
      <c r="W89" s="2722"/>
      <c r="X89" s="2722"/>
      <c r="Y89" s="2722"/>
      <c r="Z89" s="2722"/>
      <c r="AA89" s="2722"/>
      <c r="AB89" s="2722"/>
      <c r="AC89" s="2722"/>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2"/>
      <c r="O90" s="2752"/>
      <c r="P90" s="2760"/>
      <c r="Q90" s="2743"/>
      <c r="R90" s="2744"/>
      <c r="S90" s="2744"/>
      <c r="T90" s="2744"/>
      <c r="U90" s="2744"/>
      <c r="V90" s="2744"/>
      <c r="W90" s="2744"/>
      <c r="X90" s="2744"/>
      <c r="Y90" s="2744"/>
      <c r="Z90" s="2744"/>
      <c r="AA90" s="2744"/>
      <c r="AB90" s="2744"/>
      <c r="AC90" s="2744"/>
    </row>
    <row r="91" spans="1:29" s="420" customFormat="1">
      <c r="A91" s="540"/>
      <c r="B91" s="493"/>
      <c r="C91" s="542"/>
      <c r="D91" s="542"/>
      <c r="E91" s="542"/>
      <c r="F91" s="542"/>
      <c r="G91" s="542"/>
      <c r="H91" s="542"/>
      <c r="I91" s="542"/>
      <c r="J91" s="543"/>
      <c r="K91" s="543"/>
      <c r="L91" s="544"/>
      <c r="M91" s="545"/>
      <c r="N91" s="2752"/>
      <c r="O91" s="2752"/>
      <c r="P91" s="2760"/>
      <c r="Q91" s="2743"/>
      <c r="R91" s="2744"/>
      <c r="S91" s="2744"/>
      <c r="T91" s="2744"/>
      <c r="U91" s="2744"/>
      <c r="V91" s="2744"/>
      <c r="W91" s="2744"/>
      <c r="X91" s="2744"/>
      <c r="Y91" s="2744"/>
      <c r="Z91" s="2744"/>
      <c r="AA91" s="2744"/>
      <c r="AB91" s="2744"/>
      <c r="AC91" s="2744"/>
    </row>
    <row r="92" spans="1:29" s="420" customFormat="1" ht="15.75" thickBot="1">
      <c r="A92" s="500"/>
      <c r="B92" s="490"/>
      <c r="C92" s="507"/>
      <c r="D92" s="483"/>
      <c r="E92" s="483"/>
      <c r="F92" s="483"/>
      <c r="G92" s="483"/>
      <c r="H92" s="483"/>
      <c r="I92" s="483"/>
      <c r="J92" s="483"/>
      <c r="K92" s="483"/>
      <c r="L92" s="483"/>
      <c r="M92" s="484"/>
      <c r="N92" s="2752"/>
      <c r="O92" s="2752"/>
      <c r="P92" s="2760"/>
      <c r="Q92" s="2743"/>
      <c r="R92" s="2744"/>
      <c r="S92" s="2744"/>
      <c r="T92" s="2744"/>
      <c r="U92" s="2744"/>
      <c r="V92" s="2744"/>
      <c r="W92" s="2744"/>
      <c r="X92" s="2744"/>
      <c r="Y92" s="2744"/>
      <c r="Z92" s="2744"/>
      <c r="AA92" s="2744"/>
      <c r="AB92" s="2744"/>
      <c r="AC92" s="2744"/>
    </row>
    <row r="93" spans="1:29" ht="15" thickTop="1">
      <c r="A93" s="546"/>
      <c r="B93" s="485" t="s">
        <v>1858</v>
      </c>
      <c r="C93" s="501"/>
      <c r="D93" s="501"/>
      <c r="E93" s="530"/>
      <c r="F93" s="530"/>
      <c r="G93" s="530"/>
      <c r="H93" s="530"/>
      <c r="I93" s="530"/>
      <c r="J93" s="530"/>
      <c r="K93" s="531"/>
      <c r="L93" s="532"/>
      <c r="M93" s="533"/>
      <c r="N93" s="2750"/>
      <c r="O93" s="2750"/>
      <c r="P93" s="2759"/>
      <c r="Q93" s="2736"/>
      <c r="R93" s="2722"/>
      <c r="S93" s="2722"/>
      <c r="T93" s="2722"/>
      <c r="U93" s="2722"/>
      <c r="V93" s="2722"/>
      <c r="W93" s="2722"/>
      <c r="X93" s="2722"/>
      <c r="Y93" s="2722"/>
      <c r="Z93" s="2722"/>
      <c r="AA93" s="2722"/>
      <c r="AB93" s="2722"/>
      <c r="AC93" s="2722"/>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6"/>
      <c r="B95" s="485" t="s">
        <v>1859</v>
      </c>
      <c r="C95" s="477"/>
      <c r="D95" s="477"/>
      <c r="E95" s="477"/>
      <c r="F95" s="477"/>
      <c r="G95" s="477"/>
      <c r="H95" s="477"/>
      <c r="I95" s="477"/>
      <c r="J95" s="477"/>
      <c r="K95" s="478"/>
      <c r="L95" s="479"/>
      <c r="M95" s="480"/>
      <c r="N95" s="2750"/>
      <c r="O95" s="2750"/>
      <c r="P95" s="2759"/>
      <c r="Q95" s="2736"/>
      <c r="R95" s="2722"/>
      <c r="S95" s="2722"/>
      <c r="T95" s="2722"/>
      <c r="U95" s="2722"/>
      <c r="V95" s="2722"/>
      <c r="W95" s="2722"/>
      <c r="X95" s="2722"/>
      <c r="Y95" s="2722"/>
      <c r="Z95" s="2722"/>
      <c r="AA95" s="2722"/>
      <c r="AB95" s="2722"/>
      <c r="AC95" s="2722"/>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1"/>
      <c r="O96" s="2751"/>
      <c r="P96" s="2759"/>
      <c r="Q96" s="2736"/>
      <c r="R96" s="2722"/>
      <c r="S96" s="2722"/>
      <c r="T96" s="2722"/>
      <c r="U96" s="2722"/>
      <c r="V96" s="2722"/>
      <c r="W96" s="2722"/>
      <c r="X96" s="2722"/>
      <c r="Y96" s="2722"/>
      <c r="Z96" s="2722"/>
      <c r="AA96" s="2722"/>
      <c r="AB96" s="2722"/>
      <c r="AC96" s="2722"/>
    </row>
    <row r="97" spans="1:29" ht="15" thickTop="1">
      <c r="A97" s="546"/>
      <c r="B97" s="582">
        <f>B34</f>
        <v>111</v>
      </c>
      <c r="C97" s="496"/>
      <c r="D97" s="496"/>
      <c r="E97" s="496"/>
      <c r="F97" s="496"/>
      <c r="G97" s="501"/>
      <c r="H97" s="502"/>
      <c r="I97" s="502"/>
      <c r="J97" s="502"/>
      <c r="K97" s="502"/>
      <c r="L97" s="503"/>
      <c r="M97" s="504"/>
      <c r="N97" s="2751"/>
      <c r="O97" s="2751"/>
      <c r="P97" s="2764"/>
      <c r="Q97" s="2765"/>
      <c r="R97" s="2722"/>
      <c r="S97" s="2722"/>
      <c r="T97" s="2722"/>
      <c r="U97" s="2722"/>
      <c r="V97" s="2722"/>
      <c r="W97" s="2722"/>
      <c r="X97" s="2722"/>
      <c r="Y97" s="2722"/>
      <c r="Z97" s="2722"/>
      <c r="AA97" s="2722"/>
      <c r="AB97" s="2722"/>
      <c r="AC97" s="2722"/>
    </row>
    <row r="98" spans="1:29" ht="15.75" thickBot="1">
      <c r="A98" s="481"/>
      <c r="B98" s="490"/>
      <c r="C98" s="507"/>
      <c r="D98" s="483"/>
      <c r="E98" s="483"/>
      <c r="F98" s="483"/>
      <c r="G98" s="507"/>
      <c r="H98" s="509"/>
      <c r="I98" s="509"/>
      <c r="J98" s="509"/>
      <c r="K98" s="509"/>
      <c r="L98" s="509"/>
      <c r="M98" s="510"/>
      <c r="N98" s="2751"/>
      <c r="O98" s="2751"/>
      <c r="P98" s="2759"/>
      <c r="Q98" s="2736"/>
      <c r="R98" s="2722"/>
      <c r="S98" s="2722"/>
      <c r="T98" s="2722"/>
      <c r="U98" s="2722"/>
      <c r="V98" s="2722"/>
      <c r="W98" s="2722"/>
      <c r="X98" s="2722"/>
      <c r="Y98" s="2722"/>
      <c r="Z98" s="2722"/>
      <c r="AA98" s="2722"/>
      <c r="AB98" s="2722"/>
      <c r="AC98" s="2722"/>
    </row>
    <row r="99" spans="1:29" s="420" customFormat="1" ht="15" thickTop="1">
      <c r="A99" s="540"/>
      <c r="B99" s="485">
        <f>B35</f>
        <v>111</v>
      </c>
      <c r="C99" s="496"/>
      <c r="D99" s="496"/>
      <c r="E99" s="496"/>
      <c r="F99" s="496"/>
      <c r="G99" s="501"/>
      <c r="H99" s="502"/>
      <c r="I99" s="502"/>
      <c r="J99" s="502"/>
      <c r="K99" s="502"/>
      <c r="L99" s="503"/>
      <c r="M99" s="504"/>
      <c r="N99" s="2752"/>
      <c r="O99" s="2752"/>
      <c r="P99" s="2760"/>
      <c r="Q99" s="2743"/>
      <c r="R99" s="2744"/>
      <c r="S99" s="2744"/>
      <c r="T99" s="2744"/>
      <c r="U99" s="2744"/>
      <c r="V99" s="2744"/>
      <c r="W99" s="2744"/>
      <c r="X99" s="2744"/>
      <c r="Y99" s="2744"/>
      <c r="Z99" s="2744"/>
      <c r="AA99" s="2744"/>
      <c r="AB99" s="2744"/>
      <c r="AC99" s="2744"/>
    </row>
    <row r="100" spans="1:29" s="420" customFormat="1" ht="15.75" thickBot="1">
      <c r="A100" s="500"/>
      <c r="B100" s="482"/>
      <c r="C100" s="507"/>
      <c r="D100" s="483"/>
      <c r="E100" s="483"/>
      <c r="F100" s="483"/>
      <c r="G100" s="507"/>
      <c r="H100" s="509"/>
      <c r="I100" s="509"/>
      <c r="J100" s="509"/>
      <c r="K100" s="509"/>
      <c r="L100" s="509"/>
      <c r="M100" s="510"/>
      <c r="N100" s="2752"/>
      <c r="O100" s="2752"/>
      <c r="P100" s="2760"/>
      <c r="Q100" s="2743"/>
      <c r="R100" s="2744"/>
      <c r="S100" s="2744"/>
      <c r="T100" s="2744"/>
      <c r="U100" s="2744"/>
      <c r="V100" s="2744"/>
      <c r="W100" s="2744"/>
      <c r="X100" s="2744"/>
      <c r="Y100" s="2744"/>
      <c r="Z100" s="2744"/>
      <c r="AA100" s="2744"/>
      <c r="AB100" s="2744"/>
      <c r="AC100" s="2744"/>
    </row>
    <row r="101" spans="1:29" ht="15" thickTop="1">
      <c r="A101" s="546"/>
      <c r="B101" s="485">
        <f>B36</f>
        <v>111</v>
      </c>
      <c r="C101" s="501"/>
      <c r="D101" s="501"/>
      <c r="E101" s="501"/>
      <c r="F101" s="501"/>
      <c r="G101" s="501"/>
      <c r="H101" s="502"/>
      <c r="I101" s="502"/>
      <c r="J101" s="502"/>
      <c r="K101" s="502"/>
      <c r="L101" s="503"/>
      <c r="M101" s="504"/>
      <c r="N101" s="2750"/>
      <c r="O101" s="2750"/>
      <c r="P101" s="2759"/>
      <c r="Q101" s="2736"/>
      <c r="R101" s="2722"/>
      <c r="S101" s="2722"/>
      <c r="T101" s="2722"/>
      <c r="U101" s="2722"/>
      <c r="V101" s="2722"/>
      <c r="W101" s="2722"/>
      <c r="X101" s="2722"/>
      <c r="Y101" s="2722"/>
      <c r="Z101" s="2722"/>
      <c r="AA101" s="2722"/>
      <c r="AB101" s="2722"/>
      <c r="AC101" s="2722"/>
    </row>
    <row r="102" spans="1:29" ht="15.75" thickBot="1">
      <c r="A102" s="481"/>
      <c r="B102" s="490"/>
      <c r="C102" s="507"/>
      <c r="D102" s="507"/>
      <c r="E102" s="507"/>
      <c r="F102" s="507"/>
      <c r="G102" s="507"/>
      <c r="H102" s="509"/>
      <c r="I102" s="509"/>
      <c r="J102" s="509"/>
      <c r="K102" s="509"/>
      <c r="L102" s="509"/>
      <c r="M102" s="510"/>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3342</v>
      </c>
      <c r="C1" s="1221" t="s">
        <v>1662</v>
      </c>
      <c r="D1" s="1222"/>
      <c r="E1" s="3431"/>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3" t="s">
        <v>1769</v>
      </c>
      <c r="B4" s="354"/>
      <c r="C4" s="3886" t="s">
        <v>1770</v>
      </c>
      <c r="D4" s="3887"/>
      <c r="E4" s="3888" t="s">
        <v>1771</v>
      </c>
      <c r="F4" s="3889"/>
      <c r="G4" s="3886" t="s">
        <v>1772</v>
      </c>
      <c r="H4" s="3887"/>
      <c r="I4" s="3886" t="s">
        <v>1773</v>
      </c>
      <c r="J4" s="3887"/>
      <c r="K4" s="557" t="s">
        <v>1774</v>
      </c>
      <c r="L4" s="2712"/>
      <c r="M4" s="2713"/>
      <c r="N4" s="2713"/>
      <c r="O4" s="2713"/>
      <c r="P4" s="3890" t="s">
        <v>1775</v>
      </c>
      <c r="Q4" s="3891"/>
      <c r="R4" s="3896" t="s">
        <v>1771</v>
      </c>
      <c r="S4" s="3897"/>
      <c r="T4" s="3896" t="s">
        <v>1772</v>
      </c>
      <c r="U4" s="3897"/>
      <c r="V4" s="3902" t="s">
        <v>1773</v>
      </c>
      <c r="W4" s="3902"/>
      <c r="X4" s="1352"/>
      <c r="Y4" s="3896" t="s">
        <v>1775</v>
      </c>
      <c r="Z4" s="3897"/>
      <c r="AA4" s="3883" t="s">
        <v>1771</v>
      </c>
      <c r="AB4" s="3884" t="s">
        <v>1772</v>
      </c>
      <c r="AC4" s="3883" t="s">
        <v>1773</v>
      </c>
    </row>
    <row r="5" spans="1:29" ht="15">
      <c r="A5" s="356"/>
      <c r="B5" s="357"/>
      <c r="C5" s="3905" t="s">
        <v>1673</v>
      </c>
      <c r="D5" s="3906"/>
      <c r="E5" s="3912" t="s">
        <v>1674</v>
      </c>
      <c r="F5" s="3913"/>
      <c r="G5" s="3905" t="s">
        <v>1675</v>
      </c>
      <c r="H5" s="3906"/>
      <c r="I5" s="3905" t="s">
        <v>1676</v>
      </c>
      <c r="J5" s="3906"/>
      <c r="K5" s="557"/>
      <c r="L5" s="2712"/>
      <c r="M5" s="2713"/>
      <c r="N5" s="2713"/>
      <c r="O5" s="2713"/>
      <c r="P5" s="3892"/>
      <c r="Q5" s="3893"/>
      <c r="R5" s="3898"/>
      <c r="S5" s="3899"/>
      <c r="T5" s="3898"/>
      <c r="U5" s="3899"/>
      <c r="V5" s="3902"/>
      <c r="W5" s="3902"/>
      <c r="X5" s="1352"/>
      <c r="Y5" s="3898"/>
      <c r="Z5" s="3899"/>
      <c r="AA5" s="3884"/>
      <c r="AB5" s="3884"/>
      <c r="AC5" s="3884"/>
    </row>
    <row r="6" spans="1:29" ht="15.75" thickBot="1">
      <c r="A6" s="358"/>
      <c r="B6" s="359"/>
      <c r="C6" s="3903" t="s">
        <v>1677</v>
      </c>
      <c r="D6" s="3904"/>
      <c r="E6" s="3910" t="s">
        <v>1677</v>
      </c>
      <c r="F6" s="3911"/>
      <c r="G6" s="3903" t="s">
        <v>1677</v>
      </c>
      <c r="H6" s="3904"/>
      <c r="I6" s="3903" t="s">
        <v>1677</v>
      </c>
      <c r="J6" s="3904"/>
      <c r="K6" s="557" t="s">
        <v>1678</v>
      </c>
      <c r="L6" s="2712"/>
      <c r="M6" s="2713"/>
      <c r="N6" s="2713"/>
      <c r="O6" s="2713"/>
      <c r="P6" s="3894"/>
      <c r="Q6" s="3895"/>
      <c r="R6" s="3898"/>
      <c r="S6" s="3899"/>
      <c r="T6" s="3900"/>
      <c r="U6" s="3901"/>
      <c r="V6" s="3902"/>
      <c r="W6" s="3902"/>
      <c r="X6" s="1352"/>
      <c r="Y6" s="3900"/>
      <c r="Z6" s="3901"/>
      <c r="AA6" s="3885"/>
      <c r="AB6" s="3885"/>
      <c r="AC6" s="3885"/>
    </row>
    <row r="7" spans="1:29" s="107" customFormat="1" ht="15.75" thickBot="1">
      <c r="A7" s="360" t="s">
        <v>1679</v>
      </c>
      <c r="B7" s="361"/>
      <c r="C7" s="362">
        <f>'数据-取费表'!B2</f>
        <v>44937</v>
      </c>
      <c r="D7" s="363">
        <v>100</v>
      </c>
      <c r="E7" s="364"/>
      <c r="F7" s="365">
        <f>SUMIF(46:46,YEAR(E7)&amp;"-"&amp;MONTH(E7),47:47)</f>
        <v>0</v>
      </c>
      <c r="G7" s="1971"/>
      <c r="H7" s="363">
        <f>SUMIF(46:46,YEAR(G7)&amp;"-"&amp;MONTH(G7),47:47)</f>
        <v>0</v>
      </c>
      <c r="I7" s="364"/>
      <c r="J7" s="363">
        <f>SUMIF(46:46,YEAR(I7)&amp;"-"&amp;MONTH(I7),47:47)</f>
        <v>0</v>
      </c>
      <c r="K7" s="558"/>
      <c r="L7" s="2714"/>
      <c r="M7" s="2715"/>
      <c r="N7" s="2715"/>
      <c r="O7" s="2715"/>
      <c r="P7" s="3907" t="s">
        <v>1680</v>
      </c>
      <c r="Q7" s="3909"/>
      <c r="R7" s="698" t="s">
        <v>14</v>
      </c>
      <c r="S7" s="699">
        <f t="shared" ref="S7:S14" si="0">F7</f>
        <v>0</v>
      </c>
      <c r="T7" s="698" t="s">
        <v>14</v>
      </c>
      <c r="U7" s="699">
        <f t="shared" ref="U7:U14" si="1">H7</f>
        <v>0</v>
      </c>
      <c r="V7" s="698" t="s">
        <v>14</v>
      </c>
      <c r="W7" s="699">
        <f t="shared" ref="W7:W14" si="2">J7</f>
        <v>0</v>
      </c>
      <c r="X7" s="700"/>
      <c r="Y7" s="3907" t="s">
        <v>1680</v>
      </c>
      <c r="Z7" s="3908"/>
      <c r="AA7" s="701" t="e">
        <f>D7/F7</f>
        <v>#DIV/0!</v>
      </c>
      <c r="AB7" s="701" t="e">
        <f>D7/H7</f>
        <v>#DIV/0!</v>
      </c>
      <c r="AC7" s="701"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4"/>
      <c r="M8" s="2715"/>
      <c r="N8" s="2715"/>
      <c r="O8" s="2715"/>
      <c r="P8" s="3907" t="s">
        <v>1683</v>
      </c>
      <c r="Q8" s="3908"/>
      <c r="R8" s="698" t="s">
        <v>14</v>
      </c>
      <c r="S8" s="699">
        <f t="shared" si="0"/>
        <v>100</v>
      </c>
      <c r="T8" s="698" t="s">
        <v>14</v>
      </c>
      <c r="U8" s="699">
        <f t="shared" si="1"/>
        <v>100</v>
      </c>
      <c r="V8" s="698" t="s">
        <v>14</v>
      </c>
      <c r="W8" s="699">
        <f t="shared" si="2"/>
        <v>100</v>
      </c>
      <c r="X8" s="700"/>
      <c r="Y8" s="3907" t="s">
        <v>1683</v>
      </c>
      <c r="Z8" s="3908"/>
      <c r="AA8" s="701">
        <f t="shared" ref="AA8:AA34" si="3">D8/F8</f>
        <v>1</v>
      </c>
      <c r="AB8" s="701">
        <f t="shared" ref="AB8:AB34" si="4">D8/H8</f>
        <v>1</v>
      </c>
      <c r="AC8" s="701">
        <f t="shared" ref="AC8:AC34" si="5">D8/J8</f>
        <v>1</v>
      </c>
    </row>
    <row r="9" spans="1:29" s="107"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4"/>
      <c r="M9" s="2715"/>
      <c r="N9" s="2715"/>
      <c r="O9" s="2769"/>
      <c r="P9" s="3871" t="s">
        <v>1686</v>
      </c>
      <c r="Q9" s="1340" t="str">
        <f t="shared" ref="Q9:Q14" si="6">B9</f>
        <v>用途</v>
      </c>
      <c r="R9" s="698" t="s">
        <v>14</v>
      </c>
      <c r="S9" s="699">
        <f t="shared" si="0"/>
        <v>100</v>
      </c>
      <c r="T9" s="698" t="s">
        <v>14</v>
      </c>
      <c r="U9" s="699">
        <f t="shared" si="1"/>
        <v>100</v>
      </c>
      <c r="V9" s="698" t="s">
        <v>14</v>
      </c>
      <c r="W9" s="699">
        <f t="shared" si="2"/>
        <v>100</v>
      </c>
      <c r="X9" s="700"/>
      <c r="Y9" s="3746" t="s">
        <v>1687</v>
      </c>
      <c r="Z9" s="52" t="str">
        <f t="shared" ref="Z9:Z14" si="7">Q9</f>
        <v>用途</v>
      </c>
      <c r="AA9" s="701">
        <f t="shared" si="3"/>
        <v>1</v>
      </c>
      <c r="AB9" s="701">
        <f t="shared" si="4"/>
        <v>1</v>
      </c>
      <c r="AC9" s="701">
        <f t="shared" si="5"/>
        <v>1</v>
      </c>
    </row>
    <row r="10" spans="1:29" s="376" customFormat="1" ht="27">
      <c r="A10" s="372"/>
      <c r="B10" s="373" t="s">
        <v>1688</v>
      </c>
      <c r="C10" s="3432"/>
      <c r="D10" s="125">
        <v>100</v>
      </c>
      <c r="E10" s="3432"/>
      <c r="F10" s="374">
        <f>SUMIF(53:53,E10,54:54)-SUMIF(53:53,C10,54:54)+100</f>
        <v>100</v>
      </c>
      <c r="G10" s="3432"/>
      <c r="H10" s="125">
        <f>SUMIF(53:53,G10,54:54)-SUMIF(53:53,C10,54:54)+100</f>
        <v>100</v>
      </c>
      <c r="I10" s="3432"/>
      <c r="J10" s="125">
        <f>SUMIF(53:53,I10,54:54)-SUMIF(53:53,C10,54:54)+100</f>
        <v>100</v>
      </c>
      <c r="K10" s="558"/>
      <c r="L10" s="2716"/>
      <c r="M10" s="2717"/>
      <c r="N10" s="2717"/>
      <c r="O10" s="2770"/>
      <c r="P10" s="3871"/>
      <c r="Q10" s="1340" t="str">
        <f t="shared" si="6"/>
        <v>土地使用年限（年）</v>
      </c>
      <c r="R10" s="698" t="s">
        <v>14</v>
      </c>
      <c r="S10" s="699">
        <f t="shared" si="0"/>
        <v>100</v>
      </c>
      <c r="T10" s="698" t="s">
        <v>14</v>
      </c>
      <c r="U10" s="699">
        <f t="shared" si="1"/>
        <v>100</v>
      </c>
      <c r="V10" s="698" t="s">
        <v>14</v>
      </c>
      <c r="W10" s="699">
        <f t="shared" si="2"/>
        <v>100</v>
      </c>
      <c r="X10" s="700"/>
      <c r="Y10" s="3746"/>
      <c r="Z10" s="52" t="str">
        <f t="shared" si="7"/>
        <v>土地使用年限（年）</v>
      </c>
      <c r="AA10" s="701">
        <f t="shared" si="3"/>
        <v>1</v>
      </c>
      <c r="AB10" s="701">
        <f t="shared" si="4"/>
        <v>1</v>
      </c>
      <c r="AC10" s="701">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8"/>
      <c r="M11" s="2713"/>
      <c r="N11" s="2713"/>
      <c r="O11" s="2771"/>
      <c r="P11" s="3871"/>
      <c r="Q11" s="1340">
        <f t="shared" si="6"/>
        <v>111</v>
      </c>
      <c r="R11" s="698" t="s">
        <v>14</v>
      </c>
      <c r="S11" s="699">
        <f t="shared" si="0"/>
        <v>100</v>
      </c>
      <c r="T11" s="698" t="s">
        <v>14</v>
      </c>
      <c r="U11" s="699">
        <f t="shared" si="1"/>
        <v>100</v>
      </c>
      <c r="V11" s="698" t="s">
        <v>14</v>
      </c>
      <c r="W11" s="699">
        <f t="shared" si="2"/>
        <v>100</v>
      </c>
      <c r="X11" s="700"/>
      <c r="Y11" s="3746"/>
      <c r="Z11" s="52">
        <f t="shared" si="7"/>
        <v>111</v>
      </c>
      <c r="AA11" s="701">
        <f t="shared" si="3"/>
        <v>1</v>
      </c>
      <c r="AB11" s="701">
        <f t="shared" si="4"/>
        <v>1</v>
      </c>
      <c r="AC11" s="701">
        <f t="shared" si="5"/>
        <v>1</v>
      </c>
    </row>
    <row r="12" spans="1:29" s="107"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14"/>
      <c r="M12" s="2715"/>
      <c r="N12" s="2715"/>
      <c r="O12" s="2769"/>
      <c r="P12" s="3871"/>
      <c r="Q12" s="1340">
        <f t="shared" si="6"/>
        <v>111</v>
      </c>
      <c r="R12" s="698" t="s">
        <v>14</v>
      </c>
      <c r="S12" s="699">
        <f t="shared" si="0"/>
        <v>100</v>
      </c>
      <c r="T12" s="698" t="s">
        <v>14</v>
      </c>
      <c r="U12" s="699">
        <f t="shared" si="1"/>
        <v>100</v>
      </c>
      <c r="V12" s="698" t="s">
        <v>14</v>
      </c>
      <c r="W12" s="699">
        <f t="shared" si="2"/>
        <v>100</v>
      </c>
      <c r="X12" s="700"/>
      <c r="Y12" s="3746"/>
      <c r="Z12" s="52">
        <f t="shared" si="7"/>
        <v>111</v>
      </c>
      <c r="AA12" s="701">
        <f>D12/F12</f>
        <v>1</v>
      </c>
      <c r="AB12" s="701">
        <f>D12/H12</f>
        <v>1</v>
      </c>
      <c r="AC12" s="701">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9"/>
      <c r="M13" s="2713"/>
      <c r="N13" s="2713"/>
      <c r="O13" s="2771"/>
      <c r="P13" s="3871"/>
      <c r="Q13" s="1340">
        <f t="shared" si="6"/>
        <v>111</v>
      </c>
      <c r="R13" s="698" t="s">
        <v>14</v>
      </c>
      <c r="S13" s="699">
        <f t="shared" si="0"/>
        <v>100</v>
      </c>
      <c r="T13" s="698" t="s">
        <v>14</v>
      </c>
      <c r="U13" s="699">
        <f t="shared" si="1"/>
        <v>100</v>
      </c>
      <c r="V13" s="698" t="s">
        <v>14</v>
      </c>
      <c r="W13" s="699">
        <f t="shared" si="2"/>
        <v>100</v>
      </c>
      <c r="X13" s="700"/>
      <c r="Y13" s="3746"/>
      <c r="Z13" s="52">
        <f t="shared" si="7"/>
        <v>111</v>
      </c>
      <c r="AA13" s="701">
        <f t="shared" si="3"/>
        <v>1</v>
      </c>
      <c r="AB13" s="701">
        <f t="shared" si="4"/>
        <v>1</v>
      </c>
      <c r="AC13" s="701">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9"/>
      <c r="M14" s="2713"/>
      <c r="N14" s="2713"/>
      <c r="O14" s="2771"/>
      <c r="P14" s="3873" t="s">
        <v>1691</v>
      </c>
      <c r="Q14" s="1349" t="str">
        <f t="shared" si="6"/>
        <v>交通便捷度</v>
      </c>
      <c r="R14" s="702" t="s">
        <v>14</v>
      </c>
      <c r="S14" s="703">
        <f t="shared" si="0"/>
        <v>100</v>
      </c>
      <c r="T14" s="702" t="s">
        <v>14</v>
      </c>
      <c r="U14" s="703">
        <f t="shared" si="1"/>
        <v>100</v>
      </c>
      <c r="V14" s="702" t="s">
        <v>14</v>
      </c>
      <c r="W14" s="703">
        <f t="shared" si="2"/>
        <v>100</v>
      </c>
      <c r="X14" s="1352"/>
      <c r="Y14" s="3873"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9"/>
      <c r="M15" s="2713"/>
      <c r="N15" s="2713"/>
      <c r="O15" s="2771"/>
      <c r="P15" s="3874"/>
      <c r="Q15" s="1349"/>
      <c r="R15" s="702"/>
      <c r="S15" s="703"/>
      <c r="T15" s="702"/>
      <c r="U15" s="703"/>
      <c r="V15" s="702"/>
      <c r="W15" s="703"/>
      <c r="X15" s="1352"/>
      <c r="Y15" s="3874"/>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9"/>
      <c r="M16" s="2713"/>
      <c r="N16" s="2713"/>
      <c r="O16" s="2771"/>
      <c r="P16" s="3874"/>
      <c r="Q16" s="1349" t="str">
        <f>B16</f>
        <v>公共配套设施</v>
      </c>
      <c r="R16" s="702" t="s">
        <v>14</v>
      </c>
      <c r="S16" s="703">
        <f>F16</f>
        <v>100</v>
      </c>
      <c r="T16" s="702" t="s">
        <v>14</v>
      </c>
      <c r="U16" s="703">
        <f>H16</f>
        <v>100</v>
      </c>
      <c r="V16" s="702" t="s">
        <v>14</v>
      </c>
      <c r="W16" s="703">
        <f>J16</f>
        <v>100</v>
      </c>
      <c r="X16" s="1352"/>
      <c r="Y16" s="3874"/>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9"/>
      <c r="M17" s="2713"/>
      <c r="N17" s="2713"/>
      <c r="O17" s="2771"/>
      <c r="P17" s="3874"/>
      <c r="Q17" s="1349"/>
      <c r="R17" s="702"/>
      <c r="S17" s="703"/>
      <c r="T17" s="702"/>
      <c r="U17" s="703"/>
      <c r="V17" s="702"/>
      <c r="W17" s="703"/>
      <c r="X17" s="1352"/>
      <c r="Y17" s="3874"/>
      <c r="Z17" s="1353"/>
      <c r="AA17" s="1350">
        <v>1</v>
      </c>
      <c r="AB17" s="1350">
        <v>1</v>
      </c>
      <c r="AC17" s="1350">
        <v>1</v>
      </c>
    </row>
    <row r="18" spans="1:29" ht="28.5">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9"/>
      <c r="M18" s="2713"/>
      <c r="N18" s="2713"/>
      <c r="O18" s="2771"/>
      <c r="P18" s="3874"/>
      <c r="Q18" s="1349" t="str">
        <f>B18</f>
        <v>基础设施水平</v>
      </c>
      <c r="R18" s="702" t="s">
        <v>14</v>
      </c>
      <c r="S18" s="703">
        <f>F18</f>
        <v>100</v>
      </c>
      <c r="T18" s="702" t="s">
        <v>14</v>
      </c>
      <c r="U18" s="703">
        <f>H18</f>
        <v>100</v>
      </c>
      <c r="V18" s="702" t="s">
        <v>14</v>
      </c>
      <c r="W18" s="703">
        <f>J18</f>
        <v>100</v>
      </c>
      <c r="X18" s="1352"/>
      <c r="Y18" s="3874"/>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9"/>
      <c r="M19" s="2713"/>
      <c r="N19" s="2713"/>
      <c r="O19" s="2771"/>
      <c r="P19" s="3874"/>
      <c r="Q19" s="1349"/>
      <c r="R19" s="702"/>
      <c r="S19" s="703"/>
      <c r="T19" s="702"/>
      <c r="U19" s="703"/>
      <c r="V19" s="702"/>
      <c r="W19" s="703"/>
      <c r="X19" s="1352"/>
      <c r="Y19" s="3874"/>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9"/>
      <c r="M20" s="2713"/>
      <c r="N20" s="2713"/>
      <c r="O20" s="2771"/>
      <c r="P20" s="3874"/>
      <c r="Q20" s="1349" t="str">
        <f>B20</f>
        <v>自然及人文环境</v>
      </c>
      <c r="R20" s="702" t="s">
        <v>14</v>
      </c>
      <c r="S20" s="703">
        <f>F20</f>
        <v>100</v>
      </c>
      <c r="T20" s="702" t="s">
        <v>14</v>
      </c>
      <c r="U20" s="703">
        <f>H20</f>
        <v>100</v>
      </c>
      <c r="V20" s="702" t="s">
        <v>14</v>
      </c>
      <c r="W20" s="703">
        <f>J20</f>
        <v>100</v>
      </c>
      <c r="X20" s="1352"/>
      <c r="Y20" s="3874"/>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9"/>
      <c r="M21" s="2713"/>
      <c r="N21" s="2713"/>
      <c r="O21" s="2771"/>
      <c r="P21" s="3874"/>
      <c r="Q21" s="1349"/>
      <c r="R21" s="702"/>
      <c r="S21" s="703"/>
      <c r="T21" s="702"/>
      <c r="U21" s="703"/>
      <c r="V21" s="702"/>
      <c r="W21" s="703"/>
      <c r="X21" s="1352"/>
      <c r="Y21" s="3874"/>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9"/>
      <c r="M22" s="2713"/>
      <c r="N22" s="2713"/>
      <c r="O22" s="2771"/>
      <c r="P22" s="3874"/>
      <c r="Q22" s="1349" t="str">
        <f>B22</f>
        <v>楼层</v>
      </c>
      <c r="R22" s="702" t="s">
        <v>14</v>
      </c>
      <c r="S22" s="703">
        <f>F22</f>
        <v>100</v>
      </c>
      <c r="T22" s="702" t="s">
        <v>14</v>
      </c>
      <c r="U22" s="703">
        <f>H22</f>
        <v>100</v>
      </c>
      <c r="V22" s="702" t="s">
        <v>14</v>
      </c>
      <c r="W22" s="703">
        <f>J22</f>
        <v>100</v>
      </c>
      <c r="X22" s="1352"/>
      <c r="Y22" s="3874"/>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9"/>
      <c r="M23" s="2713"/>
      <c r="N23" s="2713"/>
      <c r="O23" s="2771"/>
      <c r="P23" s="3874"/>
      <c r="Q23" s="1349">
        <f>B23</f>
        <v>111</v>
      </c>
      <c r="R23" s="702" t="s">
        <v>14</v>
      </c>
      <c r="S23" s="703">
        <f>F23</f>
        <v>100</v>
      </c>
      <c r="T23" s="702" t="s">
        <v>14</v>
      </c>
      <c r="U23" s="703">
        <f>H23</f>
        <v>100</v>
      </c>
      <c r="V23" s="702" t="s">
        <v>14</v>
      </c>
      <c r="W23" s="703">
        <f>J23</f>
        <v>100</v>
      </c>
      <c r="X23" s="1352"/>
      <c r="Y23" s="3874"/>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9"/>
      <c r="M24" s="2713"/>
      <c r="N24" s="2713"/>
      <c r="O24" s="2771"/>
      <c r="P24" s="3874"/>
      <c r="Q24" s="1349">
        <f t="shared" ref="Q24:Q34" si="11">B24</f>
        <v>111</v>
      </c>
      <c r="R24" s="702" t="s">
        <v>14</v>
      </c>
      <c r="S24" s="703">
        <f>F24</f>
        <v>100</v>
      </c>
      <c r="T24" s="702" t="s">
        <v>14</v>
      </c>
      <c r="U24" s="703">
        <f>H24</f>
        <v>100</v>
      </c>
      <c r="V24" s="702" t="s">
        <v>14</v>
      </c>
      <c r="W24" s="703">
        <f>J24</f>
        <v>100</v>
      </c>
      <c r="X24" s="1352"/>
      <c r="Y24" s="3874"/>
      <c r="Z24" s="1353">
        <f>Q24</f>
        <v>111</v>
      </c>
      <c r="AA24" s="1350">
        <f t="shared" si="3"/>
        <v>1</v>
      </c>
      <c r="AB24" s="1350">
        <f t="shared" si="4"/>
        <v>1</v>
      </c>
      <c r="AC24" s="1350">
        <f t="shared" si="5"/>
        <v>1</v>
      </c>
    </row>
    <row r="25" spans="1:29" s="107"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14"/>
      <c r="M25" s="2715"/>
      <c r="N25" s="2715"/>
      <c r="O25" s="2769"/>
      <c r="P25" s="3874"/>
      <c r="Q25" s="1340">
        <f t="shared" si="11"/>
        <v>111</v>
      </c>
      <c r="R25" s="698" t="s">
        <v>14</v>
      </c>
      <c r="S25" s="699">
        <f>F25</f>
        <v>100</v>
      </c>
      <c r="T25" s="698" t="s">
        <v>14</v>
      </c>
      <c r="U25" s="699">
        <f>H25</f>
        <v>100</v>
      </c>
      <c r="V25" s="698" t="s">
        <v>14</v>
      </c>
      <c r="W25" s="699">
        <f>J25</f>
        <v>100</v>
      </c>
      <c r="X25" s="700"/>
      <c r="Y25" s="3874"/>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9"/>
      <c r="M26" s="2713"/>
      <c r="N26" s="2713"/>
      <c r="O26" s="2771"/>
      <c r="P26" s="3931"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878"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8"/>
      <c r="M27" s="2720"/>
      <c r="N27" s="2720"/>
      <c r="O27" s="2772"/>
      <c r="P27" s="3878"/>
      <c r="Q27" s="704" t="str">
        <f t="shared" si="11"/>
        <v>成新率</v>
      </c>
      <c r="R27" s="705" t="s">
        <v>14</v>
      </c>
      <c r="S27" s="706" t="e">
        <f t="shared" si="12"/>
        <v>#N/A</v>
      </c>
      <c r="T27" s="705" t="s">
        <v>14</v>
      </c>
      <c r="U27" s="706" t="e">
        <f t="shared" si="13"/>
        <v>#N/A</v>
      </c>
      <c r="V27" s="705" t="s">
        <v>14</v>
      </c>
      <c r="W27" s="706" t="e">
        <f t="shared" si="14"/>
        <v>#N/A</v>
      </c>
      <c r="X27" s="707"/>
      <c r="Y27" s="3878"/>
      <c r="Z27" s="708"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9"/>
      <c r="M28" s="2713"/>
      <c r="N28" s="2713"/>
      <c r="O28" s="2771"/>
      <c r="P28" s="3878"/>
      <c r="Q28" s="1349" t="str">
        <f t="shared" si="11"/>
        <v>物业等级</v>
      </c>
      <c r="R28" s="702" t="s">
        <v>14</v>
      </c>
      <c r="S28" s="703">
        <f t="shared" si="12"/>
        <v>100</v>
      </c>
      <c r="T28" s="702" t="s">
        <v>14</v>
      </c>
      <c r="U28" s="703">
        <f t="shared" si="13"/>
        <v>100</v>
      </c>
      <c r="V28" s="702" t="s">
        <v>14</v>
      </c>
      <c r="W28" s="703">
        <f t="shared" si="14"/>
        <v>100</v>
      </c>
      <c r="X28" s="1352"/>
      <c r="Y28" s="3878"/>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9"/>
      <c r="M29" s="2713"/>
      <c r="N29" s="2713"/>
      <c r="O29" s="2771"/>
      <c r="P29" s="3878"/>
      <c r="Q29" s="1349" t="str">
        <f t="shared" si="11"/>
        <v>有无电梯</v>
      </c>
      <c r="R29" s="702" t="s">
        <v>14</v>
      </c>
      <c r="S29" s="703">
        <f t="shared" si="12"/>
        <v>100</v>
      </c>
      <c r="T29" s="702" t="s">
        <v>14</v>
      </c>
      <c r="U29" s="703">
        <f t="shared" si="13"/>
        <v>100</v>
      </c>
      <c r="V29" s="702" t="s">
        <v>14</v>
      </c>
      <c r="W29" s="703">
        <f t="shared" si="14"/>
        <v>100</v>
      </c>
      <c r="X29" s="1352"/>
      <c r="Y29" s="3878"/>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9"/>
      <c r="M30" s="2713"/>
      <c r="N30" s="2713"/>
      <c r="O30" s="2771"/>
      <c r="P30" s="3878"/>
      <c r="Q30" s="1349" t="str">
        <f t="shared" si="11"/>
        <v>建筑面积</v>
      </c>
      <c r="R30" s="702" t="s">
        <v>14</v>
      </c>
      <c r="S30" s="703" t="e">
        <f t="shared" si="12"/>
        <v>#N/A</v>
      </c>
      <c r="T30" s="702" t="s">
        <v>14</v>
      </c>
      <c r="U30" s="703" t="e">
        <f t="shared" si="13"/>
        <v>#N/A</v>
      </c>
      <c r="V30" s="702" t="s">
        <v>14</v>
      </c>
      <c r="W30" s="703" t="e">
        <f t="shared" si="14"/>
        <v>#N/A</v>
      </c>
      <c r="X30" s="1352"/>
      <c r="Y30" s="3878"/>
      <c r="Z30" s="1353" t="str">
        <f t="shared" si="15"/>
        <v>建筑面积</v>
      </c>
      <c r="AA30" s="1350" t="e">
        <f t="shared" si="3"/>
        <v>#N/A</v>
      </c>
      <c r="AB30" s="1350" t="e">
        <f t="shared" si="4"/>
        <v>#N/A</v>
      </c>
      <c r="AC30" s="1350"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4"/>
      <c r="M31" s="2715"/>
      <c r="N31" s="2715"/>
      <c r="O31" s="2769"/>
      <c r="P31" s="3878"/>
      <c r="Q31" s="1340" t="str">
        <f t="shared" si="11"/>
        <v>是否封闭</v>
      </c>
      <c r="R31" s="698" t="s">
        <v>14</v>
      </c>
      <c r="S31" s="699">
        <f t="shared" si="12"/>
        <v>100</v>
      </c>
      <c r="T31" s="698" t="s">
        <v>14</v>
      </c>
      <c r="U31" s="699">
        <f t="shared" si="13"/>
        <v>100</v>
      </c>
      <c r="V31" s="698" t="s">
        <v>14</v>
      </c>
      <c r="W31" s="699">
        <f t="shared" si="14"/>
        <v>100</v>
      </c>
      <c r="X31" s="700"/>
      <c r="Y31" s="3878"/>
      <c r="Z31" s="52" t="str">
        <f t="shared" si="15"/>
        <v>是否封闭</v>
      </c>
      <c r="AA31" s="701">
        <f t="shared" si="3"/>
        <v>1</v>
      </c>
      <c r="AB31" s="701">
        <f t="shared" si="4"/>
        <v>1</v>
      </c>
      <c r="AC31" s="701">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9"/>
      <c r="M32" s="2713"/>
      <c r="N32" s="2713"/>
      <c r="O32" s="2771"/>
      <c r="P32" s="3878" t="s">
        <v>1696</v>
      </c>
      <c r="Q32" s="1349">
        <f t="shared" si="11"/>
        <v>111</v>
      </c>
      <c r="R32" s="702" t="s">
        <v>14</v>
      </c>
      <c r="S32" s="703">
        <f t="shared" si="12"/>
        <v>100</v>
      </c>
      <c r="T32" s="702" t="s">
        <v>14</v>
      </c>
      <c r="U32" s="703">
        <f t="shared" si="13"/>
        <v>100</v>
      </c>
      <c r="V32" s="702" t="s">
        <v>14</v>
      </c>
      <c r="W32" s="703">
        <f t="shared" si="14"/>
        <v>100</v>
      </c>
      <c r="X32" s="1352"/>
      <c r="Y32" s="3878"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9"/>
      <c r="M33" s="2713"/>
      <c r="N33" s="2713"/>
      <c r="O33" s="2771"/>
      <c r="P33" s="3878"/>
      <c r="Q33" s="1349">
        <f t="shared" si="11"/>
        <v>111</v>
      </c>
      <c r="R33" s="702" t="s">
        <v>14</v>
      </c>
      <c r="S33" s="703">
        <f t="shared" si="12"/>
        <v>100</v>
      </c>
      <c r="T33" s="702" t="s">
        <v>14</v>
      </c>
      <c r="U33" s="703">
        <f t="shared" si="13"/>
        <v>100</v>
      </c>
      <c r="V33" s="702" t="s">
        <v>14</v>
      </c>
      <c r="W33" s="703">
        <f t="shared" si="14"/>
        <v>100</v>
      </c>
      <c r="X33" s="1352"/>
      <c r="Y33" s="3878"/>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9"/>
      <c r="M34" s="2713"/>
      <c r="N34" s="2713"/>
      <c r="O34" s="2771"/>
      <c r="P34" s="3878"/>
      <c r="Q34" s="1349">
        <f t="shared" si="11"/>
        <v>111</v>
      </c>
      <c r="R34" s="702" t="s">
        <v>14</v>
      </c>
      <c r="S34" s="703">
        <f t="shared" si="12"/>
        <v>100</v>
      </c>
      <c r="T34" s="702" t="s">
        <v>14</v>
      </c>
      <c r="U34" s="703">
        <f t="shared" si="13"/>
        <v>100</v>
      </c>
      <c r="V34" s="702" t="s">
        <v>14</v>
      </c>
      <c r="W34" s="703">
        <f t="shared" si="14"/>
        <v>100</v>
      </c>
      <c r="X34" s="1352"/>
      <c r="Y34" s="3878"/>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21"/>
      <c r="M35" s="2722"/>
      <c r="N35" s="2713"/>
      <c r="O35" s="2722"/>
      <c r="P35" s="3871" t="str">
        <f>A35</f>
        <v>成交单价（元/平方米）</v>
      </c>
      <c r="Q35" s="3871"/>
      <c r="R35" s="3872">
        <f>E35</f>
        <v>0</v>
      </c>
      <c r="S35" s="3872"/>
      <c r="T35" s="3872">
        <f>G35</f>
        <v>0</v>
      </c>
      <c r="U35" s="3872"/>
      <c r="V35" s="3872">
        <f>I35</f>
        <v>0</v>
      </c>
      <c r="W35" s="3872"/>
      <c r="X35" s="687"/>
      <c r="Y35" s="709"/>
      <c r="Z35" s="687"/>
      <c r="AA35" s="687"/>
      <c r="AB35" s="687"/>
      <c r="AC35" s="687"/>
    </row>
    <row r="36" spans="1:30" ht="15.75" thickBot="1">
      <c r="A36" s="435" t="s">
        <v>1793</v>
      </c>
      <c r="B36" s="436"/>
      <c r="C36" s="1157" t="e">
        <f>R37</f>
        <v>#DIV/0!</v>
      </c>
      <c r="D36" s="2314" t="s">
        <v>2138</v>
      </c>
      <c r="E36" s="1158" t="e">
        <f>R36</f>
        <v>#DIV/0!</v>
      </c>
      <c r="F36" s="2315"/>
      <c r="G36" s="1157" t="e">
        <f>T36</f>
        <v>#DIV/0!</v>
      </c>
      <c r="H36" s="2315"/>
      <c r="I36" s="1158" t="e">
        <f>V36</f>
        <v>#DIV/0!</v>
      </c>
      <c r="J36" s="2315"/>
      <c r="K36" s="2317">
        <f>F36+H36+J36</f>
        <v>0</v>
      </c>
      <c r="L36" s="2721"/>
      <c r="M36" s="2722"/>
      <c r="N36" s="2713"/>
      <c r="O36" s="2722"/>
      <c r="P36" s="3871" t="str">
        <f>A36</f>
        <v>比较价值（元/平方米）</v>
      </c>
      <c r="Q36" s="3871"/>
      <c r="R36" s="3872" t="e">
        <f>IF(F1="售价",ROUND(PRODUCT(R35,AA7:AA34),0),ROUND(PRODUCT(R35,AA7:AA34),1))</f>
        <v>#DIV/0!</v>
      </c>
      <c r="S36" s="3872"/>
      <c r="T36" s="3872" t="e">
        <f>IF(F1="售价",ROUND(PRODUCT(T35,AB7:AB34),0),ROUND(PRODUCT(T35,AB7:AB34),1))</f>
        <v>#DIV/0!</v>
      </c>
      <c r="U36" s="3872"/>
      <c r="V36" s="3872" t="e">
        <f>IF(F1="售价",ROUND(PRODUCT(V35,AC7:AC34),0),ROUND(PRODUCT(V35,AC7:AC34),1))</f>
        <v>#DIV/0!</v>
      </c>
      <c r="W36" s="3872"/>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21"/>
      <c r="M37" s="2722"/>
      <c r="N37" s="2722"/>
      <c r="O37" s="2722"/>
      <c r="P37" s="3868" t="str">
        <f>A37</f>
        <v>估价对象XX用房的比较价值（楼面单价，元/平方米）</v>
      </c>
      <c r="Q37" s="3869"/>
      <c r="R37" s="3932" t="e">
        <f>IF(F1="售价",ROUND(IF(D36="简单平均",AVERAGE(R36:W36),R36*F36+T36*H36+V36*J36),0),ROUND(IF(D36="简单平均",AVERAGE(R36:V36),R36*F36+T36*H36+V36*J36),1))</f>
        <v>#DIV/0!</v>
      </c>
      <c r="S37" s="3932"/>
      <c r="T37" s="3932"/>
      <c r="U37" s="3932"/>
      <c r="V37" s="3932"/>
      <c r="W37" s="3932"/>
      <c r="X37" s="687"/>
      <c r="Y37" s="687"/>
      <c r="Z37" s="687"/>
      <c r="AA37" s="687"/>
      <c r="AB37" s="687"/>
      <c r="AC37" s="687"/>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49" customFormat="1" ht="13.5" customHeight="1">
      <c r="A42" s="2725"/>
      <c r="B42" s="2725"/>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49"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1" t="s">
        <v>1798</v>
      </c>
      <c r="B45" s="687"/>
      <c r="C45" s="692"/>
      <c r="D45" s="692"/>
      <c r="E45" s="692"/>
      <c r="F45" s="693"/>
      <c r="G45" s="693"/>
      <c r="H45" s="692"/>
      <c r="I45" s="692"/>
      <c r="J45" s="692"/>
      <c r="K45" s="694"/>
      <c r="L45" s="695"/>
      <c r="M45" s="692"/>
      <c r="N45" s="2766"/>
      <c r="O45" s="2766"/>
      <c r="P45" s="2766"/>
      <c r="Q45" s="2736"/>
      <c r="R45" s="2722"/>
      <c r="S45" s="2722"/>
      <c r="T45" s="2722"/>
      <c r="U45" s="2722"/>
      <c r="V45" s="2722"/>
      <c r="W45" s="2722"/>
      <c r="X45" s="2722"/>
      <c r="Y45" s="2722"/>
      <c r="Z45" s="2722"/>
      <c r="AA45" s="2722"/>
      <c r="AB45" s="2722"/>
      <c r="AC45" s="2722"/>
      <c r="AD45" s="2722"/>
    </row>
    <row r="46" spans="1:30" s="455" customFormat="1" ht="15">
      <c r="A46" s="452" t="s">
        <v>1679</v>
      </c>
      <c r="B46" s="453"/>
      <c r="C46" s="1181" t="str">
        <f>YEAR(C7)&amp;"-"&amp;MONTH(C7)</f>
        <v>2023-1</v>
      </c>
      <c r="D46" s="1182">
        <f>EDATE(C46,-1)</f>
        <v>44896</v>
      </c>
      <c r="E46" s="1182">
        <f t="shared" ref="E46:O46" si="16">EDATE(D46,-1)</f>
        <v>44866</v>
      </c>
      <c r="F46" s="1182">
        <f t="shared" si="16"/>
        <v>44835</v>
      </c>
      <c r="G46" s="1182">
        <f t="shared" si="16"/>
        <v>44805</v>
      </c>
      <c r="H46" s="1182">
        <f t="shared" si="16"/>
        <v>44774</v>
      </c>
      <c r="I46" s="1182">
        <f t="shared" si="16"/>
        <v>44743</v>
      </c>
      <c r="J46" s="1182">
        <f t="shared" si="16"/>
        <v>44713</v>
      </c>
      <c r="K46" s="1182">
        <f t="shared" si="16"/>
        <v>44682</v>
      </c>
      <c r="L46" s="1182">
        <f t="shared" si="16"/>
        <v>44652</v>
      </c>
      <c r="M46" s="1182">
        <f t="shared" si="16"/>
        <v>44621</v>
      </c>
      <c r="N46" s="1182">
        <f t="shared" si="16"/>
        <v>44593</v>
      </c>
      <c r="O46" s="1182">
        <f t="shared" si="16"/>
        <v>44562</v>
      </c>
      <c r="P46" s="2773"/>
      <c r="Q46" s="2738"/>
      <c r="R46" s="2738"/>
      <c r="S46" s="2738"/>
      <c r="T46" s="2738"/>
      <c r="U46" s="2738"/>
      <c r="V46" s="2738"/>
      <c r="W46" s="2738"/>
      <c r="X46" s="2738"/>
      <c r="Y46" s="2738"/>
      <c r="Z46" s="2738"/>
      <c r="AA46" s="2738"/>
      <c r="AB46" s="2738"/>
      <c r="AC46" s="2738"/>
      <c r="AD46" s="2738"/>
    </row>
    <row r="47" spans="1:30" s="107" customFormat="1" ht="15">
      <c r="A47" s="456"/>
      <c r="B47" s="457"/>
      <c r="C47" s="1180">
        <v>100</v>
      </c>
      <c r="D47" s="459"/>
      <c r="E47" s="459"/>
      <c r="F47" s="459"/>
      <c r="G47" s="459"/>
      <c r="H47" s="459"/>
      <c r="I47" s="459"/>
      <c r="J47" s="459"/>
      <c r="K47" s="459"/>
      <c r="L47" s="459"/>
      <c r="M47" s="460"/>
      <c r="N47" s="459"/>
      <c r="O47" s="461"/>
      <c r="P47" s="2736"/>
      <c r="Q47" s="2658"/>
      <c r="R47" s="2658"/>
      <c r="S47" s="2658"/>
      <c r="T47" s="2658"/>
      <c r="U47" s="2658"/>
      <c r="V47" s="2658"/>
      <c r="W47" s="2658"/>
      <c r="X47" s="2658"/>
      <c r="Y47" s="2658"/>
      <c r="Z47" s="2658"/>
      <c r="AA47" s="2658"/>
      <c r="AB47" s="2658"/>
      <c r="AC47" s="2658"/>
      <c r="AD47" s="2658"/>
    </row>
    <row r="48" spans="1:30" s="107" customFormat="1" ht="15.75" thickBot="1">
      <c r="A48" s="462" t="s">
        <v>1716</v>
      </c>
      <c r="B48" s="463"/>
      <c r="C48" s="464"/>
      <c r="D48" s="465"/>
      <c r="E48" s="465"/>
      <c r="F48" s="465"/>
      <c r="G48" s="465"/>
      <c r="H48" s="465"/>
      <c r="I48" s="465"/>
      <c r="J48" s="465"/>
      <c r="K48" s="465"/>
      <c r="L48" s="465"/>
      <c r="M48" s="466"/>
      <c r="N48" s="465"/>
      <c r="O48" s="467"/>
      <c r="P48" s="2736"/>
      <c r="Q48" s="2736"/>
      <c r="R48" s="2658"/>
      <c r="S48" s="2658"/>
      <c r="T48" s="2658"/>
      <c r="U48" s="2658"/>
      <c r="V48" s="2658"/>
      <c r="W48" s="2658"/>
      <c r="X48" s="2658"/>
      <c r="Y48" s="2658"/>
      <c r="Z48" s="2658"/>
      <c r="AA48" s="2658"/>
      <c r="AB48" s="2658"/>
      <c r="AC48" s="2658"/>
      <c r="AD48" s="2658"/>
    </row>
    <row r="49" spans="1:30" s="107" customFormat="1" ht="15">
      <c r="A49" s="468" t="s">
        <v>1681</v>
      </c>
      <c r="B49" s="457"/>
      <c r="C49" s="469" t="s">
        <v>1776</v>
      </c>
      <c r="D49" s="470"/>
      <c r="E49" s="470"/>
      <c r="F49" s="470"/>
      <c r="G49" s="470"/>
      <c r="H49" s="470"/>
      <c r="I49" s="470"/>
      <c r="J49" s="470"/>
      <c r="K49" s="470"/>
      <c r="L49" s="471"/>
      <c r="M49" s="472"/>
      <c r="N49" s="2749"/>
      <c r="O49" s="2749"/>
      <c r="P49" s="2774"/>
      <c r="Q49" s="2736"/>
      <c r="R49" s="2658"/>
      <c r="S49" s="2658"/>
      <c r="T49" s="2658"/>
      <c r="U49" s="2658"/>
      <c r="V49" s="2658"/>
      <c r="W49" s="2658"/>
      <c r="X49" s="2658"/>
      <c r="Y49" s="2658"/>
      <c r="Z49" s="2658"/>
      <c r="AA49" s="2658"/>
      <c r="AB49" s="2658"/>
      <c r="AC49" s="2658"/>
      <c r="AD49" s="2658"/>
    </row>
    <row r="50" spans="1:30" s="107" customFormat="1" ht="15.75" thickBot="1">
      <c r="A50" s="468"/>
      <c r="B50" s="457"/>
      <c r="C50" s="585">
        <v>100</v>
      </c>
      <c r="D50" s="459"/>
      <c r="E50" s="459"/>
      <c r="F50" s="459"/>
      <c r="G50" s="459"/>
      <c r="H50" s="459"/>
      <c r="I50" s="459"/>
      <c r="J50" s="459"/>
      <c r="K50" s="459"/>
      <c r="L50" s="459"/>
      <c r="M50" s="461"/>
      <c r="N50" s="2749"/>
      <c r="O50" s="2749"/>
      <c r="P50" s="2736"/>
      <c r="Q50" s="2736"/>
      <c r="R50" s="2658"/>
      <c r="S50" s="2658"/>
      <c r="T50" s="2658"/>
      <c r="U50" s="2658"/>
      <c r="V50" s="2658"/>
      <c r="W50" s="2658"/>
      <c r="X50" s="2658"/>
      <c r="Y50" s="2658"/>
      <c r="Z50" s="2658"/>
      <c r="AA50" s="2658"/>
      <c r="AB50" s="2658"/>
      <c r="AC50" s="2658"/>
      <c r="AD50" s="2658"/>
    </row>
    <row r="51" spans="1:30">
      <c r="A51" s="474" t="s">
        <v>1719</v>
      </c>
      <c r="B51" s="475" t="s">
        <v>1685</v>
      </c>
      <c r="C51" s="476">
        <f>C9</f>
        <v>0</v>
      </c>
      <c r="D51" s="477"/>
      <c r="E51" s="477"/>
      <c r="F51" s="477"/>
      <c r="G51" s="477"/>
      <c r="H51" s="477"/>
      <c r="I51" s="477"/>
      <c r="J51" s="477"/>
      <c r="K51" s="478"/>
      <c r="L51" s="479"/>
      <c r="M51" s="480"/>
      <c r="N51" s="2750"/>
      <c r="O51" s="2750"/>
      <c r="P51" s="2775"/>
      <c r="Q51" s="2736"/>
      <c r="R51" s="2722"/>
      <c r="S51" s="2722"/>
      <c r="T51" s="2722"/>
      <c r="U51" s="2722"/>
      <c r="V51" s="2722"/>
      <c r="W51" s="2722"/>
      <c r="X51" s="2722"/>
      <c r="Y51" s="2722"/>
      <c r="Z51" s="2722"/>
      <c r="AA51" s="2722"/>
      <c r="AB51" s="2722"/>
      <c r="AC51" s="2722"/>
      <c r="AD51" s="2722"/>
    </row>
    <row r="52" spans="1:30" ht="15.75" thickBot="1">
      <c r="A52" s="481"/>
      <c r="B52" s="482"/>
      <c r="C52" s="483">
        <v>100</v>
      </c>
      <c r="D52" s="483"/>
      <c r="E52" s="483"/>
      <c r="F52" s="483"/>
      <c r="G52" s="483"/>
      <c r="H52" s="483"/>
      <c r="I52" s="483"/>
      <c r="J52" s="483"/>
      <c r="K52" s="483"/>
      <c r="L52" s="483"/>
      <c r="M52" s="484"/>
      <c r="N52" s="2751"/>
      <c r="O52" s="2751"/>
      <c r="P52" s="2775"/>
      <c r="Q52" s="2736"/>
      <c r="R52" s="2722"/>
      <c r="S52" s="2722"/>
      <c r="T52" s="2722"/>
      <c r="U52" s="2722"/>
      <c r="V52" s="2722"/>
      <c r="W52" s="2722"/>
      <c r="X52" s="2722"/>
      <c r="Y52" s="2722"/>
      <c r="Z52" s="2722"/>
      <c r="AA52" s="2722"/>
      <c r="AB52" s="2722"/>
      <c r="AC52" s="2722"/>
      <c r="AD52" s="2722"/>
    </row>
    <row r="53" spans="1:30" ht="27.75" thickTop="1">
      <c r="A53" s="481"/>
      <c r="B53" s="485" t="s">
        <v>1688</v>
      </c>
      <c r="C53" s="530"/>
      <c r="D53" s="530"/>
      <c r="E53" s="530"/>
      <c r="F53" s="530"/>
      <c r="G53" s="530"/>
      <c r="H53" s="530"/>
      <c r="I53" s="530"/>
      <c r="J53" s="530"/>
      <c r="K53" s="531"/>
      <c r="L53" s="532"/>
      <c r="M53" s="533"/>
      <c r="N53" s="2750"/>
      <c r="O53" s="2750"/>
      <c r="P53" s="2775"/>
      <c r="Q53" s="2736"/>
      <c r="R53" s="2722"/>
      <c r="S53" s="2722"/>
      <c r="T53" s="2722"/>
      <c r="U53" s="2722"/>
      <c r="V53" s="2722"/>
      <c r="W53" s="2722"/>
      <c r="X53" s="2722"/>
      <c r="Y53" s="2722"/>
      <c r="Z53" s="2722"/>
      <c r="AA53" s="2722"/>
      <c r="AB53" s="2722"/>
      <c r="AC53" s="2722"/>
      <c r="AD53" s="2722"/>
    </row>
    <row r="54" spans="1:30" ht="15.75" thickBot="1">
      <c r="A54" s="481"/>
      <c r="B54" s="490"/>
      <c r="C54" s="483"/>
      <c r="D54" s="483"/>
      <c r="E54" s="483"/>
      <c r="F54" s="483"/>
      <c r="G54" s="483"/>
      <c r="H54" s="483"/>
      <c r="I54" s="483"/>
      <c r="J54" s="483"/>
      <c r="K54" s="483"/>
      <c r="L54" s="483"/>
      <c r="M54" s="484"/>
      <c r="N54" s="2751"/>
      <c r="O54" s="2751"/>
      <c r="P54" s="2775"/>
      <c r="Q54" s="2736"/>
      <c r="R54" s="2722"/>
      <c r="S54" s="2722"/>
      <c r="T54" s="2722"/>
      <c r="U54" s="2722"/>
      <c r="V54" s="2722"/>
      <c r="W54" s="2722"/>
      <c r="X54" s="2722"/>
      <c r="Y54" s="2722"/>
      <c r="Z54" s="2722"/>
      <c r="AA54" s="2722"/>
      <c r="AB54" s="2722"/>
      <c r="AC54" s="2722"/>
      <c r="AD54" s="2722"/>
    </row>
    <row r="55" spans="1:30" ht="15.75" thickTop="1">
      <c r="A55" s="481"/>
      <c r="B55" s="606">
        <f>B11</f>
        <v>111</v>
      </c>
      <c r="C55" s="496"/>
      <c r="D55" s="496"/>
      <c r="E55" s="496"/>
      <c r="F55" s="496"/>
      <c r="G55" s="496"/>
      <c r="H55" s="496"/>
      <c r="I55" s="496"/>
      <c r="J55" s="496"/>
      <c r="K55" s="497"/>
      <c r="L55" s="498"/>
      <c r="M55" s="499"/>
      <c r="N55" s="2750"/>
      <c r="O55" s="2750"/>
      <c r="P55" s="2775"/>
      <c r="Q55" s="2736"/>
      <c r="R55" s="2722"/>
      <c r="S55" s="2722"/>
      <c r="T55" s="2722"/>
      <c r="U55" s="2722"/>
      <c r="V55" s="2722"/>
      <c r="W55" s="2722"/>
      <c r="X55" s="2722"/>
      <c r="Y55" s="2722"/>
      <c r="Z55" s="2722"/>
      <c r="AA55" s="2722"/>
      <c r="AB55" s="2722"/>
      <c r="AC55" s="2722"/>
      <c r="AD55" s="2722"/>
    </row>
    <row r="56" spans="1:30" ht="15.75" thickBot="1">
      <c r="A56" s="481"/>
      <c r="B56" s="482"/>
      <c r="C56" s="507"/>
      <c r="D56" s="483"/>
      <c r="E56" s="483"/>
      <c r="F56" s="483"/>
      <c r="G56" s="483"/>
      <c r="H56" s="483"/>
      <c r="I56" s="483"/>
      <c r="J56" s="483"/>
      <c r="K56" s="483"/>
      <c r="L56" s="483"/>
      <c r="M56" s="484"/>
      <c r="N56" s="2751"/>
      <c r="O56" s="2751"/>
      <c r="P56" s="2775"/>
      <c r="Q56" s="2736"/>
      <c r="R56" s="2722"/>
      <c r="S56" s="2722"/>
      <c r="T56" s="2722"/>
      <c r="U56" s="2722"/>
      <c r="V56" s="2722"/>
      <c r="W56" s="2722"/>
      <c r="X56" s="2722"/>
      <c r="Y56" s="2722"/>
      <c r="Z56" s="2722"/>
      <c r="AA56" s="2722"/>
      <c r="AB56" s="2722"/>
      <c r="AC56" s="2722"/>
      <c r="AD56" s="2722"/>
    </row>
    <row r="57" spans="1:30" s="420" customFormat="1" ht="15.75" thickTop="1">
      <c r="A57" s="500"/>
      <c r="B57" s="485">
        <f>B12</f>
        <v>111</v>
      </c>
      <c r="C57" s="496"/>
      <c r="D57" s="496"/>
      <c r="E57" s="496"/>
      <c r="F57" s="496"/>
      <c r="G57" s="501"/>
      <c r="H57" s="502"/>
      <c r="I57" s="502"/>
      <c r="J57" s="502"/>
      <c r="K57" s="502"/>
      <c r="L57" s="503"/>
      <c r="M57" s="504"/>
      <c r="N57" s="2752"/>
      <c r="O57" s="2752"/>
      <c r="P57" s="2776"/>
      <c r="Q57" s="2743"/>
      <c r="R57" s="2744"/>
      <c r="S57" s="2744"/>
      <c r="T57" s="2744"/>
      <c r="U57" s="2744"/>
      <c r="V57" s="2744"/>
      <c r="W57" s="2744"/>
      <c r="X57" s="2744"/>
      <c r="Y57" s="2744"/>
      <c r="Z57" s="2744"/>
      <c r="AA57" s="2744"/>
      <c r="AB57" s="2744"/>
      <c r="AC57" s="2744"/>
      <c r="AD57" s="2744"/>
    </row>
    <row r="58" spans="1:30" s="420" customFormat="1" ht="15.75" thickBot="1">
      <c r="A58" s="500"/>
      <c r="B58" s="490"/>
      <c r="C58" s="507"/>
      <c r="D58" s="483"/>
      <c r="E58" s="483"/>
      <c r="F58" s="483"/>
      <c r="G58" s="483"/>
      <c r="H58" s="483"/>
      <c r="I58" s="483"/>
      <c r="J58" s="483"/>
      <c r="K58" s="483"/>
      <c r="L58" s="483"/>
      <c r="M58" s="484"/>
      <c r="N58" s="2751"/>
      <c r="O58" s="2751"/>
      <c r="P58" s="2776"/>
      <c r="Q58" s="2743"/>
      <c r="R58" s="2744"/>
      <c r="S58" s="2744"/>
      <c r="T58" s="2744"/>
      <c r="U58" s="2744"/>
      <c r="V58" s="2744"/>
      <c r="W58" s="2744"/>
      <c r="X58" s="2744"/>
      <c r="Y58" s="2744"/>
      <c r="Z58" s="2744"/>
      <c r="AA58" s="2744"/>
      <c r="AB58" s="2744"/>
      <c r="AC58" s="2744"/>
      <c r="AD58" s="2744"/>
    </row>
    <row r="59" spans="1:30" s="420" customFormat="1" ht="15.75" thickTop="1">
      <c r="A59" s="500"/>
      <c r="B59" s="485">
        <f>B13</f>
        <v>111</v>
      </c>
      <c r="C59" s="496"/>
      <c r="D59" s="496"/>
      <c r="E59" s="496"/>
      <c r="F59" s="496"/>
      <c r="G59" s="501"/>
      <c r="H59" s="502"/>
      <c r="I59" s="502"/>
      <c r="J59" s="502"/>
      <c r="K59" s="502"/>
      <c r="L59" s="503"/>
      <c r="M59" s="504"/>
      <c r="N59" s="2752"/>
      <c r="O59" s="2752"/>
      <c r="P59" s="2720"/>
      <c r="Q59" s="2746"/>
      <c r="R59" s="2744"/>
      <c r="S59" s="2744"/>
      <c r="T59" s="2744"/>
      <c r="U59" s="2744"/>
      <c r="V59" s="2744"/>
      <c r="W59" s="2744"/>
      <c r="X59" s="2744"/>
      <c r="Y59" s="2744"/>
      <c r="Z59" s="2744"/>
      <c r="AA59" s="2744"/>
      <c r="AB59" s="2744"/>
      <c r="AC59" s="2744"/>
      <c r="AD59" s="2744"/>
    </row>
    <row r="60" spans="1:30" s="420" customFormat="1" ht="15.75" thickBot="1">
      <c r="A60" s="500"/>
      <c r="B60" s="490"/>
      <c r="C60" s="507"/>
      <c r="D60" s="507"/>
      <c r="E60" s="507"/>
      <c r="F60" s="507"/>
      <c r="G60" s="507"/>
      <c r="H60" s="509"/>
      <c r="I60" s="509"/>
      <c r="J60" s="509"/>
      <c r="K60" s="509"/>
      <c r="L60" s="509"/>
      <c r="M60" s="510"/>
      <c r="N60" s="2752"/>
      <c r="O60" s="2752"/>
      <c r="P60" s="2776"/>
      <c r="Q60" s="2743"/>
      <c r="R60" s="2744"/>
      <c r="S60" s="2744"/>
      <c r="T60" s="2744"/>
      <c r="U60" s="2744"/>
      <c r="V60" s="2744"/>
      <c r="W60" s="2744"/>
      <c r="X60" s="2744"/>
      <c r="Y60" s="2744"/>
      <c r="Z60" s="2744"/>
      <c r="AA60" s="2744"/>
      <c r="AB60" s="2744"/>
      <c r="AC60" s="2744"/>
      <c r="AD60" s="2744"/>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50"/>
      <c r="O61" s="2750"/>
      <c r="P61" s="2777"/>
      <c r="Q61" s="2736"/>
      <c r="R61" s="2722"/>
      <c r="S61" s="2722"/>
      <c r="T61" s="2722"/>
      <c r="U61" s="2722"/>
      <c r="V61" s="2722"/>
      <c r="W61" s="2722"/>
      <c r="X61" s="2722"/>
      <c r="Y61" s="2722"/>
      <c r="Z61" s="2722"/>
      <c r="AA61" s="2722"/>
      <c r="AB61" s="2722"/>
      <c r="AC61" s="2722"/>
      <c r="AD61" s="2722"/>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1"/>
      <c r="O62" s="2751"/>
      <c r="P62" s="2775"/>
      <c r="Q62" s="2736"/>
      <c r="R62" s="2722"/>
      <c r="S62" s="2722"/>
      <c r="T62" s="2722"/>
      <c r="U62" s="2722"/>
      <c r="V62" s="2722"/>
      <c r="W62" s="2722"/>
      <c r="X62" s="2722"/>
      <c r="Y62" s="2722"/>
      <c r="Z62" s="2722"/>
      <c r="AA62" s="2722"/>
      <c r="AB62" s="2722"/>
      <c r="AC62" s="2722"/>
      <c r="AD62" s="2722"/>
    </row>
    <row r="63" spans="1:30" ht="27.75" thickTop="1">
      <c r="A63" s="481"/>
      <c r="B63" s="485" t="s">
        <v>1863</v>
      </c>
      <c r="C63" s="525" t="s">
        <v>1721</v>
      </c>
      <c r="D63" s="525" t="s">
        <v>1722</v>
      </c>
      <c r="E63" s="525" t="s">
        <v>1723</v>
      </c>
      <c r="F63" s="525" t="s">
        <v>1724</v>
      </c>
      <c r="G63" s="525" t="s">
        <v>1725</v>
      </c>
      <c r="H63" s="486"/>
      <c r="I63" s="486"/>
      <c r="J63" s="486"/>
      <c r="K63" s="487"/>
      <c r="L63" s="488"/>
      <c r="M63" s="489"/>
      <c r="N63" s="2750"/>
      <c r="O63" s="2750"/>
      <c r="P63" s="2775"/>
      <c r="Q63" s="2736"/>
      <c r="R63" s="2722"/>
      <c r="S63" s="2722"/>
      <c r="T63" s="2722"/>
      <c r="U63" s="2722"/>
      <c r="V63" s="2722"/>
      <c r="W63" s="2722"/>
      <c r="X63" s="2722"/>
      <c r="Y63" s="2722"/>
      <c r="Z63" s="2722"/>
      <c r="AA63" s="2722"/>
      <c r="AB63" s="2722"/>
      <c r="AC63" s="2722"/>
      <c r="AD63" s="2722"/>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1"/>
      <c r="O64" s="2751"/>
      <c r="P64" s="2775"/>
      <c r="Q64" s="2736"/>
      <c r="R64" s="2722"/>
      <c r="S64" s="2722"/>
      <c r="T64" s="2722"/>
      <c r="U64" s="2722"/>
      <c r="V64" s="2722"/>
      <c r="W64" s="2722"/>
      <c r="X64" s="2722"/>
      <c r="Y64" s="2722"/>
      <c r="Z64" s="2722"/>
      <c r="AA64" s="2722"/>
      <c r="AB64" s="2722"/>
      <c r="AC64" s="2722"/>
      <c r="AD64" s="2722"/>
    </row>
    <row r="65" spans="1:30" ht="15.75" thickTop="1">
      <c r="A65" s="481"/>
      <c r="B65" s="493" t="s">
        <v>1813</v>
      </c>
      <c r="C65" s="606" t="s">
        <v>1799</v>
      </c>
      <c r="D65" s="606" t="s">
        <v>1800</v>
      </c>
      <c r="E65" s="606" t="s">
        <v>1801</v>
      </c>
      <c r="F65" s="606" t="s">
        <v>1802</v>
      </c>
      <c r="G65" s="606" t="s">
        <v>1803</v>
      </c>
      <c r="H65" s="486"/>
      <c r="I65" s="486"/>
      <c r="J65" s="486"/>
      <c r="K65" s="486"/>
      <c r="L65" s="486"/>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1"/>
      <c r="O66" s="2751"/>
      <c r="P66" s="2775"/>
      <c r="Q66" s="2736"/>
      <c r="R66" s="2722"/>
      <c r="S66" s="2722"/>
      <c r="T66" s="2722"/>
      <c r="U66" s="2722"/>
      <c r="V66" s="2722"/>
      <c r="W66" s="2722"/>
      <c r="X66" s="2722"/>
      <c r="Y66" s="2722"/>
      <c r="Z66" s="2722"/>
      <c r="AA66" s="2722"/>
      <c r="AB66" s="2722"/>
      <c r="AC66" s="2722"/>
      <c r="AD66" s="2722"/>
    </row>
    <row r="67" spans="1:30" ht="15.75" thickTop="1">
      <c r="A67" s="481"/>
      <c r="B67" s="485" t="s">
        <v>1733</v>
      </c>
      <c r="C67" s="525" t="s">
        <v>1721</v>
      </c>
      <c r="D67" s="525" t="s">
        <v>1722</v>
      </c>
      <c r="E67" s="525" t="s">
        <v>1723</v>
      </c>
      <c r="F67" s="525" t="s">
        <v>1724</v>
      </c>
      <c r="G67" s="525" t="s">
        <v>1725</v>
      </c>
      <c r="H67" s="486"/>
      <c r="I67" s="486"/>
      <c r="J67" s="486"/>
      <c r="K67" s="487"/>
      <c r="L67" s="488"/>
      <c r="M67" s="489"/>
      <c r="N67" s="2750"/>
      <c r="O67" s="2750"/>
      <c r="P67" s="2775"/>
      <c r="Q67" s="2736"/>
      <c r="R67" s="2722"/>
      <c r="S67" s="2722"/>
      <c r="T67" s="2722"/>
      <c r="U67" s="2722"/>
      <c r="V67" s="2722"/>
      <c r="W67" s="2722"/>
      <c r="X67" s="2722"/>
      <c r="Y67" s="2722"/>
      <c r="Z67" s="2722"/>
      <c r="AA67" s="2722"/>
      <c r="AB67" s="2722"/>
      <c r="AC67" s="2722"/>
      <c r="AD67" s="2722"/>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1"/>
      <c r="O68" s="2751"/>
      <c r="P68" s="2775"/>
      <c r="Q68" s="2736"/>
      <c r="R68" s="2722"/>
      <c r="S68" s="2722"/>
      <c r="T68" s="2722"/>
      <c r="U68" s="2722"/>
      <c r="V68" s="2722"/>
      <c r="W68" s="2722"/>
      <c r="X68" s="2722"/>
      <c r="Y68" s="2722"/>
      <c r="Z68" s="2722"/>
      <c r="AA68" s="2722"/>
      <c r="AB68" s="2722"/>
      <c r="AC68" s="2722"/>
      <c r="AD68" s="2722"/>
    </row>
    <row r="69" spans="1:30" ht="15.75" thickTop="1">
      <c r="A69" s="481"/>
      <c r="B69" s="485" t="s">
        <v>1852</v>
      </c>
      <c r="C69" s="501"/>
      <c r="D69" s="501"/>
      <c r="E69" s="501"/>
      <c r="F69" s="501"/>
      <c r="G69" s="501"/>
      <c r="H69" s="530"/>
      <c r="I69" s="530"/>
      <c r="J69" s="530"/>
      <c r="K69" s="531"/>
      <c r="L69" s="532"/>
      <c r="M69" s="533"/>
      <c r="N69" s="2750"/>
      <c r="O69" s="2750"/>
      <c r="P69" s="2775"/>
      <c r="Q69" s="2736"/>
      <c r="R69" s="2722"/>
      <c r="S69" s="2722"/>
      <c r="T69" s="2722"/>
      <c r="U69" s="2722"/>
      <c r="V69" s="2722"/>
      <c r="W69" s="2722"/>
      <c r="X69" s="2722"/>
      <c r="Y69" s="2722"/>
      <c r="Z69" s="2722"/>
      <c r="AA69" s="2722"/>
      <c r="AB69" s="2722"/>
      <c r="AC69" s="2722"/>
      <c r="AD69" s="2722"/>
    </row>
    <row r="70" spans="1:30" ht="15.75" thickBot="1">
      <c r="A70" s="481"/>
      <c r="B70" s="490"/>
      <c r="C70" s="491">
        <v>100</v>
      </c>
      <c r="D70" s="491">
        <f>C70-$K22</f>
        <v>100</v>
      </c>
      <c r="E70" s="491"/>
      <c r="F70" s="491"/>
      <c r="G70" s="491"/>
      <c r="H70" s="491"/>
      <c r="I70" s="491"/>
      <c r="J70" s="491"/>
      <c r="K70" s="491"/>
      <c r="L70" s="491"/>
      <c r="M70" s="492"/>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6"/>
      <c r="B71" s="485">
        <f>B23</f>
        <v>111</v>
      </c>
      <c r="C71" s="496"/>
      <c r="D71" s="496"/>
      <c r="E71" s="496"/>
      <c r="F71" s="496"/>
      <c r="G71" s="501"/>
      <c r="H71" s="501"/>
      <c r="I71" s="501"/>
      <c r="J71" s="501"/>
      <c r="K71" s="501"/>
      <c r="L71" s="527"/>
      <c r="M71" s="528"/>
      <c r="N71" s="2749"/>
      <c r="O71" s="2749"/>
      <c r="P71" s="2775"/>
      <c r="Q71" s="2736"/>
      <c r="R71" s="2658"/>
      <c r="S71" s="2658"/>
      <c r="T71" s="2658"/>
      <c r="U71" s="2658"/>
      <c r="V71" s="2658"/>
      <c r="W71" s="2658"/>
      <c r="X71" s="2658"/>
      <c r="Y71" s="2658"/>
      <c r="Z71" s="2658"/>
      <c r="AA71" s="2658"/>
      <c r="AB71" s="2658"/>
      <c r="AC71" s="2658"/>
      <c r="AD71" s="2658"/>
    </row>
    <row r="72" spans="1:30" s="107" customFormat="1" ht="15.75" thickBot="1">
      <c r="A72" s="526"/>
      <c r="B72" s="490"/>
      <c r="C72" s="507"/>
      <c r="D72" s="483"/>
      <c r="E72" s="483"/>
      <c r="F72" s="483"/>
      <c r="G72" s="483"/>
      <c r="H72" s="483"/>
      <c r="I72" s="483"/>
      <c r="J72" s="483"/>
      <c r="K72" s="483"/>
      <c r="L72" s="483"/>
      <c r="M72" s="484"/>
      <c r="N72" s="2751"/>
      <c r="O72" s="2751"/>
      <c r="P72" s="2775"/>
      <c r="Q72" s="2736"/>
      <c r="R72" s="2658"/>
      <c r="S72" s="2658"/>
      <c r="T72" s="2658"/>
      <c r="U72" s="2658"/>
      <c r="V72" s="2658"/>
      <c r="W72" s="2658"/>
      <c r="X72" s="2658"/>
      <c r="Y72" s="2658"/>
      <c r="Z72" s="2658"/>
      <c r="AA72" s="2658"/>
      <c r="AB72" s="2658"/>
      <c r="AC72" s="2658"/>
      <c r="AD72" s="2658"/>
    </row>
    <row r="73" spans="1:30" s="107" customFormat="1" ht="15.75" thickTop="1">
      <c r="A73" s="526"/>
      <c r="B73" s="485">
        <f>B24</f>
        <v>111</v>
      </c>
      <c r="C73" s="496"/>
      <c r="D73" s="496"/>
      <c r="E73" s="496"/>
      <c r="F73" s="496"/>
      <c r="G73" s="501"/>
      <c r="H73" s="501"/>
      <c r="I73" s="501"/>
      <c r="J73" s="501"/>
      <c r="K73" s="501"/>
      <c r="L73" s="501"/>
      <c r="M73" s="528"/>
      <c r="N73" s="2749"/>
      <c r="O73" s="2749"/>
      <c r="P73" s="2775"/>
      <c r="Q73" s="2736"/>
      <c r="R73" s="2658"/>
      <c r="S73" s="2658"/>
      <c r="T73" s="2658"/>
      <c r="U73" s="2658"/>
      <c r="V73" s="2658"/>
      <c r="W73" s="2658"/>
      <c r="X73" s="2658"/>
      <c r="Y73" s="2658"/>
      <c r="Z73" s="2658"/>
      <c r="AA73" s="2658"/>
      <c r="AB73" s="2658"/>
      <c r="AC73" s="2658"/>
      <c r="AD73" s="2658"/>
    </row>
    <row r="74" spans="1:30" s="107" customFormat="1" ht="15.75" thickBot="1">
      <c r="A74" s="526"/>
      <c r="B74" s="490"/>
      <c r="C74" s="507"/>
      <c r="D74" s="483"/>
      <c r="E74" s="483"/>
      <c r="F74" s="483"/>
      <c r="G74" s="483"/>
      <c r="H74" s="483"/>
      <c r="I74" s="483"/>
      <c r="J74" s="483"/>
      <c r="K74" s="483"/>
      <c r="L74" s="483"/>
      <c r="M74" s="484"/>
      <c r="N74" s="2751"/>
      <c r="O74" s="2751"/>
      <c r="P74" s="2775"/>
      <c r="Q74" s="2736"/>
      <c r="R74" s="2658"/>
      <c r="S74" s="2658"/>
      <c r="T74" s="2658"/>
      <c r="U74" s="2658"/>
      <c r="V74" s="2658"/>
      <c r="W74" s="2658"/>
      <c r="X74" s="2658"/>
      <c r="Y74" s="2658"/>
      <c r="Z74" s="2658"/>
      <c r="AA74" s="2658"/>
      <c r="AB74" s="2658"/>
      <c r="AC74" s="2658"/>
      <c r="AD74" s="2658"/>
    </row>
    <row r="75" spans="1:30" s="420" customFormat="1" ht="15.75" thickTop="1">
      <c r="A75" s="500"/>
      <c r="B75" s="485">
        <f>B25</f>
        <v>111</v>
      </c>
      <c r="C75" s="496"/>
      <c r="D75" s="496"/>
      <c r="E75" s="496"/>
      <c r="F75" s="496"/>
      <c r="G75" s="501"/>
      <c r="H75" s="502"/>
      <c r="I75" s="502"/>
      <c r="J75" s="502"/>
      <c r="K75" s="502"/>
      <c r="L75" s="503"/>
      <c r="M75" s="504"/>
      <c r="N75" s="2752"/>
      <c r="O75" s="2752"/>
      <c r="P75" s="2776"/>
      <c r="Q75" s="2743"/>
      <c r="R75" s="2744"/>
      <c r="S75" s="2744"/>
      <c r="T75" s="2744"/>
      <c r="U75" s="2744"/>
      <c r="V75" s="2744"/>
      <c r="W75" s="2744"/>
      <c r="X75" s="2744"/>
      <c r="Y75" s="2744"/>
      <c r="Z75" s="2744"/>
      <c r="AA75" s="2744"/>
      <c r="AB75" s="2744"/>
      <c r="AC75" s="2744"/>
      <c r="AD75" s="2744"/>
    </row>
    <row r="76" spans="1:30" s="420" customFormat="1" ht="15.75" thickBot="1">
      <c r="A76" s="500"/>
      <c r="B76" s="490"/>
      <c r="C76" s="507"/>
      <c r="D76" s="507"/>
      <c r="E76" s="507"/>
      <c r="F76" s="507"/>
      <c r="G76" s="483"/>
      <c r="H76" s="483"/>
      <c r="I76" s="483"/>
      <c r="J76" s="483"/>
      <c r="K76" s="483"/>
      <c r="L76" s="483"/>
      <c r="M76" s="484"/>
      <c r="N76" s="2752"/>
      <c r="O76" s="2752"/>
      <c r="P76" s="2776"/>
      <c r="Q76" s="2743"/>
      <c r="R76" s="2744"/>
      <c r="S76" s="2744"/>
      <c r="T76" s="2744"/>
      <c r="U76" s="2744"/>
      <c r="V76" s="2744"/>
      <c r="W76" s="2744"/>
      <c r="X76" s="2744"/>
      <c r="Y76" s="2744"/>
      <c r="Z76" s="2744"/>
      <c r="AA76" s="2744"/>
      <c r="AB76" s="2744"/>
      <c r="AC76" s="2744"/>
      <c r="AD76" s="2744"/>
    </row>
    <row r="77" spans="1:30" ht="15" thickTop="1">
      <c r="A77" s="474" t="s">
        <v>1694</v>
      </c>
      <c r="B77" s="475" t="s">
        <v>1740</v>
      </c>
      <c r="C77" s="501"/>
      <c r="D77" s="501"/>
      <c r="E77" s="477"/>
      <c r="F77" s="477"/>
      <c r="G77" s="477"/>
      <c r="H77" s="477"/>
      <c r="I77" s="477"/>
      <c r="J77" s="477"/>
      <c r="K77" s="478"/>
      <c r="L77" s="479"/>
      <c r="M77" s="480"/>
      <c r="N77" s="2750"/>
      <c r="O77" s="2750"/>
      <c r="P77" s="2775"/>
      <c r="Q77" s="2736"/>
      <c r="R77" s="2722"/>
      <c r="S77" s="2722"/>
      <c r="T77" s="2722"/>
      <c r="U77" s="2722"/>
      <c r="V77" s="2722"/>
      <c r="W77" s="2722"/>
      <c r="X77" s="2722"/>
      <c r="Y77" s="2722"/>
      <c r="Z77" s="2722"/>
      <c r="AA77" s="2722"/>
      <c r="AB77" s="2722"/>
      <c r="AC77" s="2722"/>
      <c r="AD77" s="2722"/>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9"/>
      <c r="O79" s="2749"/>
      <c r="P79" s="2775"/>
      <c r="Q79" s="2736"/>
      <c r="R79" s="2722"/>
      <c r="S79" s="2722"/>
      <c r="T79" s="2722"/>
      <c r="U79" s="2722"/>
      <c r="V79" s="2722"/>
      <c r="W79" s="2722"/>
      <c r="X79" s="2722"/>
      <c r="Y79" s="2722"/>
      <c r="Z79" s="2722"/>
      <c r="AA79" s="2722"/>
      <c r="AB79" s="2722"/>
      <c r="AC79" s="2722"/>
      <c r="AD79" s="2722"/>
    </row>
    <row r="80" spans="1:30" ht="15">
      <c r="A80" s="481"/>
      <c r="B80" s="493"/>
      <c r="C80" s="550">
        <v>0.5</v>
      </c>
      <c r="D80" s="550">
        <v>0.6</v>
      </c>
      <c r="E80" s="550">
        <v>0.7</v>
      </c>
      <c r="F80" s="550">
        <v>0.8</v>
      </c>
      <c r="G80" s="550">
        <v>0.9</v>
      </c>
      <c r="H80" s="550">
        <v>1.0001</v>
      </c>
      <c r="I80" s="606"/>
      <c r="J80" s="606"/>
      <c r="K80" s="614"/>
      <c r="L80" s="615"/>
      <c r="M80" s="616"/>
      <c r="N80" s="2749"/>
      <c r="O80" s="2749"/>
      <c r="P80" s="2775"/>
      <c r="Q80" s="2736"/>
      <c r="R80" s="2722"/>
      <c r="S80" s="2722"/>
      <c r="T80" s="2722"/>
      <c r="U80" s="2722"/>
      <c r="V80" s="2722"/>
      <c r="W80" s="2722"/>
      <c r="X80" s="2722"/>
      <c r="Y80" s="2722"/>
      <c r="Z80" s="2722"/>
      <c r="AA80" s="2722"/>
      <c r="AB80" s="2722"/>
      <c r="AC80" s="2722"/>
      <c r="AD80" s="2722"/>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6"/>
      <c r="B82" s="493" t="s">
        <v>1856</v>
      </c>
      <c r="C82" s="501"/>
      <c r="D82" s="501"/>
      <c r="E82" s="530"/>
      <c r="F82" s="530"/>
      <c r="G82" s="530"/>
      <c r="H82" s="530"/>
      <c r="I82" s="530"/>
      <c r="J82" s="530"/>
      <c r="K82" s="531"/>
      <c r="L82" s="532"/>
      <c r="M82" s="533"/>
      <c r="N82" s="2750"/>
      <c r="O82" s="2750"/>
      <c r="P82" s="2775"/>
      <c r="Q82" s="2736"/>
      <c r="R82" s="2722"/>
      <c r="S82" s="2722"/>
      <c r="T82" s="2722"/>
      <c r="U82" s="2722"/>
      <c r="V82" s="2722"/>
      <c r="W82" s="2722"/>
      <c r="X82" s="2722"/>
      <c r="Y82" s="2722"/>
      <c r="Z82" s="2722"/>
      <c r="AA82" s="2722"/>
      <c r="AB82" s="2722"/>
      <c r="AC82" s="2722"/>
      <c r="AD82" s="2722"/>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6"/>
      <c r="B84" s="485" t="s">
        <v>1864</v>
      </c>
      <c r="C84" s="501"/>
      <c r="D84" s="501"/>
      <c r="E84" s="501"/>
      <c r="F84" s="501"/>
      <c r="G84" s="501"/>
      <c r="H84" s="501"/>
      <c r="I84" s="530"/>
      <c r="J84" s="530"/>
      <c r="K84" s="531"/>
      <c r="L84" s="532"/>
      <c r="M84" s="533"/>
      <c r="N84" s="2750"/>
      <c r="O84" s="2750"/>
      <c r="P84" s="2775"/>
      <c r="Q84" s="2736"/>
      <c r="R84" s="2722"/>
      <c r="S84" s="2722"/>
      <c r="T84" s="2722"/>
      <c r="U84" s="2722"/>
      <c r="V84" s="2722"/>
      <c r="W84" s="2722"/>
      <c r="X84" s="2722"/>
      <c r="Y84" s="2722"/>
      <c r="Z84" s="2722"/>
      <c r="AA84" s="2722"/>
      <c r="AB84" s="2722"/>
      <c r="AC84" s="2722"/>
      <c r="AD84" s="2722"/>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6"/>
      <c r="B87" s="493"/>
      <c r="C87" s="542"/>
      <c r="D87" s="542"/>
      <c r="E87" s="542"/>
      <c r="F87" s="542"/>
      <c r="G87" s="542"/>
      <c r="H87" s="542"/>
      <c r="I87" s="542"/>
      <c r="J87" s="543"/>
      <c r="K87" s="543"/>
      <c r="L87" s="544"/>
      <c r="M87" s="545"/>
      <c r="N87" s="2750"/>
      <c r="O87" s="2750"/>
      <c r="P87" s="2775"/>
      <c r="Q87" s="2736"/>
      <c r="R87" s="2722"/>
      <c r="S87" s="2722"/>
      <c r="T87" s="2722"/>
      <c r="U87" s="2722"/>
      <c r="V87" s="2722"/>
      <c r="W87" s="2722"/>
      <c r="X87" s="2722"/>
      <c r="Y87" s="2722"/>
      <c r="Z87" s="2722"/>
      <c r="AA87" s="2722"/>
      <c r="AB87" s="2722"/>
      <c r="AC87" s="2722"/>
      <c r="AD87" s="2722"/>
    </row>
    <row r="88" spans="1:30" ht="15.75" thickBot="1">
      <c r="A88" s="481"/>
      <c r="B88" s="490"/>
      <c r="C88" s="507"/>
      <c r="D88" s="483"/>
      <c r="E88" s="483"/>
      <c r="F88" s="483"/>
      <c r="G88" s="483"/>
      <c r="H88" s="483"/>
      <c r="I88" s="483"/>
      <c r="J88" s="483"/>
      <c r="K88" s="483"/>
      <c r="L88" s="483"/>
      <c r="M88" s="483"/>
      <c r="N88" s="2751"/>
      <c r="O88" s="2751"/>
      <c r="P88" s="2775"/>
      <c r="Q88" s="2736"/>
      <c r="R88" s="2722"/>
      <c r="S88" s="2722"/>
      <c r="T88" s="2722"/>
      <c r="U88" s="2722"/>
      <c r="V88" s="2722"/>
      <c r="W88" s="2722"/>
      <c r="X88" s="2722"/>
      <c r="Y88" s="2722"/>
      <c r="Z88" s="2722"/>
      <c r="AA88" s="2722"/>
      <c r="AB88" s="2722"/>
      <c r="AC88" s="2722"/>
      <c r="AD88" s="2722"/>
    </row>
    <row r="89" spans="1:30" s="420" customFormat="1" ht="15" thickTop="1">
      <c r="A89" s="540"/>
      <c r="B89" s="485" t="s">
        <v>1866</v>
      </c>
      <c r="C89" s="501"/>
      <c r="D89" s="501"/>
      <c r="E89" s="501"/>
      <c r="F89" s="501"/>
      <c r="G89" s="501"/>
      <c r="H89" s="501"/>
      <c r="I89" s="501"/>
      <c r="J89" s="501"/>
      <c r="K89" s="501"/>
      <c r="L89" s="501"/>
      <c r="M89" s="528"/>
      <c r="N89" s="2752"/>
      <c r="O89" s="2752"/>
      <c r="P89" s="2776"/>
      <c r="Q89" s="2743"/>
      <c r="R89" s="2744"/>
      <c r="S89" s="2744"/>
      <c r="T89" s="2744"/>
      <c r="U89" s="2744"/>
      <c r="V89" s="2744"/>
      <c r="W89" s="2744"/>
      <c r="X89" s="2744"/>
      <c r="Y89" s="2744"/>
      <c r="Z89" s="2744"/>
      <c r="AA89" s="2744"/>
      <c r="AB89" s="2744"/>
      <c r="AC89" s="2744"/>
      <c r="AD89" s="2744"/>
    </row>
    <row r="90" spans="1:30" s="420" customFormat="1" ht="15.75" thickBot="1">
      <c r="A90" s="500"/>
      <c r="B90" s="490"/>
      <c r="C90" s="507"/>
      <c r="D90" s="483"/>
      <c r="E90" s="483"/>
      <c r="F90" s="483"/>
      <c r="G90" s="483"/>
      <c r="H90" s="483"/>
      <c r="I90" s="483"/>
      <c r="J90" s="483"/>
      <c r="K90" s="483"/>
      <c r="L90" s="483"/>
      <c r="M90" s="484"/>
      <c r="N90" s="2752"/>
      <c r="O90" s="2752"/>
      <c r="P90" s="2776"/>
      <c r="Q90" s="2743"/>
      <c r="R90" s="2744"/>
      <c r="S90" s="2744"/>
      <c r="T90" s="2744"/>
      <c r="U90" s="2744"/>
      <c r="V90" s="2744"/>
      <c r="W90" s="2744"/>
      <c r="X90" s="2744"/>
      <c r="Y90" s="2744"/>
      <c r="Z90" s="2744"/>
      <c r="AA90" s="2744"/>
      <c r="AB90" s="2744"/>
      <c r="AC90" s="2744"/>
      <c r="AD90" s="2744"/>
    </row>
    <row r="91" spans="1:30" ht="15" thickTop="1">
      <c r="A91" s="546"/>
      <c r="B91" s="485">
        <f>B32</f>
        <v>111</v>
      </c>
      <c r="C91" s="496"/>
      <c r="D91" s="496"/>
      <c r="E91" s="496"/>
      <c r="F91" s="496"/>
      <c r="G91" s="501"/>
      <c r="H91" s="502"/>
      <c r="I91" s="502"/>
      <c r="J91" s="502"/>
      <c r="K91" s="502"/>
      <c r="L91" s="503"/>
      <c r="M91" s="504"/>
      <c r="N91" s="2750"/>
      <c r="O91" s="2750"/>
      <c r="P91" s="2775"/>
      <c r="Q91" s="2736"/>
      <c r="R91" s="2722"/>
      <c r="S91" s="2722"/>
      <c r="T91" s="2722"/>
      <c r="U91" s="2722"/>
      <c r="V91" s="2722"/>
      <c r="W91" s="2722"/>
      <c r="X91" s="2722"/>
      <c r="Y91" s="2722"/>
      <c r="Z91" s="2722"/>
      <c r="AA91" s="2722"/>
      <c r="AB91" s="2722"/>
      <c r="AC91" s="2722"/>
      <c r="AD91" s="2722"/>
    </row>
    <row r="92" spans="1:30" ht="15.75" thickBot="1">
      <c r="A92" s="481"/>
      <c r="B92" s="490"/>
      <c r="C92" s="507"/>
      <c r="D92" s="483"/>
      <c r="E92" s="483"/>
      <c r="F92" s="483"/>
      <c r="G92" s="507"/>
      <c r="H92" s="509"/>
      <c r="I92" s="509"/>
      <c r="J92" s="509"/>
      <c r="K92" s="509"/>
      <c r="L92" s="509"/>
      <c r="M92" s="510"/>
      <c r="N92" s="2751"/>
      <c r="O92" s="2751"/>
      <c r="P92" s="2775"/>
      <c r="Q92" s="2736"/>
      <c r="R92" s="2722"/>
      <c r="S92" s="2722"/>
      <c r="T92" s="2722"/>
      <c r="U92" s="2722"/>
      <c r="V92" s="2722"/>
      <c r="W92" s="2722"/>
      <c r="X92" s="2722"/>
      <c r="Y92" s="2722"/>
      <c r="Z92" s="2722"/>
      <c r="AA92" s="2722"/>
      <c r="AB92" s="2722"/>
      <c r="AC92" s="2722"/>
      <c r="AD92" s="2722"/>
    </row>
    <row r="93" spans="1:30" ht="15" thickTop="1">
      <c r="A93" s="546"/>
      <c r="B93" s="485">
        <f>B33</f>
        <v>111</v>
      </c>
      <c r="C93" s="496"/>
      <c r="D93" s="496"/>
      <c r="E93" s="496"/>
      <c r="F93" s="496"/>
      <c r="G93" s="501"/>
      <c r="H93" s="502"/>
      <c r="I93" s="502"/>
      <c r="J93" s="502"/>
      <c r="K93" s="502"/>
      <c r="L93" s="503"/>
      <c r="M93" s="504"/>
      <c r="N93" s="2750"/>
      <c r="O93" s="2750"/>
      <c r="P93" s="2775"/>
      <c r="Q93" s="2736"/>
      <c r="R93" s="2722"/>
      <c r="S93" s="2722"/>
      <c r="T93" s="2722"/>
      <c r="U93" s="2722"/>
      <c r="V93" s="2722"/>
      <c r="W93" s="2722"/>
      <c r="X93" s="2722"/>
      <c r="Y93" s="2722"/>
      <c r="Z93" s="2722"/>
      <c r="AA93" s="2722"/>
      <c r="AB93" s="2722"/>
      <c r="AC93" s="2722"/>
      <c r="AD93" s="2722"/>
    </row>
    <row r="94" spans="1:30" ht="15.75" thickBot="1">
      <c r="A94" s="481"/>
      <c r="B94" s="490"/>
      <c r="C94" s="507"/>
      <c r="D94" s="483"/>
      <c r="E94" s="483"/>
      <c r="F94" s="483"/>
      <c r="G94" s="507"/>
      <c r="H94" s="509"/>
      <c r="I94" s="509"/>
      <c r="J94" s="509"/>
      <c r="K94" s="509"/>
      <c r="L94" s="509"/>
      <c r="M94" s="510"/>
      <c r="N94" s="2751"/>
      <c r="O94" s="2751"/>
      <c r="P94" s="2775"/>
      <c r="Q94" s="2736"/>
      <c r="R94" s="2722"/>
      <c r="S94" s="2722"/>
      <c r="T94" s="2722"/>
      <c r="U94" s="2722"/>
      <c r="V94" s="2722"/>
      <c r="W94" s="2722"/>
      <c r="X94" s="2722"/>
      <c r="Y94" s="2722"/>
      <c r="Z94" s="2722"/>
      <c r="AA94" s="2722"/>
      <c r="AB94" s="2722"/>
      <c r="AC94" s="2722"/>
      <c r="AD94" s="2722"/>
    </row>
    <row r="95" spans="1:30" ht="15" thickTop="1">
      <c r="A95" s="546"/>
      <c r="B95" s="582">
        <f>B34</f>
        <v>111</v>
      </c>
      <c r="C95" s="496"/>
      <c r="D95" s="496"/>
      <c r="E95" s="496"/>
      <c r="F95" s="496"/>
      <c r="G95" s="501"/>
      <c r="H95" s="502"/>
      <c r="I95" s="502"/>
      <c r="J95" s="502"/>
      <c r="K95" s="502"/>
      <c r="L95" s="503"/>
      <c r="M95" s="504"/>
      <c r="N95" s="2751"/>
      <c r="O95" s="2751"/>
      <c r="P95" s="2778"/>
      <c r="Q95" s="2765"/>
      <c r="R95" s="2722"/>
      <c r="S95" s="2722"/>
      <c r="T95" s="2722"/>
      <c r="U95" s="2722"/>
      <c r="V95" s="2722"/>
      <c r="W95" s="2722"/>
      <c r="X95" s="2722"/>
      <c r="Y95" s="2722"/>
      <c r="Z95" s="2722"/>
      <c r="AA95" s="2722"/>
      <c r="AB95" s="2722"/>
      <c r="AC95" s="2722"/>
      <c r="AD95" s="2722"/>
    </row>
    <row r="96" spans="1:30" ht="15.75" thickBot="1">
      <c r="A96" s="481"/>
      <c r="B96" s="490"/>
      <c r="C96" s="507"/>
      <c r="D96" s="507"/>
      <c r="E96" s="507"/>
      <c r="F96" s="507"/>
      <c r="G96" s="507"/>
      <c r="H96" s="509"/>
      <c r="I96" s="509"/>
      <c r="J96" s="509"/>
      <c r="K96" s="509"/>
      <c r="L96" s="509"/>
      <c r="M96" s="510"/>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30" ht="15">
      <c r="A4" s="353" t="s">
        <v>1769</v>
      </c>
      <c r="B4" s="354"/>
      <c r="C4" s="3886" t="s">
        <v>1770</v>
      </c>
      <c r="D4" s="3887"/>
      <c r="E4" s="3888" t="s">
        <v>1771</v>
      </c>
      <c r="F4" s="3889"/>
      <c r="G4" s="3886" t="s">
        <v>1772</v>
      </c>
      <c r="H4" s="3887"/>
      <c r="I4" s="3886" t="s">
        <v>1773</v>
      </c>
      <c r="J4" s="3887"/>
      <c r="K4" s="557" t="s">
        <v>1774</v>
      </c>
      <c r="L4" s="2712"/>
      <c r="M4" s="2713"/>
      <c r="N4" s="2713"/>
      <c r="O4" s="2713"/>
      <c r="P4" s="3890" t="s">
        <v>1775</v>
      </c>
      <c r="Q4" s="3891"/>
      <c r="R4" s="3896" t="s">
        <v>1771</v>
      </c>
      <c r="S4" s="3897"/>
      <c r="T4" s="3896" t="s">
        <v>1772</v>
      </c>
      <c r="U4" s="3897"/>
      <c r="V4" s="3902" t="s">
        <v>1773</v>
      </c>
      <c r="W4" s="3902"/>
      <c r="X4" s="1352"/>
      <c r="Y4" s="3896" t="s">
        <v>1775</v>
      </c>
      <c r="Z4" s="3897"/>
      <c r="AA4" s="3883" t="s">
        <v>1771</v>
      </c>
      <c r="AB4" s="3884" t="s">
        <v>1772</v>
      </c>
      <c r="AC4" s="3883" t="s">
        <v>1773</v>
      </c>
    </row>
    <row r="5" spans="1:30" ht="15">
      <c r="A5" s="356"/>
      <c r="B5" s="357"/>
      <c r="C5" s="3905" t="s">
        <v>1673</v>
      </c>
      <c r="D5" s="3906"/>
      <c r="E5" s="3912" t="s">
        <v>1674</v>
      </c>
      <c r="F5" s="3913"/>
      <c r="G5" s="3905" t="s">
        <v>1675</v>
      </c>
      <c r="H5" s="3906"/>
      <c r="I5" s="3905" t="s">
        <v>1676</v>
      </c>
      <c r="J5" s="3906"/>
      <c r="K5" s="557"/>
      <c r="L5" s="2712"/>
      <c r="M5" s="2713"/>
      <c r="N5" s="2713"/>
      <c r="O5" s="2713"/>
      <c r="P5" s="3892"/>
      <c r="Q5" s="3893"/>
      <c r="R5" s="3898"/>
      <c r="S5" s="3899"/>
      <c r="T5" s="3898"/>
      <c r="U5" s="3899"/>
      <c r="V5" s="3902"/>
      <c r="W5" s="3902"/>
      <c r="X5" s="1352"/>
      <c r="Y5" s="3898"/>
      <c r="Z5" s="3899"/>
      <c r="AA5" s="3884"/>
      <c r="AB5" s="3884"/>
      <c r="AC5" s="3884"/>
    </row>
    <row r="6" spans="1:30" ht="15.75" thickBot="1">
      <c r="A6" s="358"/>
      <c r="B6" s="359"/>
      <c r="C6" s="3903" t="s">
        <v>1677</v>
      </c>
      <c r="D6" s="3904"/>
      <c r="E6" s="3910" t="s">
        <v>1677</v>
      </c>
      <c r="F6" s="3911"/>
      <c r="G6" s="3903" t="s">
        <v>1677</v>
      </c>
      <c r="H6" s="3904"/>
      <c r="I6" s="3903" t="s">
        <v>1677</v>
      </c>
      <c r="J6" s="3904"/>
      <c r="K6" s="557" t="s">
        <v>1678</v>
      </c>
      <c r="L6" s="2712"/>
      <c r="M6" s="2713"/>
      <c r="N6" s="2713"/>
      <c r="O6" s="2713"/>
      <c r="P6" s="3894"/>
      <c r="Q6" s="3895"/>
      <c r="R6" s="3898"/>
      <c r="S6" s="3899"/>
      <c r="T6" s="3900"/>
      <c r="U6" s="3901"/>
      <c r="V6" s="3902"/>
      <c r="W6" s="3902"/>
      <c r="X6" s="1352"/>
      <c r="Y6" s="3900"/>
      <c r="Z6" s="3901"/>
      <c r="AA6" s="3885"/>
      <c r="AB6" s="3885"/>
      <c r="AC6" s="3885"/>
    </row>
    <row r="7" spans="1:30" s="107" customFormat="1" ht="15.75" thickBot="1">
      <c r="A7" s="360" t="s">
        <v>1679</v>
      </c>
      <c r="B7" s="361"/>
      <c r="C7" s="362">
        <f>'数据-取费表'!B2</f>
        <v>44937</v>
      </c>
      <c r="D7" s="363">
        <v>100</v>
      </c>
      <c r="E7" s="364"/>
      <c r="F7" s="365">
        <f>SUMIF(69:69,YEAR(E7)&amp;"-"&amp;INT((MONTH(E7)+2)/3),70:70)</f>
        <v>0</v>
      </c>
      <c r="G7" s="1971"/>
      <c r="H7" s="363">
        <f>SUMIF(69:69,YEAR(G7)&amp;"-"&amp;INT((MONTH(G7)+2)/3),70:70)</f>
        <v>0</v>
      </c>
      <c r="I7" s="1971"/>
      <c r="J7" s="363">
        <f>SUMIF(69:69,YEAR(I7)&amp;"-"&amp;INT((MONTH(I7)+2)/3),70:70)</f>
        <v>0</v>
      </c>
      <c r="K7" s="558"/>
      <c r="L7" s="2714"/>
      <c r="M7" s="2715"/>
      <c r="N7" s="2715"/>
      <c r="O7" s="2715"/>
      <c r="P7" s="3907" t="s">
        <v>1680</v>
      </c>
      <c r="Q7" s="3909"/>
      <c r="R7" s="698" t="s">
        <v>14</v>
      </c>
      <c r="S7" s="699">
        <f t="shared" ref="S7:S15" si="0">F7</f>
        <v>0</v>
      </c>
      <c r="T7" s="698" t="s">
        <v>14</v>
      </c>
      <c r="U7" s="699">
        <f t="shared" ref="U7:U15" si="1">H7</f>
        <v>0</v>
      </c>
      <c r="V7" s="698" t="s">
        <v>14</v>
      </c>
      <c r="W7" s="699">
        <f t="shared" ref="W7:W15" si="2">J7</f>
        <v>0</v>
      </c>
      <c r="X7" s="700"/>
      <c r="Y7" s="3907" t="s">
        <v>1680</v>
      </c>
      <c r="Z7" s="3908"/>
      <c r="AA7" s="701" t="e">
        <f>D7/F7</f>
        <v>#DIV/0!</v>
      </c>
      <c r="AB7" s="701" t="e">
        <f>D7/H7</f>
        <v>#DIV/0!</v>
      </c>
      <c r="AC7" s="701" t="e">
        <f>D7/J7</f>
        <v>#DIV/0!</v>
      </c>
    </row>
    <row r="8" spans="1:30" s="107"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4"/>
      <c r="M8" s="2715"/>
      <c r="N8" s="2715"/>
      <c r="O8" s="2715"/>
      <c r="P8" s="3907" t="s">
        <v>1683</v>
      </c>
      <c r="Q8" s="3908"/>
      <c r="R8" s="698" t="s">
        <v>14</v>
      </c>
      <c r="S8" s="699">
        <f t="shared" si="0"/>
        <v>0</v>
      </c>
      <c r="T8" s="698" t="s">
        <v>14</v>
      </c>
      <c r="U8" s="699">
        <f t="shared" si="1"/>
        <v>0</v>
      </c>
      <c r="V8" s="698" t="s">
        <v>14</v>
      </c>
      <c r="W8" s="699">
        <f t="shared" si="2"/>
        <v>0</v>
      </c>
      <c r="X8" s="700"/>
      <c r="Y8" s="3907" t="s">
        <v>1683</v>
      </c>
      <c r="Z8" s="3908"/>
      <c r="AA8" s="701" t="e">
        <f t="shared" ref="AA8:AA45" si="3">D8/F8</f>
        <v>#DIV/0!</v>
      </c>
      <c r="AB8" s="701" t="e">
        <f t="shared" ref="AB8:AB45" si="4">D8/H8</f>
        <v>#DIV/0!</v>
      </c>
      <c r="AC8" s="701" t="e">
        <f t="shared" ref="AC8:AC45" si="5">D8/J8</f>
        <v>#DIV/0!</v>
      </c>
    </row>
    <row r="9" spans="1:30" s="107"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14"/>
      <c r="M9" s="2715"/>
      <c r="N9" s="2715"/>
      <c r="O9" s="2769"/>
      <c r="P9" s="3871" t="s">
        <v>1686</v>
      </c>
      <c r="Q9" s="1340" t="str">
        <f t="shared" ref="Q9:Q15" si="6">B9</f>
        <v>用途</v>
      </c>
      <c r="R9" s="698" t="s">
        <v>14</v>
      </c>
      <c r="S9" s="699">
        <f t="shared" si="0"/>
        <v>100</v>
      </c>
      <c r="T9" s="698" t="s">
        <v>14</v>
      </c>
      <c r="U9" s="699">
        <f t="shared" si="1"/>
        <v>100</v>
      </c>
      <c r="V9" s="698" t="s">
        <v>14</v>
      </c>
      <c r="W9" s="699">
        <f t="shared" si="2"/>
        <v>100</v>
      </c>
      <c r="X9" s="700"/>
      <c r="Y9" s="3746"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142</v>
      </c>
      <c r="G10" s="412"/>
      <c r="H10" s="125">
        <f>ROUND(100/'数据-取费表'!G16,0)</f>
        <v>142</v>
      </c>
      <c r="I10" s="412"/>
      <c r="J10" s="125">
        <f>ROUND(100/'数据-取费表'!G16,0)</f>
        <v>142</v>
      </c>
      <c r="K10" s="618"/>
      <c r="L10" s="2716"/>
      <c r="M10" s="2717"/>
      <c r="N10" s="2717"/>
      <c r="O10" s="2770"/>
      <c r="P10" s="3871"/>
      <c r="Q10" s="1340" t="str">
        <f t="shared" si="6"/>
        <v>土地使用年限（年）</v>
      </c>
      <c r="R10" s="698" t="s">
        <v>14</v>
      </c>
      <c r="S10" s="699">
        <f t="shared" si="0"/>
        <v>142</v>
      </c>
      <c r="T10" s="698" t="s">
        <v>14</v>
      </c>
      <c r="U10" s="699">
        <f t="shared" si="1"/>
        <v>142</v>
      </c>
      <c r="V10" s="698" t="s">
        <v>14</v>
      </c>
      <c r="W10" s="699">
        <f t="shared" si="2"/>
        <v>142</v>
      </c>
      <c r="X10" s="700"/>
      <c r="Y10" s="3746"/>
      <c r="Z10" s="52" t="str">
        <f t="shared" si="7"/>
        <v>土地使用年限（年）</v>
      </c>
      <c r="AA10" s="701">
        <f t="shared" si="3"/>
        <v>0.70422535211267601</v>
      </c>
      <c r="AB10" s="701">
        <f t="shared" si="4"/>
        <v>0.70422535211267601</v>
      </c>
      <c r="AC10" s="701">
        <f t="shared" si="5"/>
        <v>0.70422535211267601</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8"/>
      <c r="M11" s="2713"/>
      <c r="N11" s="2713"/>
      <c r="O11" s="2771"/>
      <c r="P11" s="3871"/>
      <c r="Q11" s="1340" t="str">
        <f t="shared" si="6"/>
        <v>容积率</v>
      </c>
      <c r="R11" s="698" t="s">
        <v>14</v>
      </c>
      <c r="S11" s="699" t="e">
        <f t="shared" si="0"/>
        <v>#N/A</v>
      </c>
      <c r="T11" s="698" t="s">
        <v>14</v>
      </c>
      <c r="U11" s="699" t="e">
        <f t="shared" si="1"/>
        <v>#N/A</v>
      </c>
      <c r="V11" s="698" t="s">
        <v>14</v>
      </c>
      <c r="W11" s="699" t="e">
        <f t="shared" si="2"/>
        <v>#N/A</v>
      </c>
      <c r="X11" s="700"/>
      <c r="Y11" s="3746"/>
      <c r="Z11" s="52" t="str">
        <f t="shared" si="7"/>
        <v>容积率</v>
      </c>
      <c r="AA11" s="701" t="e">
        <f t="shared" si="3"/>
        <v>#N/A</v>
      </c>
      <c r="AB11" s="701" t="e">
        <f t="shared" si="4"/>
        <v>#N/A</v>
      </c>
      <c r="AC11" s="701" t="e">
        <f t="shared" si="5"/>
        <v>#N/A</v>
      </c>
    </row>
    <row r="12" spans="1:30" s="107"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14"/>
      <c r="M12" s="2715"/>
      <c r="N12" s="2715"/>
      <c r="O12" s="2769"/>
      <c r="P12" s="3871"/>
      <c r="Q12" s="1340" t="str">
        <f t="shared" si="6"/>
        <v>配建</v>
      </c>
      <c r="R12" s="698" t="s">
        <v>14</v>
      </c>
      <c r="S12" s="699">
        <f t="shared" si="0"/>
        <v>100</v>
      </c>
      <c r="T12" s="698" t="s">
        <v>14</v>
      </c>
      <c r="U12" s="699">
        <f t="shared" si="1"/>
        <v>100</v>
      </c>
      <c r="V12" s="698" t="s">
        <v>14</v>
      </c>
      <c r="W12" s="699">
        <f t="shared" si="2"/>
        <v>100</v>
      </c>
      <c r="X12" s="700"/>
      <c r="Y12" s="3746"/>
      <c r="Z12" s="52" t="str">
        <f t="shared" si="7"/>
        <v>配建</v>
      </c>
      <c r="AA12" s="701">
        <f>D12/F12</f>
        <v>1</v>
      </c>
      <c r="AB12" s="701">
        <f>D12/H12</f>
        <v>1</v>
      </c>
      <c r="AC12" s="701">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9"/>
      <c r="M13" s="2713"/>
      <c r="N13" s="2713"/>
      <c r="O13" s="2771"/>
      <c r="P13" s="3871"/>
      <c r="Q13" s="1340">
        <f t="shared" si="6"/>
        <v>111</v>
      </c>
      <c r="R13" s="698" t="s">
        <v>14</v>
      </c>
      <c r="S13" s="699">
        <f t="shared" si="0"/>
        <v>100</v>
      </c>
      <c r="T13" s="698" t="s">
        <v>14</v>
      </c>
      <c r="U13" s="699">
        <f t="shared" si="1"/>
        <v>100</v>
      </c>
      <c r="V13" s="698" t="s">
        <v>14</v>
      </c>
      <c r="W13" s="699">
        <f t="shared" si="2"/>
        <v>100</v>
      </c>
      <c r="X13" s="700"/>
      <c r="Y13" s="3746"/>
      <c r="Z13" s="52">
        <f t="shared" si="7"/>
        <v>111</v>
      </c>
      <c r="AA13" s="701">
        <f>D13/F13</f>
        <v>1</v>
      </c>
      <c r="AB13" s="701">
        <f>D13/H13</f>
        <v>1</v>
      </c>
      <c r="AC13" s="701">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9"/>
      <c r="M14" s="2713"/>
      <c r="N14" s="2713"/>
      <c r="O14" s="2771"/>
      <c r="P14" s="3871"/>
      <c r="Q14" s="1340">
        <f t="shared" si="6"/>
        <v>111</v>
      </c>
      <c r="R14" s="698" t="s">
        <v>14</v>
      </c>
      <c r="S14" s="699">
        <f t="shared" si="0"/>
        <v>100</v>
      </c>
      <c r="T14" s="698" t="s">
        <v>14</v>
      </c>
      <c r="U14" s="699">
        <f t="shared" si="1"/>
        <v>100</v>
      </c>
      <c r="V14" s="698" t="s">
        <v>14</v>
      </c>
      <c r="W14" s="699">
        <f t="shared" si="2"/>
        <v>100</v>
      </c>
      <c r="X14" s="700"/>
      <c r="Y14" s="3746"/>
      <c r="Z14" s="52">
        <f t="shared" si="7"/>
        <v>111</v>
      </c>
      <c r="AA14" s="701">
        <f>D14/F14</f>
        <v>1</v>
      </c>
      <c r="AB14" s="701">
        <f>D14/H14</f>
        <v>1</v>
      </c>
      <c r="AC14" s="701">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9"/>
      <c r="M15" s="2713"/>
      <c r="N15" s="2713"/>
      <c r="O15" s="2771"/>
      <c r="P15" s="3873" t="s">
        <v>1691</v>
      </c>
      <c r="Q15" s="1349" t="str">
        <f t="shared" si="6"/>
        <v>居住社区成熟度</v>
      </c>
      <c r="R15" s="702" t="s">
        <v>14</v>
      </c>
      <c r="S15" s="703">
        <f t="shared" si="0"/>
        <v>100</v>
      </c>
      <c r="T15" s="702" t="s">
        <v>14</v>
      </c>
      <c r="U15" s="703">
        <f t="shared" si="1"/>
        <v>100</v>
      </c>
      <c r="V15" s="702" t="s">
        <v>14</v>
      </c>
      <c r="W15" s="703">
        <f t="shared" si="2"/>
        <v>100</v>
      </c>
      <c r="X15" s="1352"/>
      <c r="Y15" s="3873"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9"/>
      <c r="M16" s="2713"/>
      <c r="N16" s="2713"/>
      <c r="O16" s="2771"/>
      <c r="P16" s="3874"/>
      <c r="Q16" s="1349"/>
      <c r="R16" s="702"/>
      <c r="S16" s="703"/>
      <c r="T16" s="702"/>
      <c r="U16" s="703"/>
      <c r="V16" s="702"/>
      <c r="W16" s="703"/>
      <c r="X16" s="1352"/>
      <c r="Y16" s="3874"/>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9"/>
      <c r="M17" s="2713"/>
      <c r="N17" s="2713"/>
      <c r="O17" s="2771"/>
      <c r="P17" s="3874"/>
      <c r="Q17" s="1349" t="str">
        <f>B17</f>
        <v>商业繁华度</v>
      </c>
      <c r="R17" s="702" t="s">
        <v>14</v>
      </c>
      <c r="S17" s="703">
        <f>F17</f>
        <v>100</v>
      </c>
      <c r="T17" s="702" t="s">
        <v>14</v>
      </c>
      <c r="U17" s="703">
        <f>H17</f>
        <v>100</v>
      </c>
      <c r="V17" s="702" t="s">
        <v>14</v>
      </c>
      <c r="W17" s="703">
        <f>J17</f>
        <v>100</v>
      </c>
      <c r="X17" s="1352"/>
      <c r="Y17" s="3874"/>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9"/>
      <c r="M18" s="2713"/>
      <c r="N18" s="2713"/>
      <c r="O18" s="2771"/>
      <c r="P18" s="3874"/>
      <c r="Q18" s="1349"/>
      <c r="R18" s="702"/>
      <c r="S18" s="703"/>
      <c r="T18" s="702"/>
      <c r="U18" s="703"/>
      <c r="V18" s="702"/>
      <c r="W18" s="703"/>
      <c r="X18" s="1352"/>
      <c r="Y18" s="3874"/>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9"/>
      <c r="M19" s="2713"/>
      <c r="N19" s="2713"/>
      <c r="O19" s="2771"/>
      <c r="P19" s="3874"/>
      <c r="Q19" s="1349" t="str">
        <f>B19</f>
        <v>办公集聚程度</v>
      </c>
      <c r="R19" s="702" t="s">
        <v>14</v>
      </c>
      <c r="S19" s="703">
        <f>F19</f>
        <v>100</v>
      </c>
      <c r="T19" s="702" t="s">
        <v>14</v>
      </c>
      <c r="U19" s="703">
        <f>H19</f>
        <v>100</v>
      </c>
      <c r="V19" s="702" t="s">
        <v>14</v>
      </c>
      <c r="W19" s="703">
        <f>J19</f>
        <v>100</v>
      </c>
      <c r="X19" s="1352"/>
      <c r="Y19" s="3874"/>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9"/>
      <c r="M20" s="2713"/>
      <c r="N20" s="2713"/>
      <c r="O20" s="2771"/>
      <c r="P20" s="3874"/>
      <c r="Q20" s="1349"/>
      <c r="R20" s="702"/>
      <c r="S20" s="703"/>
      <c r="T20" s="702"/>
      <c r="U20" s="703"/>
      <c r="V20" s="702"/>
      <c r="W20" s="703"/>
      <c r="X20" s="1352"/>
      <c r="Y20" s="3874"/>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9"/>
      <c r="M21" s="2713"/>
      <c r="N21" s="2713"/>
      <c r="O21" s="2771"/>
      <c r="P21" s="3874"/>
      <c r="Q21" s="1349" t="str">
        <f>B21</f>
        <v>交通便捷度</v>
      </c>
      <c r="R21" s="702" t="s">
        <v>14</v>
      </c>
      <c r="S21" s="703">
        <f>F21</f>
        <v>100</v>
      </c>
      <c r="T21" s="702" t="s">
        <v>14</v>
      </c>
      <c r="U21" s="703">
        <f>H21</f>
        <v>100</v>
      </c>
      <c r="V21" s="702" t="s">
        <v>14</v>
      </c>
      <c r="W21" s="703">
        <f>J21</f>
        <v>100</v>
      </c>
      <c r="X21" s="1352"/>
      <c r="Y21" s="3874"/>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9"/>
      <c r="M22" s="2713"/>
      <c r="N22" s="2713"/>
      <c r="O22" s="2771"/>
      <c r="P22" s="3874"/>
      <c r="Q22" s="1349"/>
      <c r="R22" s="702"/>
      <c r="S22" s="703"/>
      <c r="T22" s="702"/>
      <c r="U22" s="703"/>
      <c r="V22" s="702"/>
      <c r="W22" s="703"/>
      <c r="X22" s="1352"/>
      <c r="Y22" s="3874"/>
      <c r="Z22" s="1353"/>
      <c r="AA22" s="1350">
        <v>1</v>
      </c>
      <c r="AB22" s="1350">
        <v>1</v>
      </c>
      <c r="AC22" s="1350">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9"/>
      <c r="M23" s="2713"/>
      <c r="N23" s="2713"/>
      <c r="O23" s="2771"/>
      <c r="P23" s="3874"/>
      <c r="Q23" s="1349" t="str">
        <f t="shared" ref="Q23:Q37" si="8">B23</f>
        <v>区域土地利用方向</v>
      </c>
      <c r="R23" s="702" t="s">
        <v>14</v>
      </c>
      <c r="S23" s="703">
        <f>F23</f>
        <v>100</v>
      </c>
      <c r="T23" s="702" t="s">
        <v>14</v>
      </c>
      <c r="U23" s="703">
        <f>H23</f>
        <v>100</v>
      </c>
      <c r="V23" s="702" t="s">
        <v>14</v>
      </c>
      <c r="W23" s="703">
        <f>J23</f>
        <v>100</v>
      </c>
      <c r="X23" s="1352"/>
      <c r="Y23" s="3874"/>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7"/>
      <c r="L24" s="2719"/>
      <c r="M24" s="2713"/>
      <c r="N24" s="2713"/>
      <c r="O24" s="2771"/>
      <c r="P24" s="3874"/>
      <c r="Q24" s="1349"/>
      <c r="R24" s="702"/>
      <c r="S24" s="703"/>
      <c r="T24" s="702"/>
      <c r="U24" s="703"/>
      <c r="V24" s="702"/>
      <c r="W24" s="703"/>
      <c r="X24" s="1352"/>
      <c r="Y24" s="3874"/>
      <c r="Z24" s="1353"/>
      <c r="AA24" s="1350"/>
      <c r="AB24" s="1350"/>
      <c r="AC24" s="1350"/>
    </row>
    <row r="25" spans="1:29" ht="57">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9"/>
      <c r="M25" s="2713"/>
      <c r="N25" s="2713"/>
      <c r="O25" s="2771"/>
      <c r="P25" s="3874"/>
      <c r="Q25" s="1349" t="str">
        <f t="shared" si="8"/>
        <v>自然及人文环境状况</v>
      </c>
      <c r="R25" s="702" t="s">
        <v>14</v>
      </c>
      <c r="S25" s="703">
        <f>F25</f>
        <v>100</v>
      </c>
      <c r="T25" s="702" t="s">
        <v>14</v>
      </c>
      <c r="U25" s="703">
        <f>H25</f>
        <v>100</v>
      </c>
      <c r="V25" s="702" t="s">
        <v>14</v>
      </c>
      <c r="W25" s="703">
        <f>J25</f>
        <v>100</v>
      </c>
      <c r="X25" s="1352"/>
      <c r="Y25" s="3874"/>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9"/>
      <c r="M26" s="2713"/>
      <c r="N26" s="2713"/>
      <c r="O26" s="2771"/>
      <c r="P26" s="3874"/>
      <c r="Q26" s="1349"/>
      <c r="R26" s="702"/>
      <c r="S26" s="703"/>
      <c r="T26" s="702"/>
      <c r="U26" s="703"/>
      <c r="V26" s="702"/>
      <c r="W26" s="703"/>
      <c r="X26" s="1352"/>
      <c r="Y26" s="3874"/>
      <c r="Z26" s="1353"/>
      <c r="AA26" s="1350">
        <v>1</v>
      </c>
      <c r="AB26" s="1350">
        <v>1</v>
      </c>
      <c r="AC26" s="1350">
        <v>1</v>
      </c>
    </row>
    <row r="27" spans="1:29" s="107" customFormat="1" ht="42.75">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4"/>
      <c r="M27" s="2715"/>
      <c r="N27" s="2715"/>
      <c r="O27" s="2769"/>
      <c r="P27" s="3874"/>
      <c r="Q27" s="1340" t="str">
        <f t="shared" si="8"/>
        <v>公共配套设施</v>
      </c>
      <c r="R27" s="698" t="s">
        <v>14</v>
      </c>
      <c r="S27" s="699">
        <f>F27</f>
        <v>100</v>
      </c>
      <c r="T27" s="698" t="s">
        <v>14</v>
      </c>
      <c r="U27" s="699">
        <f>H27</f>
        <v>100</v>
      </c>
      <c r="V27" s="698" t="s">
        <v>14</v>
      </c>
      <c r="W27" s="699">
        <f>J27</f>
        <v>100</v>
      </c>
      <c r="X27" s="700"/>
      <c r="Y27" s="3874"/>
      <c r="Z27" s="52" t="str">
        <f>Q27</f>
        <v>公共配套设施</v>
      </c>
      <c r="AA27" s="1350">
        <f>D27/F27</f>
        <v>1</v>
      </c>
      <c r="AB27" s="1350">
        <f>D27/H27</f>
        <v>1</v>
      </c>
      <c r="AC27" s="1350">
        <f>D27/J27</f>
        <v>1</v>
      </c>
    </row>
    <row r="28" spans="1:29" s="107" customFormat="1" ht="15">
      <c r="A28" s="595"/>
      <c r="B28" s="405"/>
      <c r="C28" s="1975"/>
      <c r="D28" s="397"/>
      <c r="E28" s="1901"/>
      <c r="F28" s="397"/>
      <c r="G28" s="1901"/>
      <c r="H28" s="397"/>
      <c r="I28" s="396"/>
      <c r="J28" s="397"/>
      <c r="K28" s="618"/>
      <c r="L28" s="2714"/>
      <c r="M28" s="2715"/>
      <c r="N28" s="2715"/>
      <c r="O28" s="2769"/>
      <c r="P28" s="3874"/>
      <c r="Q28" s="1340"/>
      <c r="R28" s="698"/>
      <c r="S28" s="699"/>
      <c r="T28" s="698"/>
      <c r="U28" s="699"/>
      <c r="V28" s="698"/>
      <c r="W28" s="699"/>
      <c r="X28" s="700"/>
      <c r="Y28" s="3874"/>
      <c r="Z28" s="52"/>
      <c r="AA28" s="1350">
        <v>1</v>
      </c>
      <c r="AB28" s="1350">
        <v>1</v>
      </c>
      <c r="AC28" s="1350">
        <v>1</v>
      </c>
    </row>
    <row r="29" spans="1:29" s="107" customFormat="1" ht="28.5">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4"/>
      <c r="M29" s="2715"/>
      <c r="N29" s="2715"/>
      <c r="O29" s="2769"/>
      <c r="P29" s="3874"/>
      <c r="Q29" s="1340" t="str">
        <f t="shared" ref="Q29" si="9">B29</f>
        <v>基础设施水平</v>
      </c>
      <c r="R29" s="698" t="s">
        <v>14</v>
      </c>
      <c r="S29" s="699">
        <f>F29</f>
        <v>100</v>
      </c>
      <c r="T29" s="698" t="s">
        <v>14</v>
      </c>
      <c r="U29" s="699">
        <f>H29</f>
        <v>100</v>
      </c>
      <c r="V29" s="698" t="s">
        <v>14</v>
      </c>
      <c r="W29" s="699">
        <f>J29</f>
        <v>100</v>
      </c>
      <c r="X29" s="700"/>
      <c r="Y29" s="3874"/>
      <c r="Z29" s="52" t="str">
        <f>Q29</f>
        <v>基础设施水平</v>
      </c>
      <c r="AA29" s="1350">
        <f>D29/F29</f>
        <v>1</v>
      </c>
      <c r="AB29" s="1350">
        <f>D29/H29</f>
        <v>1</v>
      </c>
      <c r="AC29" s="1350">
        <f>D29/J29</f>
        <v>1</v>
      </c>
    </row>
    <row r="30" spans="1:29" s="107" customFormat="1" ht="15">
      <c r="A30" s="595"/>
      <c r="B30" s="405"/>
      <c r="C30" s="1975"/>
      <c r="D30" s="397"/>
      <c r="E30" s="1976"/>
      <c r="F30" s="397"/>
      <c r="G30" s="1976"/>
      <c r="H30" s="397"/>
      <c r="I30" s="1976"/>
      <c r="J30" s="397"/>
      <c r="K30" s="618"/>
      <c r="L30" s="2714"/>
      <c r="M30" s="2715"/>
      <c r="N30" s="2715"/>
      <c r="O30" s="2769"/>
      <c r="P30" s="3874"/>
      <c r="Q30" s="1340"/>
      <c r="R30" s="698"/>
      <c r="S30" s="699"/>
      <c r="T30" s="698"/>
      <c r="U30" s="699"/>
      <c r="V30" s="698"/>
      <c r="W30" s="699"/>
      <c r="X30" s="700"/>
      <c r="Y30" s="3874"/>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9"/>
      <c r="M31" s="2713"/>
      <c r="N31" s="2713"/>
      <c r="O31" s="2771"/>
      <c r="P31" s="3874"/>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874"/>
      <c r="Z31" s="1353" t="str">
        <f t="shared" ref="Z31:Z45" si="13">Q31</f>
        <v>临街状况</v>
      </c>
      <c r="AA31" s="1350">
        <f t="shared" si="3"/>
        <v>1</v>
      </c>
      <c r="AB31" s="1350">
        <f t="shared" si="4"/>
        <v>1</v>
      </c>
      <c r="AC31" s="1350">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9"/>
      <c r="M32" s="2713"/>
      <c r="N32" s="2713"/>
      <c r="O32" s="2771"/>
      <c r="P32" s="3874"/>
      <c r="Q32" s="1349" t="str">
        <f t="shared" si="8"/>
        <v>毗邻道路的类型与等级</v>
      </c>
      <c r="R32" s="702" t="s">
        <v>14</v>
      </c>
      <c r="S32" s="703">
        <f t="shared" si="10"/>
        <v>100</v>
      </c>
      <c r="T32" s="702" t="s">
        <v>14</v>
      </c>
      <c r="U32" s="703">
        <f t="shared" si="11"/>
        <v>100</v>
      </c>
      <c r="V32" s="702" t="s">
        <v>14</v>
      </c>
      <c r="W32" s="703">
        <f t="shared" si="12"/>
        <v>100</v>
      </c>
      <c r="X32" s="1352"/>
      <c r="Y32" s="3874"/>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9"/>
      <c r="M33" s="2713"/>
      <c r="N33" s="2713"/>
      <c r="O33" s="2771"/>
      <c r="P33" s="3874"/>
      <c r="Q33" s="1349"/>
      <c r="R33" s="702"/>
      <c r="S33" s="703"/>
      <c r="T33" s="702"/>
      <c r="U33" s="703"/>
      <c r="V33" s="702"/>
      <c r="W33" s="703"/>
      <c r="X33" s="1352"/>
      <c r="Y33" s="3874"/>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9"/>
      <c r="M34" s="2713"/>
      <c r="N34" s="2713"/>
      <c r="O34" s="2771"/>
      <c r="P34" s="3874"/>
      <c r="Q34" s="1349" t="str">
        <f t="shared" si="8"/>
        <v>土地级别</v>
      </c>
      <c r="R34" s="702" t="s">
        <v>14</v>
      </c>
      <c r="S34" s="703">
        <f t="shared" si="10"/>
        <v>100</v>
      </c>
      <c r="T34" s="702" t="s">
        <v>14</v>
      </c>
      <c r="U34" s="703">
        <f t="shared" si="11"/>
        <v>100</v>
      </c>
      <c r="V34" s="702" t="s">
        <v>14</v>
      </c>
      <c r="W34" s="703">
        <f t="shared" si="12"/>
        <v>100</v>
      </c>
      <c r="X34" s="1352"/>
      <c r="Y34" s="3874"/>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9"/>
      <c r="M35" s="2713"/>
      <c r="N35" s="2713"/>
      <c r="O35" s="2771"/>
      <c r="P35" s="3874"/>
      <c r="Q35" s="1349">
        <f t="shared" si="8"/>
        <v>111</v>
      </c>
      <c r="R35" s="702" t="s">
        <v>14</v>
      </c>
      <c r="S35" s="703">
        <f t="shared" si="10"/>
        <v>100</v>
      </c>
      <c r="T35" s="702" t="s">
        <v>14</v>
      </c>
      <c r="U35" s="703">
        <f t="shared" si="11"/>
        <v>100</v>
      </c>
      <c r="V35" s="702" t="s">
        <v>14</v>
      </c>
      <c r="W35" s="703">
        <f t="shared" si="12"/>
        <v>100</v>
      </c>
      <c r="X35" s="1352"/>
      <c r="Y35" s="3874"/>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9"/>
      <c r="M36" s="2713"/>
      <c r="N36" s="2713"/>
      <c r="O36" s="2771"/>
      <c r="P36" s="3931" t="s">
        <v>1696</v>
      </c>
      <c r="Q36" s="1349">
        <f t="shared" si="8"/>
        <v>111</v>
      </c>
      <c r="R36" s="702" t="s">
        <v>14</v>
      </c>
      <c r="S36" s="703">
        <f t="shared" si="10"/>
        <v>100</v>
      </c>
      <c r="T36" s="702" t="s">
        <v>14</v>
      </c>
      <c r="U36" s="703">
        <f t="shared" si="11"/>
        <v>100</v>
      </c>
      <c r="V36" s="702" t="s">
        <v>14</v>
      </c>
      <c r="W36" s="703">
        <f t="shared" si="12"/>
        <v>100</v>
      </c>
      <c r="X36" s="1352"/>
      <c r="Y36" s="3878" t="s">
        <v>1696</v>
      </c>
      <c r="Z36" s="1353">
        <f t="shared" si="13"/>
        <v>111</v>
      </c>
      <c r="AA36" s="1350">
        <f t="shared" si="3"/>
        <v>1</v>
      </c>
      <c r="AB36" s="1350">
        <f t="shared" si="4"/>
        <v>1</v>
      </c>
      <c r="AC36" s="1350">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8"/>
      <c r="M37" s="2720"/>
      <c r="N37" s="2720"/>
      <c r="O37" s="2772"/>
      <c r="P37" s="3878"/>
      <c r="Q37" s="1349">
        <f t="shared" si="8"/>
        <v>111</v>
      </c>
      <c r="R37" s="705" t="s">
        <v>14</v>
      </c>
      <c r="S37" s="706">
        <f t="shared" si="10"/>
        <v>100</v>
      </c>
      <c r="T37" s="705" t="s">
        <v>14</v>
      </c>
      <c r="U37" s="706">
        <f t="shared" si="11"/>
        <v>100</v>
      </c>
      <c r="V37" s="705" t="s">
        <v>14</v>
      </c>
      <c r="W37" s="706">
        <f t="shared" si="12"/>
        <v>100</v>
      </c>
      <c r="X37" s="707"/>
      <c r="Y37" s="3878"/>
      <c r="Z37" s="708">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9"/>
      <c r="M38" s="2713"/>
      <c r="N38" s="2713"/>
      <c r="O38" s="2771"/>
      <c r="P38" s="3878"/>
      <c r="Q38" s="1349" t="str">
        <f>B38</f>
        <v>宗地面积</v>
      </c>
      <c r="R38" s="702" t="s">
        <v>14</v>
      </c>
      <c r="S38" s="703" t="e">
        <f t="shared" si="10"/>
        <v>#N/A</v>
      </c>
      <c r="T38" s="702" t="s">
        <v>14</v>
      </c>
      <c r="U38" s="703" t="e">
        <f t="shared" si="11"/>
        <v>#N/A</v>
      </c>
      <c r="V38" s="702" t="s">
        <v>14</v>
      </c>
      <c r="W38" s="703" t="e">
        <f t="shared" si="12"/>
        <v>#N/A</v>
      </c>
      <c r="X38" s="1352"/>
      <c r="Y38" s="3878"/>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9"/>
      <c r="M39" s="2713"/>
      <c r="N39" s="2713"/>
      <c r="O39" s="2771"/>
      <c r="P39" s="3878"/>
      <c r="Q39" s="1349" t="str">
        <f t="shared" ref="Q39:Q45" si="14">B39</f>
        <v>宗地形状</v>
      </c>
      <c r="R39" s="702" t="s">
        <v>14</v>
      </c>
      <c r="S39" s="703">
        <f t="shared" si="10"/>
        <v>100</v>
      </c>
      <c r="T39" s="702" t="s">
        <v>14</v>
      </c>
      <c r="U39" s="703">
        <f t="shared" si="11"/>
        <v>100</v>
      </c>
      <c r="V39" s="702" t="s">
        <v>14</v>
      </c>
      <c r="W39" s="703">
        <f t="shared" si="12"/>
        <v>100</v>
      </c>
      <c r="X39" s="1352"/>
      <c r="Y39" s="3878"/>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9"/>
      <c r="M40" s="2713"/>
      <c r="N40" s="2713"/>
      <c r="O40" s="2771"/>
      <c r="P40" s="3878"/>
      <c r="Q40" s="1349" t="str">
        <f t="shared" si="14"/>
        <v>临街宽度及深度</v>
      </c>
      <c r="R40" s="702" t="s">
        <v>14</v>
      </c>
      <c r="S40" s="703">
        <f t="shared" si="10"/>
        <v>100</v>
      </c>
      <c r="T40" s="702" t="s">
        <v>14</v>
      </c>
      <c r="U40" s="703">
        <f t="shared" si="11"/>
        <v>100</v>
      </c>
      <c r="V40" s="702" t="s">
        <v>14</v>
      </c>
      <c r="W40" s="703">
        <f t="shared" si="12"/>
        <v>100</v>
      </c>
      <c r="X40" s="1352"/>
      <c r="Y40" s="3878"/>
      <c r="Z40" s="1353" t="str">
        <f t="shared" si="13"/>
        <v>临街宽度及深度</v>
      </c>
      <c r="AA40" s="1350">
        <f t="shared" si="3"/>
        <v>1</v>
      </c>
      <c r="AB40" s="1350">
        <f t="shared" si="4"/>
        <v>1</v>
      </c>
      <c r="AC40" s="1350">
        <f t="shared" si="5"/>
        <v>1</v>
      </c>
    </row>
    <row r="41" spans="1:29" s="107"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14"/>
      <c r="M41" s="2715"/>
      <c r="N41" s="2715"/>
      <c r="O41" s="2769"/>
      <c r="P41" s="3878"/>
      <c r="Q41" s="1349" t="str">
        <f t="shared" si="14"/>
        <v>宗地开发程度</v>
      </c>
      <c r="R41" s="698" t="s">
        <v>14</v>
      </c>
      <c r="S41" s="699">
        <f t="shared" si="10"/>
        <v>100</v>
      </c>
      <c r="T41" s="698" t="s">
        <v>14</v>
      </c>
      <c r="U41" s="699">
        <f t="shared" si="11"/>
        <v>100</v>
      </c>
      <c r="V41" s="698" t="s">
        <v>14</v>
      </c>
      <c r="W41" s="699">
        <f t="shared" si="12"/>
        <v>100</v>
      </c>
      <c r="X41" s="700"/>
      <c r="Y41" s="3878"/>
      <c r="Z41" s="52" t="str">
        <f t="shared" si="13"/>
        <v>宗地开发程度</v>
      </c>
      <c r="AA41" s="701">
        <f t="shared" si="3"/>
        <v>1</v>
      </c>
      <c r="AB41" s="701">
        <f t="shared" si="4"/>
        <v>1</v>
      </c>
      <c r="AC41" s="701">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9"/>
      <c r="M42" s="2713"/>
      <c r="N42" s="2713"/>
      <c r="O42" s="2771"/>
      <c r="P42" s="3878" t="s">
        <v>1696</v>
      </c>
      <c r="Q42" s="1349" t="str">
        <f t="shared" si="14"/>
        <v>工程地质条件</v>
      </c>
      <c r="R42" s="702" t="s">
        <v>14</v>
      </c>
      <c r="S42" s="703">
        <f t="shared" si="10"/>
        <v>100</v>
      </c>
      <c r="T42" s="702" t="s">
        <v>14</v>
      </c>
      <c r="U42" s="703">
        <f t="shared" si="11"/>
        <v>100</v>
      </c>
      <c r="V42" s="702" t="s">
        <v>14</v>
      </c>
      <c r="W42" s="703">
        <f t="shared" si="12"/>
        <v>100</v>
      </c>
      <c r="X42" s="1352"/>
      <c r="Y42" s="3878"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9"/>
      <c r="M43" s="2713"/>
      <c r="N43" s="2713"/>
      <c r="O43" s="2771"/>
      <c r="P43" s="3878"/>
      <c r="Q43" s="1349">
        <f t="shared" si="14"/>
        <v>111</v>
      </c>
      <c r="R43" s="702" t="s">
        <v>14</v>
      </c>
      <c r="S43" s="703">
        <f t="shared" si="10"/>
        <v>100</v>
      </c>
      <c r="T43" s="702" t="s">
        <v>14</v>
      </c>
      <c r="U43" s="703">
        <f t="shared" si="11"/>
        <v>100</v>
      </c>
      <c r="V43" s="702" t="s">
        <v>14</v>
      </c>
      <c r="W43" s="703">
        <f t="shared" si="12"/>
        <v>100</v>
      </c>
      <c r="X43" s="1352"/>
      <c r="Y43" s="3878"/>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9"/>
      <c r="M44" s="2713"/>
      <c r="N44" s="2713"/>
      <c r="O44" s="2771"/>
      <c r="P44" s="3878"/>
      <c r="Q44" s="1349">
        <f t="shared" si="14"/>
        <v>111</v>
      </c>
      <c r="R44" s="702" t="s">
        <v>14</v>
      </c>
      <c r="S44" s="703">
        <f t="shared" si="10"/>
        <v>100</v>
      </c>
      <c r="T44" s="702" t="s">
        <v>14</v>
      </c>
      <c r="U44" s="703">
        <f t="shared" si="11"/>
        <v>100</v>
      </c>
      <c r="V44" s="702" t="s">
        <v>14</v>
      </c>
      <c r="W44" s="703">
        <f t="shared" si="12"/>
        <v>100</v>
      </c>
      <c r="X44" s="1352"/>
      <c r="Y44" s="3878"/>
      <c r="Z44" s="1353">
        <f t="shared" si="13"/>
        <v>111</v>
      </c>
      <c r="AA44" s="1350">
        <f t="shared" si="3"/>
        <v>1</v>
      </c>
      <c r="AB44" s="1350">
        <f t="shared" si="4"/>
        <v>1</v>
      </c>
      <c r="AC44" s="1350">
        <f t="shared" si="5"/>
        <v>1</v>
      </c>
    </row>
    <row r="45" spans="1:29" s="420" customFormat="1" ht="15.75"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8"/>
      <c r="M45" s="2720"/>
      <c r="N45" s="2720"/>
      <c r="O45" s="2772"/>
      <c r="P45" s="3878"/>
      <c r="Q45" s="1349">
        <f t="shared" si="14"/>
        <v>111</v>
      </c>
      <c r="R45" s="705" t="s">
        <v>14</v>
      </c>
      <c r="S45" s="706">
        <f t="shared" si="10"/>
        <v>100</v>
      </c>
      <c r="T45" s="705" t="s">
        <v>14</v>
      </c>
      <c r="U45" s="706">
        <f t="shared" si="11"/>
        <v>100</v>
      </c>
      <c r="V45" s="705" t="s">
        <v>14</v>
      </c>
      <c r="W45" s="706">
        <f t="shared" si="12"/>
        <v>100</v>
      </c>
      <c r="X45" s="707"/>
      <c r="Y45" s="3878"/>
      <c r="Z45" s="708">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1"/>
      <c r="L46" s="2721"/>
      <c r="M46" s="2722"/>
      <c r="N46" s="2713"/>
      <c r="O46" s="2722"/>
      <c r="P46" s="3871" t="str">
        <f>A46</f>
        <v>成交单价</v>
      </c>
      <c r="Q46" s="3871"/>
      <c r="R46" s="3902">
        <f>E46</f>
        <v>0</v>
      </c>
      <c r="S46" s="3902"/>
      <c r="T46" s="3902">
        <f>G46</f>
        <v>0</v>
      </c>
      <c r="U46" s="3902"/>
      <c r="V46" s="3902">
        <f>I46</f>
        <v>0</v>
      </c>
      <c r="W46" s="3902"/>
      <c r="X46" s="687"/>
      <c r="Y46" s="709"/>
      <c r="Z46" s="687"/>
      <c r="AA46" s="687"/>
      <c r="AB46" s="687"/>
      <c r="AC46" s="687"/>
    </row>
    <row r="47" spans="1:29" ht="15.75" thickBot="1">
      <c r="A47" s="435" t="s">
        <v>1793</v>
      </c>
      <c r="B47" s="629"/>
      <c r="C47" s="438" t="e">
        <f>R48</f>
        <v>#DIV/0!</v>
      </c>
      <c r="D47" s="2314" t="s">
        <v>2138</v>
      </c>
      <c r="E47" s="438" t="e">
        <f>R47</f>
        <v>#DIV/0!</v>
      </c>
      <c r="F47" s="2315"/>
      <c r="G47" s="437" t="e">
        <f>T47</f>
        <v>#DIV/0!</v>
      </c>
      <c r="H47" s="2315"/>
      <c r="I47" s="438" t="e">
        <f>V47</f>
        <v>#DIV/0!</v>
      </c>
      <c r="J47" s="2315"/>
      <c r="K47" s="2317">
        <f>F47+H47+J47</f>
        <v>0</v>
      </c>
      <c r="L47" s="2721"/>
      <c r="M47" s="2722"/>
      <c r="N47" s="2722"/>
      <c r="O47" s="2722"/>
      <c r="P47" s="3871" t="str">
        <f>A47</f>
        <v>比较价值（元/平方米）</v>
      </c>
      <c r="Q47" s="3871"/>
      <c r="R47" s="3933" t="e">
        <f>ROUND(PRODUCT(R46,AA7:AA45),0)</f>
        <v>#DIV/0!</v>
      </c>
      <c r="S47" s="3933"/>
      <c r="T47" s="3933" t="e">
        <f>ROUND(PRODUCT(T46,AB7:AB45),0)</f>
        <v>#DIV/0!</v>
      </c>
      <c r="U47" s="3933"/>
      <c r="V47" s="3933" t="e">
        <f>ROUND(PRODUCT(V46,AC7:AC45),0)</f>
        <v>#DIV/0!</v>
      </c>
      <c r="W47" s="3933"/>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21"/>
      <c r="M48" s="2722"/>
      <c r="N48" s="2722"/>
      <c r="O48" s="2722"/>
      <c r="P48" s="3868" t="str">
        <f>A48</f>
        <v>估价对象XX用房的比较价值（楼面单价，元/平方米）</v>
      </c>
      <c r="Q48" s="3869"/>
      <c r="R48" s="3934" t="e">
        <f>ROUND(IF(D47="简单平均",AVERAGE(R47:W47),R47*F47+T47*H47+V47*J47),0)</f>
        <v>#DIV/0!</v>
      </c>
      <c r="S48" s="3934"/>
      <c r="T48" s="3934"/>
      <c r="U48" s="3934"/>
      <c r="V48" s="3934"/>
      <c r="W48" s="3934"/>
      <c r="X48" s="687"/>
      <c r="Y48" s="687"/>
      <c r="Z48" s="687"/>
      <c r="AA48" s="687"/>
      <c r="AB48" s="687"/>
      <c r="AC48" s="687"/>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49" customFormat="1" ht="13.5" customHeight="1">
      <c r="A53" s="2725"/>
      <c r="B53" s="2725"/>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49" customFormat="1" ht="15" thickBot="1">
      <c r="A54" s="2725"/>
      <c r="B54" s="2728"/>
      <c r="C54" s="690"/>
      <c r="D54" s="688"/>
      <c r="E54" s="688"/>
      <c r="F54" s="688"/>
      <c r="G54" s="688"/>
      <c r="H54" s="688"/>
      <c r="I54" s="688"/>
      <c r="J54" s="688"/>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0" t="s">
        <v>1881</v>
      </c>
      <c r="B55" s="631" t="s">
        <v>1882</v>
      </c>
      <c r="C55" s="1980" t="s">
        <v>1883</v>
      </c>
      <c r="D55" s="1981" t="s">
        <v>1884</v>
      </c>
      <c r="E55" s="632" t="s">
        <v>1885</v>
      </c>
      <c r="F55" s="887" t="s">
        <v>1886</v>
      </c>
      <c r="G55" s="3886" t="s">
        <v>1887</v>
      </c>
      <c r="H55" s="3935"/>
      <c r="I55" s="133"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38" customFormat="1">
      <c r="A56" s="634" t="s">
        <v>1890</v>
      </c>
      <c r="B56" s="635" t="e">
        <f>C48</f>
        <v>#DIV/0!</v>
      </c>
      <c r="C56" s="636">
        <v>1</v>
      </c>
      <c r="D56" s="941">
        <v>1</v>
      </c>
      <c r="E56" s="636">
        <f>'数据-汇总表'!E8+'数据-汇总表'!E9</f>
        <v>9775.8700000000008</v>
      </c>
      <c r="F56" s="883" t="e">
        <f t="shared" ref="F56:F64" si="15">ROUND(B56*E56/10000,0)</f>
        <v>#DIV/0!</v>
      </c>
      <c r="G56" s="3882"/>
      <c r="H56" s="3871"/>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8" customFormat="1">
      <c r="A57" s="639" t="s">
        <v>1891</v>
      </c>
      <c r="B57" s="216" t="e">
        <f>ROUND($C$48*C57*D57,0)</f>
        <v>#DIV/0!</v>
      </c>
      <c r="C57" s="169">
        <f t="shared" ref="C57:C64" si="16">IF($C$55="北京市系数",I57,J57)</f>
        <v>0</v>
      </c>
      <c r="D57" s="942">
        <v>0.25</v>
      </c>
      <c r="E57" s="640"/>
      <c r="F57" s="883" t="e">
        <f t="shared" si="15"/>
        <v>#DIV/0!</v>
      </c>
      <c r="G57" s="3003" t="s">
        <v>1892</v>
      </c>
      <c r="H57" s="884">
        <f>项目基本情况!B37</f>
        <v>0</v>
      </c>
      <c r="I57" s="888">
        <f>SUMIF(修正!A57:A68,H57,修正!B57:B68)</f>
        <v>0</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38" customFormat="1">
      <c r="A58" s="639" t="s">
        <v>1893</v>
      </c>
      <c r="B58" s="216" t="e">
        <f t="shared" ref="B58:B64" si="17">ROUND($C$48*C58*D58,0)</f>
        <v>#DIV/0!</v>
      </c>
      <c r="C58" s="169">
        <f t="shared" si="16"/>
        <v>0</v>
      </c>
      <c r="D58" s="942">
        <v>0.25</v>
      </c>
      <c r="E58" s="640"/>
      <c r="F58" s="883" t="e">
        <f t="shared" si="15"/>
        <v>#DIV/0!</v>
      </c>
      <c r="G58" s="3004"/>
      <c r="H58" s="884">
        <f>项目基本情况!B37</f>
        <v>0</v>
      </c>
      <c r="I58" s="888">
        <f>SUMIF(修正!A57:A68,H58,修正!C57:C68)</f>
        <v>0</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38" customFormat="1">
      <c r="A59" s="639" t="s">
        <v>1894</v>
      </c>
      <c r="B59" s="216" t="e">
        <f t="shared" si="17"/>
        <v>#DIV/0!</v>
      </c>
      <c r="C59" s="169">
        <f t="shared" si="16"/>
        <v>0</v>
      </c>
      <c r="D59" s="942">
        <v>0.25</v>
      </c>
      <c r="E59" s="640"/>
      <c r="F59" s="883" t="e">
        <f t="shared" si="15"/>
        <v>#DIV/0!</v>
      </c>
      <c r="G59" s="3004"/>
      <c r="H59" s="884">
        <f>项目基本情况!B37</f>
        <v>0</v>
      </c>
      <c r="I59" s="888">
        <f>SUMIF(修正!A57:A68,H59,修正!D57:D68)</f>
        <v>0</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38" customFormat="1">
      <c r="A60" s="639" t="s">
        <v>1895</v>
      </c>
      <c r="B60" s="216" t="e">
        <f t="shared" si="17"/>
        <v>#DIV/0!</v>
      </c>
      <c r="C60" s="169">
        <f t="shared" si="16"/>
        <v>0.3</v>
      </c>
      <c r="D60" s="942">
        <v>0.25</v>
      </c>
      <c r="E60" s="215">
        <f>'数据-汇总表'!E11</f>
        <v>2224.3599999999997</v>
      </c>
      <c r="F60" s="883" t="e">
        <f t="shared" si="15"/>
        <v>#DIV/0!</v>
      </c>
      <c r="G60" s="1984" t="s">
        <v>1896</v>
      </c>
      <c r="H60" s="884" t="str">
        <f>项目基本情况!C37</f>
        <v>二级</v>
      </c>
      <c r="I60" s="888">
        <f>SUMIF(修正!A57:A68,H60,修正!E57:E68)</f>
        <v>0.3</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38" customFormat="1">
      <c r="A61" s="639" t="s">
        <v>1897</v>
      </c>
      <c r="B61" s="216" t="e">
        <f t="shared" si="17"/>
        <v>#DIV/0!</v>
      </c>
      <c r="C61" s="169">
        <f t="shared" si="16"/>
        <v>0.3</v>
      </c>
      <c r="D61" s="942">
        <v>0.25</v>
      </c>
      <c r="E61" s="215">
        <f>'数据-汇总表'!E12</f>
        <v>0</v>
      </c>
      <c r="F61" s="883" t="e">
        <f t="shared" si="15"/>
        <v>#DIV/0!</v>
      </c>
      <c r="G61" s="889" t="s">
        <v>1898</v>
      </c>
      <c r="H61" s="884" t="str">
        <f>IF(G61="商业",项目基本情况!B37,IF(G61="办公",项目基本情况!C37,IF(G61="住宅",项目基本情况!D37,项目基本情况!E37)))</f>
        <v>二级</v>
      </c>
      <c r="I61" s="888">
        <f>SUMIF(修正!A57:A68,H61,修正!F57:F68)</f>
        <v>0.3</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38" customFormat="1">
      <c r="A62" s="639" t="s">
        <v>1899</v>
      </c>
      <c r="B62" s="216" t="e">
        <f t="shared" si="17"/>
        <v>#DIV/0!</v>
      </c>
      <c r="C62" s="169">
        <f t="shared" si="16"/>
        <v>0</v>
      </c>
      <c r="D62" s="942">
        <v>0.25</v>
      </c>
      <c r="E62" s="215">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38" customFormat="1">
      <c r="A63" s="639" t="s">
        <v>1901</v>
      </c>
      <c r="B63" s="216" t="e">
        <f t="shared" si="17"/>
        <v>#DIV/0!</v>
      </c>
      <c r="C63" s="169">
        <f t="shared" si="16"/>
        <v>0</v>
      </c>
      <c r="D63" s="942">
        <v>0.25</v>
      </c>
      <c r="E63" s="215">
        <f>'数据-汇总表'!E14</f>
        <v>0</v>
      </c>
      <c r="F63" s="883" t="e">
        <f t="shared" si="15"/>
        <v>#DIV/0!</v>
      </c>
      <c r="G63" s="1984" t="s">
        <v>1892</v>
      </c>
      <c r="H63" s="884">
        <f>项目基本情况!B37</f>
        <v>0</v>
      </c>
      <c r="I63" s="888">
        <f>SUMIF(修正!A57:A68,H63,修正!G57:G68)</f>
        <v>0</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38" customFormat="1" ht="15" thickBot="1">
      <c r="A64" s="639" t="s">
        <v>1902</v>
      </c>
      <c r="B64" s="216" t="e">
        <f t="shared" si="17"/>
        <v>#DIV/0!</v>
      </c>
      <c r="C64" s="169">
        <f t="shared" si="16"/>
        <v>0.2</v>
      </c>
      <c r="D64" s="942">
        <v>0.25</v>
      </c>
      <c r="E64" s="215">
        <f>'数据-汇总表'!E15</f>
        <v>0</v>
      </c>
      <c r="F64" s="883" t="e">
        <f t="shared" si="15"/>
        <v>#DIV/0!</v>
      </c>
      <c r="G64" s="1985" t="s">
        <v>1896</v>
      </c>
      <c r="H64" s="894" t="str">
        <f>项目基本情况!C37</f>
        <v>二级</v>
      </c>
      <c r="I64" s="890">
        <f>SUMIF(修正!A57:A68,H64,修正!G57:G68)</f>
        <v>0.2</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38" customFormat="1" ht="13.5" thickBot="1">
      <c r="A65" s="641" t="s">
        <v>1903</v>
      </c>
      <c r="B65" s="642" t="s">
        <v>22</v>
      </c>
      <c r="C65" s="642" t="s">
        <v>23</v>
      </c>
      <c r="D65" s="642" t="s">
        <v>392</v>
      </c>
      <c r="E65" s="642">
        <f>IF(B46="楼面地价",SUM(E56:E64),'数据-汇总表'!D3)</f>
        <v>12000.23</v>
      </c>
      <c r="F65" s="643" t="e">
        <f>IF(B46="楼面地价",SUM(F56:F64),ROUND(C48*E65/10000,0))</f>
        <v>#DIV/0!</v>
      </c>
      <c r="G65" s="714"/>
      <c r="H65" s="714"/>
      <c r="I65" s="714"/>
      <c r="J65" s="714"/>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7"/>
      <c r="B66" s="689"/>
      <c r="C66" s="690"/>
      <c r="D66" s="687"/>
      <c r="E66" s="687"/>
      <c r="F66" s="687"/>
      <c r="G66" s="687"/>
      <c r="H66" s="687"/>
      <c r="I66" s="687"/>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87"/>
      <c r="B67" s="689"/>
      <c r="C67" s="689" t="str">
        <f>YEAR(C7)&amp;"-"&amp;MONTH(C7)&amp;"-1"</f>
        <v>2023-1-1</v>
      </c>
      <c r="D67" s="689">
        <f>EDATE(C67,-3)</f>
        <v>44835</v>
      </c>
      <c r="E67" s="689">
        <f>EDATE(D67,-3)</f>
        <v>44743</v>
      </c>
      <c r="F67" s="689">
        <f t="shared" ref="F67:O67" si="18">EDATE(E67,-3)</f>
        <v>44652</v>
      </c>
      <c r="G67" s="689">
        <f t="shared" si="18"/>
        <v>44562</v>
      </c>
      <c r="H67" s="689">
        <f t="shared" si="18"/>
        <v>44470</v>
      </c>
      <c r="I67" s="689">
        <f t="shared" si="18"/>
        <v>44378</v>
      </c>
      <c r="J67" s="689">
        <f t="shared" si="18"/>
        <v>44287</v>
      </c>
      <c r="K67" s="689">
        <f t="shared" si="18"/>
        <v>44197</v>
      </c>
      <c r="L67" s="689">
        <f t="shared" si="18"/>
        <v>44105</v>
      </c>
      <c r="M67" s="689">
        <f t="shared" si="18"/>
        <v>44013</v>
      </c>
      <c r="N67" s="689">
        <f t="shared" si="18"/>
        <v>43922</v>
      </c>
      <c r="O67" s="689">
        <f t="shared" si="18"/>
        <v>43831</v>
      </c>
      <c r="P67" s="2722"/>
      <c r="Q67" s="2722"/>
      <c r="R67" s="2722"/>
      <c r="S67" s="2722"/>
      <c r="T67" s="2722"/>
      <c r="U67" s="2722"/>
      <c r="V67" s="2722"/>
      <c r="W67" s="2722"/>
      <c r="X67" s="2722"/>
      <c r="Y67" s="2722"/>
      <c r="Z67" s="2722"/>
      <c r="AA67" s="2722"/>
      <c r="AB67" s="2722"/>
      <c r="AC67" s="2722"/>
    </row>
    <row r="68" spans="1:29" ht="21.75" thickBot="1">
      <c r="A68" s="691" t="s">
        <v>1798</v>
      </c>
      <c r="B68" s="687"/>
      <c r="C68" s="692"/>
      <c r="D68" s="692"/>
      <c r="E68" s="692"/>
      <c r="F68" s="693"/>
      <c r="G68" s="693"/>
      <c r="H68" s="692"/>
      <c r="I68" s="692"/>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5" customFormat="1" ht="15">
      <c r="A69" s="1986" t="s">
        <v>1904</v>
      </c>
      <c r="B69" s="1106"/>
      <c r="C69" s="1179" t="str">
        <f>YEAR(C67)&amp;"-"&amp;ROUNDUP(MONTH(C67)/3,0)</f>
        <v>2023-1</v>
      </c>
      <c r="D69" s="1179" t="str">
        <f>YEAR(D67)&amp;"-"&amp;ROUNDUP(MONTH(D67)/3,0)</f>
        <v>2022-4</v>
      </c>
      <c r="E69" s="1179" t="str">
        <f t="shared" ref="E69:O69" si="19">YEAR(E67)&amp;"-"&amp;ROUNDUP(MONTH(E67)/3,0)</f>
        <v>2022-3</v>
      </c>
      <c r="F69" s="1179" t="str">
        <f t="shared" si="19"/>
        <v>2022-2</v>
      </c>
      <c r="G69" s="1179" t="str">
        <f t="shared" si="19"/>
        <v>2022-1</v>
      </c>
      <c r="H69" s="1179" t="str">
        <f t="shared" si="19"/>
        <v>2021-4</v>
      </c>
      <c r="I69" s="1179" t="str">
        <f t="shared" si="19"/>
        <v>2021-3</v>
      </c>
      <c r="J69" s="1179" t="str">
        <f t="shared" si="19"/>
        <v>2021-2</v>
      </c>
      <c r="K69" s="1179" t="str">
        <f t="shared" si="19"/>
        <v>2021-1</v>
      </c>
      <c r="L69" s="1179" t="str">
        <f t="shared" si="19"/>
        <v>2020-4</v>
      </c>
      <c r="M69" s="1179" t="str">
        <f t="shared" si="19"/>
        <v>2020-3</v>
      </c>
      <c r="N69" s="1179" t="str">
        <f t="shared" si="19"/>
        <v>2020-2</v>
      </c>
      <c r="O69" s="1179" t="str">
        <f t="shared" si="19"/>
        <v>2020-1</v>
      </c>
      <c r="P69" s="2773"/>
      <c r="Q69" s="2738"/>
      <c r="R69" s="2738"/>
      <c r="S69" s="2738"/>
      <c r="T69" s="2738"/>
      <c r="U69" s="2738"/>
      <c r="V69" s="2738"/>
      <c r="W69" s="2738"/>
      <c r="X69" s="2738"/>
      <c r="Y69" s="2738"/>
      <c r="Z69" s="2738"/>
      <c r="AA69" s="2738"/>
      <c r="AB69" s="2738"/>
      <c r="AC69" s="2738"/>
    </row>
    <row r="70" spans="1:29" s="107"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6"/>
      <c r="Q70" s="2658"/>
      <c r="R70" s="2658"/>
      <c r="S70" s="2658"/>
      <c r="T70" s="2658"/>
      <c r="U70" s="2658"/>
      <c r="V70" s="2658"/>
      <c r="W70" s="2658"/>
      <c r="X70" s="2658"/>
      <c r="Y70" s="2658"/>
      <c r="Z70" s="2658"/>
      <c r="AA70" s="2658"/>
      <c r="AB70" s="2658"/>
      <c r="AC70" s="2658"/>
    </row>
    <row r="71" spans="1:29" s="107" customFormat="1" ht="15.75" thickBot="1">
      <c r="A71" s="462" t="s">
        <v>1716</v>
      </c>
      <c r="B71" s="463"/>
      <c r="C71" s="464"/>
      <c r="D71" s="465"/>
      <c r="E71" s="465"/>
      <c r="F71" s="465"/>
      <c r="G71" s="465"/>
      <c r="H71" s="465"/>
      <c r="I71" s="465"/>
      <c r="J71" s="465"/>
      <c r="K71" s="465"/>
      <c r="L71" s="465"/>
      <c r="M71" s="466"/>
      <c r="N71" s="465"/>
      <c r="O71" s="940"/>
      <c r="P71" s="2736"/>
      <c r="Q71" s="2736"/>
      <c r="R71" s="2658"/>
      <c r="S71" s="2658"/>
      <c r="T71" s="2658"/>
      <c r="U71" s="2658"/>
      <c r="V71" s="2658"/>
      <c r="W71" s="2658"/>
      <c r="X71" s="2658"/>
      <c r="Y71" s="2658"/>
      <c r="Z71" s="2658"/>
      <c r="AA71" s="2658"/>
      <c r="AB71" s="2658"/>
      <c r="AC71" s="2658"/>
    </row>
    <row r="72" spans="1:29" s="107" customFormat="1" ht="15">
      <c r="A72" s="468" t="s">
        <v>1681</v>
      </c>
      <c r="B72" s="457"/>
      <c r="C72" s="469" t="s">
        <v>1776</v>
      </c>
      <c r="D72" s="470"/>
      <c r="E72" s="470"/>
      <c r="F72" s="470"/>
      <c r="G72" s="470"/>
      <c r="H72" s="470"/>
      <c r="I72" s="470"/>
      <c r="J72" s="470"/>
      <c r="K72" s="470"/>
      <c r="L72" s="471"/>
      <c r="M72" s="472"/>
      <c r="N72" s="2749"/>
      <c r="O72" s="2749"/>
      <c r="P72" s="2774"/>
      <c r="Q72" s="2736"/>
      <c r="R72" s="2658"/>
      <c r="S72" s="2658"/>
      <c r="T72" s="2658"/>
      <c r="U72" s="2658"/>
      <c r="V72" s="2658"/>
      <c r="W72" s="2658"/>
      <c r="X72" s="2658"/>
      <c r="Y72" s="2658"/>
      <c r="Z72" s="2658"/>
      <c r="AA72" s="2658"/>
      <c r="AB72" s="2658"/>
      <c r="AC72" s="2658"/>
    </row>
    <row r="73" spans="1:29" s="107" customFormat="1" ht="15.75" thickBot="1">
      <c r="A73" s="468"/>
      <c r="B73" s="457"/>
      <c r="C73" s="585">
        <v>100</v>
      </c>
      <c r="D73" s="459"/>
      <c r="E73" s="459"/>
      <c r="F73" s="459"/>
      <c r="G73" s="459"/>
      <c r="H73" s="459"/>
      <c r="I73" s="459"/>
      <c r="J73" s="459"/>
      <c r="K73" s="459"/>
      <c r="L73" s="459"/>
      <c r="M73" s="461"/>
      <c r="N73" s="2749"/>
      <c r="O73" s="2749"/>
      <c r="P73" s="2736"/>
      <c r="Q73" s="2736"/>
      <c r="R73" s="2658"/>
      <c r="S73" s="2658"/>
      <c r="T73" s="2658"/>
      <c r="U73" s="2658"/>
      <c r="V73" s="2658"/>
      <c r="W73" s="2658"/>
      <c r="X73" s="2658"/>
      <c r="Y73" s="2658"/>
      <c r="Z73" s="2658"/>
      <c r="AA73" s="2658"/>
      <c r="AB73" s="2658"/>
      <c r="AC73" s="2658"/>
    </row>
    <row r="74" spans="1:29">
      <c r="A74" s="474" t="s">
        <v>1719</v>
      </c>
      <c r="B74" s="475" t="s">
        <v>1685</v>
      </c>
      <c r="C74" s="477"/>
      <c r="D74" s="477"/>
      <c r="E74" s="477"/>
      <c r="F74" s="477"/>
      <c r="G74" s="477"/>
      <c r="H74" s="477"/>
      <c r="I74" s="477"/>
      <c r="J74" s="477"/>
      <c r="K74" s="478"/>
      <c r="L74" s="479"/>
      <c r="M74" s="480"/>
      <c r="N74" s="2750"/>
      <c r="O74" s="2750"/>
      <c r="P74" s="2775"/>
      <c r="Q74" s="2736"/>
      <c r="R74" s="2722"/>
      <c r="S74" s="2722"/>
      <c r="T74" s="2722"/>
      <c r="U74" s="2722"/>
      <c r="V74" s="2722"/>
      <c r="W74" s="2722"/>
      <c r="X74" s="2722"/>
      <c r="Y74" s="2722"/>
      <c r="Z74" s="2722"/>
      <c r="AA74" s="2722"/>
      <c r="AB74" s="2722"/>
      <c r="AC74" s="2722"/>
    </row>
    <row r="75" spans="1:29" ht="15.75" thickBot="1">
      <c r="A75" s="481"/>
      <c r="B75" s="482"/>
      <c r="C75" s="483"/>
      <c r="D75" s="483"/>
      <c r="E75" s="483"/>
      <c r="F75" s="483"/>
      <c r="G75" s="483"/>
      <c r="H75" s="483"/>
      <c r="I75" s="483"/>
      <c r="J75" s="483"/>
      <c r="K75" s="483"/>
      <c r="L75" s="483"/>
      <c r="M75" s="484"/>
      <c r="N75" s="2751"/>
      <c r="O75" s="2751"/>
      <c r="P75" s="2775"/>
      <c r="Q75" s="2736"/>
      <c r="R75" s="2722"/>
      <c r="S75" s="2722"/>
      <c r="T75" s="2722"/>
      <c r="U75" s="2722"/>
      <c r="V75" s="2722"/>
      <c r="W75" s="2722"/>
      <c r="X75" s="2722"/>
      <c r="Y75" s="2722"/>
      <c r="Z75" s="2722"/>
      <c r="AA75" s="2722"/>
      <c r="AB75" s="2722"/>
      <c r="AC75" s="2722"/>
    </row>
    <row r="76" spans="1:29" ht="27.75" thickTop="1">
      <c r="A76" s="481"/>
      <c r="B76" s="485" t="s">
        <v>1688</v>
      </c>
      <c r="C76" s="486"/>
      <c r="D76" s="486"/>
      <c r="E76" s="486"/>
      <c r="F76" s="486"/>
      <c r="G76" s="486"/>
      <c r="H76" s="486"/>
      <c r="I76" s="486"/>
      <c r="J76" s="486"/>
      <c r="K76" s="487"/>
      <c r="L76" s="488"/>
      <c r="M76" s="489"/>
      <c r="N76" s="2750"/>
      <c r="O76" s="2750"/>
      <c r="P76" s="2775"/>
      <c r="Q76" s="2736"/>
      <c r="R76" s="2722"/>
      <c r="S76" s="2722"/>
      <c r="T76" s="2722"/>
      <c r="U76" s="2722"/>
      <c r="V76" s="2722"/>
      <c r="W76" s="2722"/>
      <c r="X76" s="2722"/>
      <c r="Y76" s="2722"/>
      <c r="Z76" s="2722"/>
      <c r="AA76" s="2722"/>
      <c r="AB76" s="2722"/>
      <c r="AC76" s="2722"/>
    </row>
    <row r="77" spans="1:29" ht="15.75" thickBot="1">
      <c r="A77" s="481"/>
      <c r="B77" s="490"/>
      <c r="C77" s="491"/>
      <c r="D77" s="491"/>
      <c r="E77" s="491"/>
      <c r="F77" s="491"/>
      <c r="G77" s="491"/>
      <c r="H77" s="491"/>
      <c r="I77" s="491"/>
      <c r="J77" s="491"/>
      <c r="K77" s="491"/>
      <c r="L77" s="491"/>
      <c r="M77" s="492"/>
      <c r="N77" s="2751"/>
      <c r="O77" s="2751"/>
      <c r="P77" s="2775"/>
      <c r="Q77" s="2736"/>
      <c r="R77" s="2722"/>
      <c r="S77" s="2722"/>
      <c r="T77" s="2722"/>
      <c r="U77" s="2722"/>
      <c r="V77" s="2722"/>
      <c r="W77" s="2722"/>
      <c r="X77" s="2722"/>
      <c r="Y77" s="2722"/>
      <c r="Z77" s="2722"/>
      <c r="AA77" s="2722"/>
      <c r="AB77" s="2722"/>
      <c r="AC77" s="2722"/>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1"/>
      <c r="B79" s="495"/>
      <c r="C79" s="496"/>
      <c r="D79" s="496"/>
      <c r="E79" s="496"/>
      <c r="F79" s="496"/>
      <c r="G79" s="496"/>
      <c r="H79" s="496"/>
      <c r="I79" s="496"/>
      <c r="J79" s="496"/>
      <c r="K79" s="497"/>
      <c r="L79" s="498"/>
      <c r="M79" s="499"/>
      <c r="N79" s="2750"/>
      <c r="O79" s="2750"/>
      <c r="P79" s="2775"/>
      <c r="Q79" s="2736"/>
      <c r="R79" s="2722"/>
      <c r="S79" s="2722"/>
      <c r="T79" s="2722"/>
      <c r="U79" s="2722"/>
      <c r="V79" s="2722"/>
      <c r="W79" s="2722"/>
      <c r="X79" s="2722"/>
      <c r="Y79" s="2722"/>
      <c r="Z79" s="2722"/>
      <c r="AA79" s="2722"/>
      <c r="AB79" s="2722"/>
      <c r="AC79" s="2722"/>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1"/>
      <c r="O80" s="2751"/>
      <c r="P80" s="2775"/>
      <c r="Q80" s="2736"/>
      <c r="R80" s="2722"/>
      <c r="S80" s="2722"/>
      <c r="T80" s="2722"/>
      <c r="U80" s="2722"/>
      <c r="V80" s="2722"/>
      <c r="W80" s="2722"/>
      <c r="X80" s="2722"/>
      <c r="Y80" s="2722"/>
      <c r="Z80" s="2722"/>
      <c r="AA80" s="2722"/>
      <c r="AB80" s="2722"/>
      <c r="AC80" s="2722"/>
    </row>
    <row r="81" spans="1:29" s="420" customFormat="1" ht="15.75" thickTop="1">
      <c r="A81" s="500"/>
      <c r="B81" s="485" t="str">
        <f>B12</f>
        <v>配建</v>
      </c>
      <c r="C81" s="501"/>
      <c r="D81" s="501"/>
      <c r="E81" s="501"/>
      <c r="F81" s="501"/>
      <c r="G81" s="501"/>
      <c r="H81" s="502"/>
      <c r="I81" s="502"/>
      <c r="J81" s="502"/>
      <c r="K81" s="502"/>
      <c r="L81" s="503"/>
      <c r="M81" s="504"/>
      <c r="N81" s="2752"/>
      <c r="O81" s="2752"/>
      <c r="P81" s="2776"/>
      <c r="Q81" s="2743"/>
      <c r="R81" s="2744"/>
      <c r="S81" s="2744"/>
      <c r="T81" s="2744"/>
      <c r="U81" s="2744"/>
      <c r="V81" s="2744"/>
      <c r="W81" s="2744"/>
      <c r="X81" s="2744"/>
      <c r="Y81" s="2744"/>
      <c r="Z81" s="2744"/>
      <c r="AA81" s="2744"/>
      <c r="AB81" s="2744"/>
      <c r="AC81" s="2744"/>
    </row>
    <row r="82" spans="1:29" s="420" customFormat="1" ht="15.75" thickBot="1">
      <c r="A82" s="500"/>
      <c r="B82" s="490"/>
      <c r="C82" s="507"/>
      <c r="D82" s="483"/>
      <c r="E82" s="483"/>
      <c r="F82" s="483"/>
      <c r="G82" s="483"/>
      <c r="H82" s="483"/>
      <c r="I82" s="483"/>
      <c r="J82" s="483"/>
      <c r="K82" s="483"/>
      <c r="L82" s="483"/>
      <c r="M82" s="484"/>
      <c r="N82" s="2751"/>
      <c r="O82" s="2751"/>
      <c r="P82" s="2776"/>
      <c r="Q82" s="2743"/>
      <c r="R82" s="2744"/>
      <c r="S82" s="2744"/>
      <c r="T82" s="2744"/>
      <c r="U82" s="2744"/>
      <c r="V82" s="2744"/>
      <c r="W82" s="2744"/>
      <c r="X82" s="2744"/>
      <c r="Y82" s="2744"/>
      <c r="Z82" s="2744"/>
      <c r="AA82" s="2744"/>
      <c r="AB82" s="2744"/>
      <c r="AC82" s="2744"/>
    </row>
    <row r="83" spans="1:29" s="420" customFormat="1" ht="15.75" thickTop="1">
      <c r="A83" s="500"/>
      <c r="B83" s="485">
        <f>B13</f>
        <v>111</v>
      </c>
      <c r="C83" s="501"/>
      <c r="D83" s="501"/>
      <c r="E83" s="501"/>
      <c r="F83" s="501"/>
      <c r="G83" s="501"/>
      <c r="H83" s="502"/>
      <c r="I83" s="502"/>
      <c r="J83" s="502"/>
      <c r="K83" s="502"/>
      <c r="L83" s="503"/>
      <c r="M83" s="504"/>
      <c r="N83" s="2752"/>
      <c r="O83" s="2752"/>
      <c r="P83" s="2720"/>
      <c r="Q83" s="2746"/>
      <c r="R83" s="2744"/>
      <c r="S83" s="2744"/>
      <c r="T83" s="2744"/>
      <c r="U83" s="2744"/>
      <c r="V83" s="2744"/>
      <c r="W83" s="2744"/>
      <c r="X83" s="2744"/>
      <c r="Y83" s="2744"/>
      <c r="Z83" s="2744"/>
      <c r="AA83" s="2744"/>
      <c r="AB83" s="2744"/>
      <c r="AC83" s="2744"/>
    </row>
    <row r="84" spans="1:29" s="420" customFormat="1" ht="15.75" thickBot="1">
      <c r="A84" s="500"/>
      <c r="B84" s="490"/>
      <c r="C84" s="507"/>
      <c r="D84" s="507"/>
      <c r="E84" s="507"/>
      <c r="F84" s="507"/>
      <c r="G84" s="507"/>
      <c r="H84" s="509"/>
      <c r="I84" s="509"/>
      <c r="J84" s="509"/>
      <c r="K84" s="509"/>
      <c r="L84" s="509"/>
      <c r="M84" s="510"/>
      <c r="N84" s="2752"/>
      <c r="O84" s="2752"/>
      <c r="P84" s="2776"/>
      <c r="Q84" s="2743"/>
      <c r="R84" s="2744"/>
      <c r="S84" s="2744"/>
      <c r="T84" s="2744"/>
      <c r="U84" s="2744"/>
      <c r="V84" s="2744"/>
      <c r="W84" s="2744"/>
      <c r="X84" s="2744"/>
      <c r="Y84" s="2744"/>
      <c r="Z84" s="2744"/>
      <c r="AA84" s="2744"/>
      <c r="AB84" s="2744"/>
      <c r="AC84" s="2744"/>
    </row>
    <row r="85" spans="1:29" s="420" customFormat="1" ht="15.75" thickTop="1">
      <c r="A85" s="500"/>
      <c r="B85" s="493">
        <f>B14</f>
        <v>111</v>
      </c>
      <c r="C85" s="470"/>
      <c r="D85" s="470"/>
      <c r="E85" s="470"/>
      <c r="F85" s="470"/>
      <c r="G85" s="470"/>
      <c r="H85" s="511"/>
      <c r="I85" s="511"/>
      <c r="J85" s="511"/>
      <c r="K85" s="511"/>
      <c r="L85" s="512"/>
      <c r="M85" s="513"/>
      <c r="N85" s="2752"/>
      <c r="O85" s="2752"/>
      <c r="P85" s="2781"/>
      <c r="Q85" s="2743"/>
      <c r="R85" s="2744"/>
      <c r="S85" s="2744"/>
      <c r="T85" s="2744"/>
      <c r="U85" s="2744"/>
      <c r="V85" s="2744"/>
      <c r="W85" s="2744"/>
      <c r="X85" s="2744"/>
      <c r="Y85" s="2744"/>
      <c r="Z85" s="2744"/>
      <c r="AA85" s="2744"/>
      <c r="AB85" s="2744"/>
      <c r="AC85" s="2744"/>
    </row>
    <row r="86" spans="1:29" s="420" customFormat="1" ht="15.75" thickBot="1">
      <c r="A86" s="515"/>
      <c r="B86" s="516"/>
      <c r="C86" s="517"/>
      <c r="D86" s="517"/>
      <c r="E86" s="517"/>
      <c r="F86" s="517"/>
      <c r="G86" s="517"/>
      <c r="H86" s="518"/>
      <c r="I86" s="518"/>
      <c r="J86" s="518"/>
      <c r="K86" s="518"/>
      <c r="L86" s="518"/>
      <c r="M86" s="519"/>
      <c r="N86" s="2752"/>
      <c r="O86" s="2752"/>
      <c r="P86" s="2776"/>
      <c r="Q86" s="2743"/>
      <c r="R86" s="2744"/>
      <c r="S86" s="2744"/>
      <c r="T86" s="2744"/>
      <c r="U86" s="2744"/>
      <c r="V86" s="2744"/>
      <c r="W86" s="2744"/>
      <c r="X86" s="2744"/>
      <c r="Y86" s="2744"/>
      <c r="Z86" s="2744"/>
      <c r="AA86" s="2744"/>
      <c r="AB86" s="2744"/>
      <c r="AC86" s="2744"/>
    </row>
    <row r="87" spans="1:29">
      <c r="A87" s="474" t="s">
        <v>1690</v>
      </c>
      <c r="B87" s="475" t="s">
        <v>1720</v>
      </c>
      <c r="C87" s="520" t="s">
        <v>1721</v>
      </c>
      <c r="D87" s="520" t="s">
        <v>1722</v>
      </c>
      <c r="E87" s="520" t="s">
        <v>1723</v>
      </c>
      <c r="F87" s="520" t="s">
        <v>1724</v>
      </c>
      <c r="G87" s="520" t="s">
        <v>1725</v>
      </c>
      <c r="H87" s="476"/>
      <c r="I87" s="476"/>
      <c r="J87" s="476"/>
      <c r="K87" s="521"/>
      <c r="L87" s="522"/>
      <c r="M87" s="523"/>
      <c r="N87" s="2750"/>
      <c r="O87" s="2750"/>
      <c r="P87" s="2777"/>
      <c r="Q87" s="2736"/>
      <c r="R87" s="2722"/>
      <c r="S87" s="2722"/>
      <c r="T87" s="2722"/>
      <c r="U87" s="2722"/>
      <c r="V87" s="2722"/>
      <c r="W87" s="2722"/>
      <c r="X87" s="2722"/>
      <c r="Y87" s="2722"/>
      <c r="Z87" s="2722"/>
      <c r="AA87" s="2722"/>
      <c r="AB87" s="2722"/>
      <c r="AC87" s="272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1"/>
      <c r="O88" s="2751"/>
      <c r="P88" s="2775"/>
      <c r="Q88" s="2736"/>
      <c r="R88" s="2722"/>
      <c r="S88" s="2722"/>
      <c r="T88" s="2722"/>
      <c r="U88" s="2722"/>
      <c r="V88" s="2722"/>
      <c r="W88" s="2722"/>
      <c r="X88" s="2722"/>
      <c r="Y88" s="2722"/>
      <c r="Z88" s="2722"/>
      <c r="AA88" s="2722"/>
      <c r="AB88" s="2722"/>
      <c r="AC88" s="2722"/>
    </row>
    <row r="89" spans="1:29" ht="15.75" thickTop="1">
      <c r="A89" s="481"/>
      <c r="B89" s="485" t="s">
        <v>1906</v>
      </c>
      <c r="C89" s="525" t="s">
        <v>1721</v>
      </c>
      <c r="D89" s="525" t="s">
        <v>1722</v>
      </c>
      <c r="E89" s="525" t="s">
        <v>1723</v>
      </c>
      <c r="F89" s="525" t="s">
        <v>1724</v>
      </c>
      <c r="G89" s="525" t="s">
        <v>1725</v>
      </c>
      <c r="H89" s="486"/>
      <c r="I89" s="486"/>
      <c r="J89" s="486"/>
      <c r="K89" s="487"/>
      <c r="L89" s="488"/>
      <c r="M89" s="489"/>
      <c r="N89" s="2750"/>
      <c r="O89" s="2750"/>
      <c r="P89" s="2775"/>
      <c r="Q89" s="2736"/>
      <c r="R89" s="2722"/>
      <c r="S89" s="2722"/>
      <c r="T89" s="2722"/>
      <c r="U89" s="2722"/>
      <c r="V89" s="2722"/>
      <c r="W89" s="2722"/>
      <c r="X89" s="2722"/>
      <c r="Y89" s="2722"/>
      <c r="Z89" s="2722"/>
      <c r="AA89" s="2722"/>
      <c r="AB89" s="2722"/>
      <c r="AC89" s="2722"/>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1"/>
      <c r="O90" s="2751"/>
      <c r="P90" s="2775"/>
      <c r="Q90" s="2736"/>
      <c r="R90" s="2722"/>
      <c r="S90" s="2722"/>
      <c r="T90" s="2722"/>
      <c r="U90" s="2722"/>
      <c r="V90" s="2722"/>
      <c r="W90" s="2722"/>
      <c r="X90" s="2722"/>
      <c r="Y90" s="2722"/>
      <c r="Z90" s="2722"/>
      <c r="AA90" s="2722"/>
      <c r="AB90" s="2722"/>
      <c r="AC90" s="2722"/>
    </row>
    <row r="91" spans="1:29" ht="15.75" thickTop="1">
      <c r="A91" s="481"/>
      <c r="B91" s="485" t="s">
        <v>1821</v>
      </c>
      <c r="C91" s="525" t="s">
        <v>1721</v>
      </c>
      <c r="D91" s="525" t="s">
        <v>1722</v>
      </c>
      <c r="E91" s="525" t="s">
        <v>1723</v>
      </c>
      <c r="F91" s="525" t="s">
        <v>1724</v>
      </c>
      <c r="G91" s="525" t="s">
        <v>1725</v>
      </c>
      <c r="H91" s="486"/>
      <c r="I91" s="486"/>
      <c r="J91" s="486"/>
      <c r="K91" s="487"/>
      <c r="L91" s="488"/>
      <c r="M91" s="489"/>
      <c r="N91" s="2750"/>
      <c r="O91" s="2750"/>
      <c r="P91" s="2775"/>
      <c r="Q91" s="2736"/>
      <c r="R91" s="2722"/>
      <c r="S91" s="2722"/>
      <c r="T91" s="2722"/>
      <c r="U91" s="2722"/>
      <c r="V91" s="2722"/>
      <c r="W91" s="2722"/>
      <c r="X91" s="2722"/>
      <c r="Y91" s="2722"/>
      <c r="Z91" s="2722"/>
      <c r="AA91" s="2722"/>
      <c r="AB91" s="2722"/>
      <c r="AC91" s="272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1"/>
      <c r="O92" s="2751"/>
      <c r="P92" s="2775"/>
      <c r="Q92" s="2736"/>
      <c r="R92" s="2722"/>
      <c r="S92" s="2722"/>
      <c r="T92" s="2722"/>
      <c r="U92" s="2722"/>
      <c r="V92" s="2722"/>
      <c r="W92" s="2722"/>
      <c r="X92" s="2722"/>
      <c r="Y92" s="2722"/>
      <c r="Z92" s="2722"/>
      <c r="AA92" s="2722"/>
      <c r="AB92" s="2722"/>
      <c r="AC92" s="2722"/>
    </row>
    <row r="93" spans="1:29" ht="15.75" thickTop="1">
      <c r="A93" s="481"/>
      <c r="B93" s="485" t="s">
        <v>1726</v>
      </c>
      <c r="C93" s="525" t="s">
        <v>1721</v>
      </c>
      <c r="D93" s="525" t="s">
        <v>1722</v>
      </c>
      <c r="E93" s="525" t="s">
        <v>1723</v>
      </c>
      <c r="F93" s="525" t="s">
        <v>1724</v>
      </c>
      <c r="G93" s="525" t="s">
        <v>1725</v>
      </c>
      <c r="H93" s="486"/>
      <c r="I93" s="486"/>
      <c r="J93" s="486"/>
      <c r="K93" s="487"/>
      <c r="L93" s="488"/>
      <c r="M93" s="489"/>
      <c r="N93" s="2750"/>
      <c r="O93" s="2750"/>
      <c r="P93" s="2775"/>
      <c r="Q93" s="2736"/>
      <c r="R93" s="2722"/>
      <c r="S93" s="2722"/>
      <c r="T93" s="2722"/>
      <c r="U93" s="2722"/>
      <c r="V93" s="2722"/>
      <c r="W93" s="2722"/>
      <c r="X93" s="2722"/>
      <c r="Y93" s="2722"/>
      <c r="Z93" s="2722"/>
      <c r="AA93" s="2722"/>
      <c r="AB93" s="2722"/>
      <c r="AC93" s="2722"/>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1"/>
      <c r="O94" s="2751"/>
      <c r="P94" s="2775"/>
      <c r="Q94" s="2736"/>
      <c r="R94" s="2722"/>
      <c r="S94" s="2722"/>
      <c r="T94" s="2722"/>
      <c r="U94" s="2722"/>
      <c r="V94" s="2722"/>
      <c r="W94" s="2722"/>
      <c r="X94" s="2722"/>
      <c r="Y94" s="2722"/>
      <c r="Z94" s="2722"/>
      <c r="AA94" s="2722"/>
      <c r="AB94" s="2722"/>
      <c r="AC94" s="2722"/>
    </row>
    <row r="95" spans="1:29" s="107" customFormat="1" ht="15.75" thickTop="1">
      <c r="A95" s="526"/>
      <c r="B95" s="485" t="s">
        <v>1907</v>
      </c>
      <c r="C95" s="525" t="s">
        <v>1721</v>
      </c>
      <c r="D95" s="525" t="s">
        <v>1722</v>
      </c>
      <c r="E95" s="525" t="s">
        <v>1723</v>
      </c>
      <c r="F95" s="525" t="s">
        <v>1724</v>
      </c>
      <c r="G95" s="525" t="s">
        <v>1725</v>
      </c>
      <c r="H95" s="525"/>
      <c r="I95" s="525"/>
      <c r="J95" s="525"/>
      <c r="K95" s="525"/>
      <c r="L95" s="644"/>
      <c r="M95" s="568"/>
      <c r="N95" s="2749"/>
      <c r="O95" s="2749"/>
      <c r="P95" s="2775"/>
      <c r="Q95" s="2736"/>
      <c r="R95" s="2658"/>
      <c r="S95" s="2658"/>
      <c r="T95" s="2658"/>
      <c r="U95" s="2658"/>
      <c r="V95" s="2658"/>
      <c r="W95" s="2658"/>
      <c r="X95" s="2658"/>
      <c r="Y95" s="2658"/>
      <c r="Z95" s="2658"/>
      <c r="AA95" s="2658"/>
      <c r="AB95" s="2658"/>
      <c r="AC95" s="2658"/>
    </row>
    <row r="96" spans="1:29" s="107" customFormat="1" ht="15.75" thickBot="1">
      <c r="A96" s="526"/>
      <c r="B96" s="490"/>
      <c r="C96" s="529">
        <v>100</v>
      </c>
      <c r="D96" s="491">
        <f>C96-$K23</f>
        <v>100</v>
      </c>
      <c r="E96" s="491">
        <f>D96-$K23</f>
        <v>100</v>
      </c>
      <c r="F96" s="491">
        <f>E96-$K23</f>
        <v>100</v>
      </c>
      <c r="G96" s="491">
        <f>F96-$K23</f>
        <v>100</v>
      </c>
      <c r="H96" s="491"/>
      <c r="I96" s="491"/>
      <c r="J96" s="491"/>
      <c r="K96" s="491"/>
      <c r="L96" s="491"/>
      <c r="M96" s="492"/>
      <c r="N96" s="2751"/>
      <c r="O96" s="2751"/>
      <c r="P96" s="2775"/>
      <c r="Q96" s="2736"/>
      <c r="R96" s="2658"/>
      <c r="S96" s="2658"/>
      <c r="T96" s="2658"/>
      <c r="U96" s="2658"/>
      <c r="V96" s="2658"/>
      <c r="W96" s="2658"/>
      <c r="X96" s="2658"/>
      <c r="Y96" s="2658"/>
      <c r="Z96" s="2658"/>
      <c r="AA96" s="2658"/>
      <c r="AB96" s="2658"/>
      <c r="AC96" s="2658"/>
    </row>
    <row r="97" spans="1:29" s="107" customFormat="1" ht="27.75" thickTop="1">
      <c r="A97" s="526"/>
      <c r="B97" s="485" t="s">
        <v>1908</v>
      </c>
      <c r="C97" s="520" t="s">
        <v>1721</v>
      </c>
      <c r="D97" s="520" t="s">
        <v>1722</v>
      </c>
      <c r="E97" s="520" t="s">
        <v>1723</v>
      </c>
      <c r="F97" s="520" t="s">
        <v>1724</v>
      </c>
      <c r="G97" s="520" t="s">
        <v>1725</v>
      </c>
      <c r="H97" s="525"/>
      <c r="I97" s="525"/>
      <c r="J97" s="525"/>
      <c r="K97" s="525"/>
      <c r="L97" s="525"/>
      <c r="M97" s="568"/>
      <c r="N97" s="2749"/>
      <c r="O97" s="2749"/>
      <c r="P97" s="2775"/>
      <c r="Q97" s="2736"/>
      <c r="R97" s="2658"/>
      <c r="S97" s="2658"/>
      <c r="T97" s="2658"/>
      <c r="U97" s="2658"/>
      <c r="V97" s="2658"/>
      <c r="W97" s="2658"/>
      <c r="X97" s="2658"/>
      <c r="Y97" s="2658"/>
      <c r="Z97" s="2658"/>
      <c r="AA97" s="2658"/>
      <c r="AB97" s="2658"/>
      <c r="AC97" s="2658"/>
    </row>
    <row r="98" spans="1:29" s="107" customFormat="1" ht="15.75" thickBot="1">
      <c r="A98" s="526"/>
      <c r="B98" s="490"/>
      <c r="C98" s="491">
        <v>100</v>
      </c>
      <c r="D98" s="491">
        <f>C98-$K25</f>
        <v>100</v>
      </c>
      <c r="E98" s="491">
        <f>D98-$K25</f>
        <v>100</v>
      </c>
      <c r="F98" s="491">
        <f>E98-$K25</f>
        <v>100</v>
      </c>
      <c r="G98" s="491">
        <f>F98-$K25</f>
        <v>100</v>
      </c>
      <c r="H98" s="491"/>
      <c r="I98" s="491"/>
      <c r="J98" s="491"/>
      <c r="K98" s="491"/>
      <c r="L98" s="491"/>
      <c r="M98" s="492"/>
      <c r="N98" s="2751"/>
      <c r="O98" s="2751"/>
      <c r="P98" s="2775"/>
      <c r="Q98" s="2736"/>
      <c r="R98" s="2658"/>
      <c r="S98" s="2658"/>
      <c r="T98" s="2658"/>
      <c r="U98" s="2658"/>
      <c r="V98" s="2658"/>
      <c r="W98" s="2658"/>
      <c r="X98" s="2658"/>
      <c r="Y98" s="2658"/>
      <c r="Z98" s="2658"/>
      <c r="AA98" s="2658"/>
      <c r="AB98" s="2658"/>
      <c r="AC98" s="2658"/>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2"/>
      <c r="O99" s="2752"/>
      <c r="P99" s="2776"/>
      <c r="Q99" s="2743"/>
      <c r="R99" s="2744"/>
      <c r="S99" s="2744"/>
      <c r="T99" s="2744"/>
      <c r="U99" s="2744"/>
      <c r="V99" s="2744"/>
      <c r="W99" s="2744"/>
      <c r="X99" s="2744"/>
      <c r="Y99" s="2744"/>
      <c r="Z99" s="2744"/>
      <c r="AA99" s="2744"/>
      <c r="AB99" s="2744"/>
      <c r="AC99" s="2744"/>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2"/>
      <c r="O100" s="2752"/>
      <c r="P100" s="2776"/>
      <c r="Q100" s="2743"/>
      <c r="R100" s="2744"/>
      <c r="S100" s="2744"/>
      <c r="T100" s="2744"/>
      <c r="U100" s="2744"/>
      <c r="V100" s="2744"/>
      <c r="W100" s="2744"/>
      <c r="X100" s="2744"/>
      <c r="Y100" s="2744"/>
      <c r="Z100" s="2744"/>
      <c r="AA100" s="2744"/>
      <c r="AB100" s="2744"/>
      <c r="AC100" s="2744"/>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52"/>
      <c r="O101" s="2752"/>
      <c r="P101" s="2776"/>
      <c r="Q101" s="2743"/>
      <c r="R101" s="2744"/>
      <c r="S101" s="2744"/>
      <c r="T101" s="2744"/>
      <c r="U101" s="2744"/>
      <c r="V101" s="2744"/>
      <c r="W101" s="2744"/>
      <c r="X101" s="2744"/>
      <c r="Y101" s="2744"/>
      <c r="Z101" s="2744"/>
      <c r="AA101" s="2744"/>
      <c r="AB101" s="2744"/>
      <c r="AC101" s="2744"/>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50"/>
      <c r="O103" s="2750"/>
      <c r="P103" s="2775"/>
      <c r="Q103" s="2736"/>
      <c r="R103" s="2722"/>
      <c r="S103" s="2722"/>
      <c r="T103" s="2722"/>
      <c r="U103" s="2722"/>
      <c r="V103" s="2722"/>
      <c r="W103" s="2722"/>
      <c r="X103" s="2722"/>
      <c r="Y103" s="2722"/>
      <c r="Z103" s="2722"/>
      <c r="AA103" s="2722"/>
      <c r="AB103" s="2722"/>
      <c r="AC103" s="2722"/>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1"/>
      <c r="B105" s="485" t="s">
        <v>1815</v>
      </c>
      <c r="C105" s="501"/>
      <c r="D105" s="501"/>
      <c r="E105" s="501"/>
      <c r="F105" s="501"/>
      <c r="G105" s="501"/>
      <c r="H105" s="530"/>
      <c r="I105" s="530"/>
      <c r="J105" s="530"/>
      <c r="K105" s="531"/>
      <c r="L105" s="532"/>
      <c r="M105" s="533"/>
      <c r="N105" s="2750"/>
      <c r="O105" s="2750"/>
      <c r="P105" s="2775"/>
      <c r="Q105" s="2736"/>
      <c r="R105" s="2722"/>
      <c r="S105" s="2722"/>
      <c r="T105" s="2722"/>
      <c r="U105" s="2722"/>
      <c r="V105" s="2722"/>
      <c r="W105" s="2722"/>
      <c r="X105" s="2722"/>
      <c r="Y105" s="2722"/>
      <c r="Z105" s="2722"/>
      <c r="AA105" s="2722"/>
      <c r="AB105" s="2722"/>
      <c r="AC105" s="2722"/>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1"/>
      <c r="B107" s="485" t="s">
        <v>1873</v>
      </c>
      <c r="C107" s="530"/>
      <c r="D107" s="530"/>
      <c r="E107" s="530"/>
      <c r="F107" s="530"/>
      <c r="G107" s="530"/>
      <c r="H107" s="530"/>
      <c r="I107" s="530"/>
      <c r="J107" s="530"/>
      <c r="K107" s="531"/>
      <c r="L107" s="532"/>
      <c r="M107" s="533"/>
      <c r="N107" s="2750"/>
      <c r="O107" s="2750"/>
      <c r="P107" s="2775"/>
      <c r="Q107" s="2736"/>
      <c r="R107" s="2722"/>
      <c r="S107" s="2722"/>
      <c r="T107" s="2722"/>
      <c r="U107" s="2722"/>
      <c r="V107" s="2722"/>
      <c r="W107" s="2722"/>
      <c r="X107" s="2722"/>
      <c r="Y107" s="2722"/>
      <c r="Z107" s="2722"/>
      <c r="AA107" s="2722"/>
      <c r="AB107" s="2722"/>
      <c r="AC107" s="2722"/>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1"/>
      <c r="B109" s="493">
        <f>B35</f>
        <v>111</v>
      </c>
      <c r="C109" s="501"/>
      <c r="D109" s="501"/>
      <c r="E109" s="501"/>
      <c r="F109" s="501"/>
      <c r="G109" s="534"/>
      <c r="H109" s="534"/>
      <c r="I109" s="534"/>
      <c r="J109" s="534"/>
      <c r="K109" s="535"/>
      <c r="L109" s="536"/>
      <c r="M109" s="537"/>
      <c r="N109" s="2750"/>
      <c r="O109" s="2750"/>
      <c r="P109" s="2775"/>
      <c r="Q109" s="2736"/>
      <c r="R109" s="2722"/>
      <c r="S109" s="2722"/>
      <c r="T109" s="2722"/>
      <c r="U109" s="2722"/>
      <c r="V109" s="2722"/>
      <c r="W109" s="2722"/>
      <c r="X109" s="2722"/>
      <c r="Y109" s="2722"/>
      <c r="Z109" s="2722"/>
      <c r="AA109" s="2722"/>
      <c r="AB109" s="2722"/>
      <c r="AC109" s="2722"/>
    </row>
    <row r="110" spans="1:29" ht="15.75" thickBot="1">
      <c r="A110" s="481"/>
      <c r="B110" s="516"/>
      <c r="C110" s="507"/>
      <c r="D110" s="507"/>
      <c r="E110" s="507"/>
      <c r="F110" s="507"/>
      <c r="G110" s="538"/>
      <c r="H110" s="538"/>
      <c r="I110" s="538"/>
      <c r="J110" s="538"/>
      <c r="K110" s="538"/>
      <c r="L110" s="538"/>
      <c r="M110" s="539"/>
      <c r="N110" s="2751"/>
      <c r="O110" s="2751"/>
      <c r="P110" s="2775"/>
      <c r="Q110" s="2736"/>
      <c r="R110" s="2722"/>
      <c r="S110" s="2722"/>
      <c r="T110" s="2722"/>
      <c r="U110" s="2722"/>
      <c r="V110" s="2722"/>
      <c r="W110" s="2722"/>
      <c r="X110" s="2722"/>
      <c r="Y110" s="2722"/>
      <c r="Z110" s="2722"/>
      <c r="AA110" s="2722"/>
      <c r="AB110" s="2722"/>
      <c r="AC110" s="2722"/>
    </row>
    <row r="111" spans="1:29" ht="15" thickTop="1">
      <c r="A111" s="621"/>
      <c r="B111" s="485">
        <f>B36</f>
        <v>111</v>
      </c>
      <c r="C111" s="470"/>
      <c r="D111" s="470"/>
      <c r="E111" s="470"/>
      <c r="F111" s="470"/>
      <c r="G111" s="530"/>
      <c r="H111" s="530"/>
      <c r="I111" s="530"/>
      <c r="J111" s="530"/>
      <c r="K111" s="531"/>
      <c r="L111" s="532"/>
      <c r="M111" s="533"/>
      <c r="N111" s="2750"/>
      <c r="O111" s="2750"/>
      <c r="P111" s="2775"/>
      <c r="Q111" s="2736"/>
      <c r="R111" s="2722"/>
      <c r="S111" s="2722"/>
      <c r="T111" s="2722"/>
      <c r="U111" s="2722"/>
      <c r="V111" s="2722"/>
      <c r="W111" s="2722"/>
      <c r="X111" s="2722"/>
      <c r="Y111" s="2722"/>
      <c r="Z111" s="2722"/>
      <c r="AA111" s="2722"/>
      <c r="AB111" s="2722"/>
      <c r="AC111" s="2722"/>
    </row>
    <row r="112" spans="1:29" ht="15.75" thickBot="1">
      <c r="A112" s="481"/>
      <c r="B112" s="490"/>
      <c r="C112" s="517"/>
      <c r="D112" s="517"/>
      <c r="E112" s="517"/>
      <c r="F112" s="517"/>
      <c r="G112" s="483"/>
      <c r="H112" s="483"/>
      <c r="I112" s="483"/>
      <c r="J112" s="483"/>
      <c r="K112" s="483"/>
      <c r="L112" s="483"/>
      <c r="M112" s="484"/>
      <c r="N112" s="2751"/>
      <c r="O112" s="2751"/>
      <c r="P112" s="2775"/>
      <c r="Q112" s="2736"/>
      <c r="R112" s="2722"/>
      <c r="S112" s="2722"/>
      <c r="T112" s="2722"/>
      <c r="U112" s="2722"/>
      <c r="V112" s="2722"/>
      <c r="W112" s="2722"/>
      <c r="X112" s="2722"/>
      <c r="Y112" s="2722"/>
      <c r="Z112" s="2722"/>
      <c r="AA112" s="2722"/>
      <c r="AB112" s="2722"/>
      <c r="AC112" s="2722"/>
    </row>
    <row r="113" spans="1:29" s="420" customFormat="1" ht="15" thickTop="1">
      <c r="A113" s="540"/>
      <c r="B113" s="541">
        <f>B37</f>
        <v>111</v>
      </c>
      <c r="C113" s="542"/>
      <c r="D113" s="542"/>
      <c r="E113" s="542"/>
      <c r="F113" s="542"/>
      <c r="G113" s="542"/>
      <c r="H113" s="542"/>
      <c r="I113" s="542"/>
      <c r="J113" s="543"/>
      <c r="K113" s="543"/>
      <c r="L113" s="544"/>
      <c r="M113" s="545"/>
      <c r="N113" s="2752"/>
      <c r="O113" s="2752"/>
      <c r="P113" s="2776"/>
      <c r="Q113" s="2743"/>
      <c r="R113" s="2744"/>
      <c r="S113" s="2744"/>
      <c r="T113" s="2744"/>
      <c r="U113" s="2744"/>
      <c r="V113" s="2744"/>
      <c r="W113" s="2744"/>
      <c r="X113" s="2744"/>
      <c r="Y113" s="2744"/>
      <c r="Z113" s="2744"/>
      <c r="AA113" s="2744"/>
      <c r="AB113" s="2744"/>
      <c r="AC113" s="2744"/>
    </row>
    <row r="114" spans="1:29" s="420" customFormat="1" ht="15.75" thickBot="1">
      <c r="A114" s="500"/>
      <c r="B114" s="493"/>
      <c r="C114" s="459"/>
      <c r="D114" s="623"/>
      <c r="E114" s="623"/>
      <c r="F114" s="623"/>
      <c r="G114" s="623"/>
      <c r="H114" s="623"/>
      <c r="I114" s="623"/>
      <c r="J114" s="623"/>
      <c r="K114" s="623"/>
      <c r="L114" s="623"/>
      <c r="M114" s="645"/>
      <c r="N114" s="2751"/>
      <c r="O114" s="2751"/>
      <c r="P114" s="2776"/>
      <c r="Q114" s="2743"/>
      <c r="R114" s="2744"/>
      <c r="S114" s="2744"/>
      <c r="T114" s="2744"/>
      <c r="U114" s="2744"/>
      <c r="V114" s="2744"/>
      <c r="W114" s="2744"/>
      <c r="X114" s="2744"/>
      <c r="Y114" s="2744"/>
      <c r="Z114" s="2744"/>
      <c r="AA114" s="2744"/>
      <c r="AB114" s="2744"/>
      <c r="AC114" s="2744"/>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1"/>
      <c r="B116" s="493"/>
      <c r="C116" s="542"/>
      <c r="D116" s="542"/>
      <c r="E116" s="542"/>
      <c r="F116" s="542"/>
      <c r="G116" s="542"/>
      <c r="H116" s="542"/>
      <c r="I116" s="542"/>
      <c r="J116" s="543"/>
      <c r="K116" s="543"/>
      <c r="L116" s="544"/>
      <c r="M116" s="545"/>
      <c r="N116" s="2750"/>
      <c r="O116" s="2750"/>
      <c r="P116" s="2775"/>
      <c r="Q116" s="2736"/>
      <c r="R116" s="2722"/>
      <c r="S116" s="2722"/>
      <c r="T116" s="2722"/>
      <c r="U116" s="2722"/>
      <c r="V116" s="2722"/>
      <c r="W116" s="2722"/>
      <c r="X116" s="2722"/>
      <c r="Y116" s="2722"/>
      <c r="Z116" s="2722"/>
      <c r="AA116" s="2722"/>
      <c r="AB116" s="2722"/>
      <c r="AC116" s="2722"/>
    </row>
    <row r="117" spans="1:29" ht="15.75" thickBot="1">
      <c r="A117" s="481"/>
      <c r="B117" s="490"/>
      <c r="C117" s="517"/>
      <c r="D117" s="538"/>
      <c r="E117" s="538"/>
      <c r="F117" s="538"/>
      <c r="G117" s="538"/>
      <c r="H117" s="538"/>
      <c r="I117" s="538"/>
      <c r="J117" s="538"/>
      <c r="K117" s="538"/>
      <c r="L117" s="538"/>
      <c r="M117" s="539"/>
      <c r="N117" s="2751"/>
      <c r="O117" s="2751"/>
      <c r="P117" s="2775"/>
      <c r="Q117" s="2736"/>
      <c r="R117" s="2722"/>
      <c r="S117" s="2722"/>
      <c r="T117" s="2722"/>
      <c r="U117" s="2722"/>
      <c r="V117" s="2722"/>
      <c r="W117" s="2722"/>
      <c r="X117" s="2722"/>
      <c r="Y117" s="2722"/>
      <c r="Z117" s="2722"/>
      <c r="AA117" s="2722"/>
      <c r="AB117" s="2722"/>
      <c r="AC117" s="2722"/>
    </row>
    <row r="118" spans="1:29" ht="15" thickTop="1">
      <c r="A118" s="546"/>
      <c r="B118" s="485" t="s">
        <v>1914</v>
      </c>
      <c r="C118" s="530"/>
      <c r="D118" s="530"/>
      <c r="E118" s="530"/>
      <c r="F118" s="530"/>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6"/>
      <c r="B120" s="485" t="s">
        <v>1915</v>
      </c>
      <c r="C120" s="501"/>
      <c r="D120" s="501"/>
      <c r="E120" s="501"/>
      <c r="F120" s="530"/>
      <c r="G120" s="530"/>
      <c r="H120" s="530"/>
      <c r="I120" s="530"/>
      <c r="J120" s="530"/>
      <c r="K120" s="531"/>
      <c r="L120" s="532"/>
      <c r="M120" s="533"/>
      <c r="N120" s="2750"/>
      <c r="O120" s="2750"/>
      <c r="P120" s="2775"/>
      <c r="Q120" s="2736"/>
      <c r="R120" s="2722"/>
      <c r="S120" s="2722"/>
      <c r="T120" s="2722"/>
      <c r="U120" s="2722"/>
      <c r="V120" s="2722"/>
      <c r="W120" s="2722"/>
      <c r="X120" s="2722"/>
      <c r="Y120" s="2722"/>
      <c r="Z120" s="2722"/>
      <c r="AA120" s="2722"/>
      <c r="AB120" s="2722"/>
      <c r="AC120" s="2722"/>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1"/>
      <c r="O121" s="2751"/>
      <c r="P121" s="2775"/>
      <c r="Q121" s="2736"/>
      <c r="R121" s="2722"/>
      <c r="S121" s="2722"/>
      <c r="T121" s="2722"/>
      <c r="U121" s="2722"/>
      <c r="V121" s="2722"/>
      <c r="W121" s="2722"/>
      <c r="X121" s="2722"/>
      <c r="Y121" s="2722"/>
      <c r="Z121" s="2722"/>
      <c r="AA121" s="2722"/>
      <c r="AB121" s="2722"/>
      <c r="AC121" s="2722"/>
    </row>
    <row r="122" spans="1:29" s="420" customFormat="1" ht="15" thickTop="1">
      <c r="A122" s="540"/>
      <c r="B122" s="485" t="s">
        <v>1916</v>
      </c>
      <c r="C122" s="501"/>
      <c r="D122" s="501"/>
      <c r="E122" s="501"/>
      <c r="F122" s="501"/>
      <c r="G122" s="501"/>
      <c r="H122" s="530"/>
      <c r="I122" s="530"/>
      <c r="J122" s="530"/>
      <c r="K122" s="531"/>
      <c r="L122" s="532"/>
      <c r="M122" s="533"/>
      <c r="N122" s="2752"/>
      <c r="O122" s="2752"/>
      <c r="P122" s="2776"/>
      <c r="Q122" s="2743"/>
      <c r="R122" s="2744"/>
      <c r="S122" s="2744"/>
      <c r="T122" s="2744"/>
      <c r="U122" s="2744"/>
      <c r="V122" s="2744"/>
      <c r="W122" s="2744"/>
      <c r="X122" s="2744"/>
      <c r="Y122" s="2744"/>
      <c r="Z122" s="2744"/>
      <c r="AA122" s="2744"/>
      <c r="AB122" s="2744"/>
      <c r="AC122" s="2744"/>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6"/>
      <c r="B124" s="485" t="s">
        <v>1917</v>
      </c>
      <c r="C124" s="501"/>
      <c r="D124" s="501"/>
      <c r="E124" s="530"/>
      <c r="F124" s="530"/>
      <c r="G124" s="530"/>
      <c r="H124" s="530"/>
      <c r="I124" s="530"/>
      <c r="J124" s="530"/>
      <c r="K124" s="531"/>
      <c r="L124" s="532"/>
      <c r="M124" s="533"/>
      <c r="N124" s="2750"/>
      <c r="O124" s="2750"/>
      <c r="P124" s="2775"/>
      <c r="Q124" s="2736"/>
      <c r="R124" s="2722"/>
      <c r="S124" s="2722"/>
      <c r="T124" s="2722"/>
      <c r="U124" s="2722"/>
      <c r="V124" s="2722"/>
      <c r="W124" s="2722"/>
      <c r="X124" s="2722"/>
      <c r="Y124" s="2722"/>
      <c r="Z124" s="2722"/>
      <c r="AA124" s="2722"/>
      <c r="AB124" s="2722"/>
      <c r="AC124" s="2722"/>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6"/>
      <c r="B126" s="485">
        <f>B43</f>
        <v>111</v>
      </c>
      <c r="C126" s="501"/>
      <c r="D126" s="501"/>
      <c r="E126" s="501"/>
      <c r="F126" s="501"/>
      <c r="G126" s="501"/>
      <c r="H126" s="530"/>
      <c r="I126" s="530"/>
      <c r="J126" s="530"/>
      <c r="K126" s="531"/>
      <c r="L126" s="532"/>
      <c r="M126" s="533"/>
      <c r="N126" s="2750"/>
      <c r="O126" s="2750"/>
      <c r="P126" s="2775"/>
      <c r="Q126" s="2736"/>
      <c r="R126" s="2722"/>
      <c r="S126" s="2722"/>
      <c r="T126" s="2722"/>
      <c r="U126" s="2722"/>
      <c r="V126" s="2722"/>
      <c r="W126" s="2722"/>
      <c r="X126" s="2722"/>
      <c r="Y126" s="2722"/>
      <c r="Z126" s="2722"/>
      <c r="AA126" s="2722"/>
      <c r="AB126" s="2722"/>
      <c r="AC126" s="2722"/>
    </row>
    <row r="127" spans="1:29" ht="15.75" thickBot="1">
      <c r="A127" s="481"/>
      <c r="B127" s="490"/>
      <c r="C127" s="507"/>
      <c r="D127" s="507"/>
      <c r="E127" s="507"/>
      <c r="F127" s="507"/>
      <c r="G127" s="483"/>
      <c r="H127" s="483"/>
      <c r="I127" s="483"/>
      <c r="J127" s="483"/>
      <c r="K127" s="483"/>
      <c r="L127" s="483"/>
      <c r="M127" s="484"/>
      <c r="N127" s="2751"/>
      <c r="O127" s="2751"/>
      <c r="P127" s="2775"/>
      <c r="Q127" s="2736"/>
      <c r="R127" s="2722"/>
      <c r="S127" s="2722"/>
      <c r="T127" s="2722"/>
      <c r="U127" s="2722"/>
      <c r="V127" s="2722"/>
      <c r="W127" s="2722"/>
      <c r="X127" s="2722"/>
      <c r="Y127" s="2722"/>
      <c r="Z127" s="2722"/>
      <c r="AA127" s="2722"/>
      <c r="AB127" s="2722"/>
      <c r="AC127" s="2722"/>
    </row>
    <row r="128" spans="1:29" ht="15" thickTop="1">
      <c r="A128" s="546"/>
      <c r="B128" s="485">
        <f>B44</f>
        <v>111</v>
      </c>
      <c r="C128" s="470"/>
      <c r="D128" s="470"/>
      <c r="E128" s="470"/>
      <c r="F128" s="470"/>
      <c r="G128" s="530"/>
      <c r="H128" s="530"/>
      <c r="I128" s="530"/>
      <c r="J128" s="530"/>
      <c r="K128" s="531"/>
      <c r="L128" s="532"/>
      <c r="M128" s="533"/>
      <c r="N128" s="2750"/>
      <c r="O128" s="2750"/>
      <c r="P128" s="2775"/>
      <c r="Q128" s="2736"/>
      <c r="R128" s="2722"/>
      <c r="S128" s="2722"/>
      <c r="T128" s="2722"/>
      <c r="U128" s="2722"/>
      <c r="V128" s="2722"/>
      <c r="W128" s="2722"/>
      <c r="X128" s="2722"/>
      <c r="Y128" s="2722"/>
      <c r="Z128" s="2722"/>
      <c r="AA128" s="2722"/>
      <c r="AB128" s="2722"/>
      <c r="AC128" s="2722"/>
    </row>
    <row r="129" spans="1:29" ht="15.75" thickBot="1">
      <c r="A129" s="481"/>
      <c r="B129" s="490"/>
      <c r="C129" s="517"/>
      <c r="D129" s="517"/>
      <c r="E129" s="517"/>
      <c r="F129" s="517"/>
      <c r="G129" s="483"/>
      <c r="H129" s="483"/>
      <c r="I129" s="483"/>
      <c r="J129" s="483"/>
      <c r="K129" s="483"/>
      <c r="L129" s="483"/>
      <c r="M129" s="484"/>
      <c r="N129" s="2751"/>
      <c r="O129" s="2751"/>
      <c r="P129" s="2775"/>
      <c r="Q129" s="2736"/>
      <c r="R129" s="2722"/>
      <c r="S129" s="2722"/>
      <c r="T129" s="2722"/>
      <c r="U129" s="2722"/>
      <c r="V129" s="2722"/>
      <c r="W129" s="2722"/>
      <c r="X129" s="2722"/>
      <c r="Y129" s="2722"/>
      <c r="Z129" s="2722"/>
      <c r="AA129" s="2722"/>
      <c r="AB129" s="2722"/>
      <c r="AC129" s="2722"/>
    </row>
    <row r="130" spans="1:29" s="420" customFormat="1" ht="15" thickTop="1">
      <c r="A130" s="540"/>
      <c r="B130" s="485">
        <f>B45</f>
        <v>111</v>
      </c>
      <c r="C130" s="470"/>
      <c r="D130" s="470"/>
      <c r="E130" s="470"/>
      <c r="F130" s="470"/>
      <c r="G130" s="502"/>
      <c r="H130" s="502"/>
      <c r="I130" s="502"/>
      <c r="J130" s="502"/>
      <c r="K130" s="502"/>
      <c r="L130" s="503"/>
      <c r="M130" s="504"/>
      <c r="N130" s="2752"/>
      <c r="O130" s="2752"/>
      <c r="P130" s="2776"/>
      <c r="Q130" s="2743"/>
      <c r="R130" s="2744"/>
      <c r="S130" s="2744"/>
      <c r="T130" s="2744"/>
      <c r="U130" s="2744"/>
      <c r="V130" s="2744"/>
      <c r="W130" s="2744"/>
      <c r="X130" s="2744"/>
      <c r="Y130" s="2744"/>
      <c r="Z130" s="2744"/>
      <c r="AA130" s="2744"/>
      <c r="AB130" s="2744"/>
      <c r="AC130" s="2744"/>
    </row>
    <row r="131" spans="1:29" s="420" customFormat="1" ht="15.75" thickBot="1">
      <c r="A131" s="515"/>
      <c r="B131" s="646"/>
      <c r="C131" s="517"/>
      <c r="D131" s="517"/>
      <c r="E131" s="517"/>
      <c r="F131" s="517"/>
      <c r="G131" s="538"/>
      <c r="H131" s="538"/>
      <c r="I131" s="538"/>
      <c r="J131" s="538"/>
      <c r="K131" s="538"/>
      <c r="L131" s="538"/>
      <c r="M131" s="539"/>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3" t="s">
        <v>1769</v>
      </c>
      <c r="B4" s="354"/>
      <c r="C4" s="3886" t="s">
        <v>1770</v>
      </c>
      <c r="D4" s="3887"/>
      <c r="E4" s="3888" t="s">
        <v>1771</v>
      </c>
      <c r="F4" s="3889"/>
      <c r="G4" s="3886" t="s">
        <v>1772</v>
      </c>
      <c r="H4" s="3887"/>
      <c r="I4" s="3886" t="s">
        <v>1773</v>
      </c>
      <c r="J4" s="3887"/>
      <c r="K4" s="557" t="s">
        <v>1774</v>
      </c>
      <c r="L4" s="2712"/>
      <c r="M4" s="2713"/>
      <c r="N4" s="2713"/>
      <c r="O4" s="2713"/>
      <c r="P4" s="3890" t="s">
        <v>1775</v>
      </c>
      <c r="Q4" s="3891"/>
      <c r="R4" s="3896" t="s">
        <v>1771</v>
      </c>
      <c r="S4" s="3897"/>
      <c r="T4" s="3896" t="s">
        <v>1772</v>
      </c>
      <c r="U4" s="3897"/>
      <c r="V4" s="3902" t="s">
        <v>1773</v>
      </c>
      <c r="W4" s="3902"/>
      <c r="X4" s="1352"/>
      <c r="Y4" s="3896" t="s">
        <v>1775</v>
      </c>
      <c r="Z4" s="3897"/>
      <c r="AA4" s="3883" t="s">
        <v>1771</v>
      </c>
      <c r="AB4" s="3884" t="s">
        <v>1772</v>
      </c>
      <c r="AC4" s="3883" t="s">
        <v>1773</v>
      </c>
    </row>
    <row r="5" spans="1:29" ht="15">
      <c r="A5" s="356"/>
      <c r="B5" s="357"/>
      <c r="C5" s="3905" t="s">
        <v>1673</v>
      </c>
      <c r="D5" s="3906"/>
      <c r="E5" s="3912" t="s">
        <v>1674</v>
      </c>
      <c r="F5" s="3913"/>
      <c r="G5" s="3905" t="s">
        <v>1675</v>
      </c>
      <c r="H5" s="3906"/>
      <c r="I5" s="3905" t="s">
        <v>1676</v>
      </c>
      <c r="J5" s="3906"/>
      <c r="K5" s="557"/>
      <c r="L5" s="2712"/>
      <c r="M5" s="2713"/>
      <c r="N5" s="2713"/>
      <c r="O5" s="2713"/>
      <c r="P5" s="3892"/>
      <c r="Q5" s="3893"/>
      <c r="R5" s="3898"/>
      <c r="S5" s="3899"/>
      <c r="T5" s="3898"/>
      <c r="U5" s="3899"/>
      <c r="V5" s="3902"/>
      <c r="W5" s="3902"/>
      <c r="X5" s="1352"/>
      <c r="Y5" s="3898"/>
      <c r="Z5" s="3899"/>
      <c r="AA5" s="3884"/>
      <c r="AB5" s="3884"/>
      <c r="AC5" s="3884"/>
    </row>
    <row r="6" spans="1:29" ht="15.75" thickBot="1">
      <c r="A6" s="358"/>
      <c r="B6" s="359"/>
      <c r="C6" s="3936" t="s">
        <v>1919</v>
      </c>
      <c r="D6" s="3937"/>
      <c r="E6" s="3938" t="s">
        <v>1919</v>
      </c>
      <c r="F6" s="3939"/>
      <c r="G6" s="3936" t="s">
        <v>1919</v>
      </c>
      <c r="H6" s="3937"/>
      <c r="I6" s="3936" t="s">
        <v>1919</v>
      </c>
      <c r="J6" s="3937"/>
      <c r="K6" s="557" t="s">
        <v>1678</v>
      </c>
      <c r="L6" s="2712"/>
      <c r="M6" s="2713"/>
      <c r="N6" s="2713"/>
      <c r="O6" s="2713"/>
      <c r="P6" s="3894"/>
      <c r="Q6" s="3895"/>
      <c r="R6" s="3898"/>
      <c r="S6" s="3899"/>
      <c r="T6" s="3900"/>
      <c r="U6" s="3901"/>
      <c r="V6" s="3902"/>
      <c r="W6" s="3902"/>
      <c r="X6" s="1352"/>
      <c r="Y6" s="3900"/>
      <c r="Z6" s="3901"/>
      <c r="AA6" s="3885"/>
      <c r="AB6" s="3885"/>
      <c r="AC6" s="3885"/>
    </row>
    <row r="7" spans="1:29" s="107" customFormat="1" ht="15.75" thickBot="1">
      <c r="A7" s="360" t="s">
        <v>1679</v>
      </c>
      <c r="B7" s="361"/>
      <c r="C7" s="362">
        <f>'数据-取费表'!B2</f>
        <v>44937</v>
      </c>
      <c r="D7" s="363">
        <v>100</v>
      </c>
      <c r="E7" s="364"/>
      <c r="F7" s="365">
        <f>SUMIF(65:65,YEAR(E7)&amp;"-"&amp;INT((MONTH(E7)+2)/3),66:66)</f>
        <v>0</v>
      </c>
      <c r="G7" s="1971"/>
      <c r="H7" s="363">
        <f>SUMIF(65:65,YEAR(G7)&amp;"-"&amp;INT((MONTH(G7)+2)/3),66:66)</f>
        <v>0</v>
      </c>
      <c r="I7" s="1971"/>
      <c r="J7" s="363">
        <f>SUMIF(65:65,YEAR(I7)&amp;"-"&amp;INT((MONTH(I7)+2)/3),66:66)</f>
        <v>0</v>
      </c>
      <c r="K7" s="558"/>
      <c r="L7" s="2714"/>
      <c r="M7" s="2715"/>
      <c r="N7" s="2715"/>
      <c r="O7" s="2715"/>
      <c r="P7" s="3907" t="s">
        <v>1680</v>
      </c>
      <c r="Q7" s="3909"/>
      <c r="R7" s="698" t="s">
        <v>14</v>
      </c>
      <c r="S7" s="699">
        <f t="shared" ref="S7:S15" si="0">F7</f>
        <v>0</v>
      </c>
      <c r="T7" s="698" t="s">
        <v>14</v>
      </c>
      <c r="U7" s="699">
        <f t="shared" ref="U7:U15" si="1">H7</f>
        <v>0</v>
      </c>
      <c r="V7" s="698" t="s">
        <v>14</v>
      </c>
      <c r="W7" s="699">
        <f t="shared" ref="W7:W15" si="2">J7</f>
        <v>0</v>
      </c>
      <c r="X7" s="700"/>
      <c r="Y7" s="3907" t="s">
        <v>1680</v>
      </c>
      <c r="Z7" s="3908"/>
      <c r="AA7" s="701" t="e">
        <f>D7/F7</f>
        <v>#DIV/0!</v>
      </c>
      <c r="AB7" s="701" t="e">
        <f>D7/H7</f>
        <v>#DIV/0!</v>
      </c>
      <c r="AC7" s="701"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4"/>
      <c r="M8" s="2715"/>
      <c r="N8" s="2715"/>
      <c r="O8" s="2715"/>
      <c r="P8" s="3907" t="s">
        <v>1683</v>
      </c>
      <c r="Q8" s="3908"/>
      <c r="R8" s="698" t="s">
        <v>14</v>
      </c>
      <c r="S8" s="699">
        <f t="shared" si="0"/>
        <v>0</v>
      </c>
      <c r="T8" s="698" t="s">
        <v>14</v>
      </c>
      <c r="U8" s="699">
        <f t="shared" si="1"/>
        <v>0</v>
      </c>
      <c r="V8" s="698" t="s">
        <v>14</v>
      </c>
      <c r="W8" s="699">
        <f t="shared" si="2"/>
        <v>0</v>
      </c>
      <c r="X8" s="700"/>
      <c r="Y8" s="3907" t="s">
        <v>1683</v>
      </c>
      <c r="Z8" s="3908"/>
      <c r="AA8" s="701" t="e">
        <f t="shared" ref="AA8:AA40" si="3">D8/F8</f>
        <v>#DIV/0!</v>
      </c>
      <c r="AB8" s="701" t="e">
        <f t="shared" ref="AB8:AB40" si="4">D8/H8</f>
        <v>#DIV/0!</v>
      </c>
      <c r="AC8" s="701" t="e">
        <f t="shared" ref="AC8:AC40" si="5">D8/J8</f>
        <v>#DIV/0!</v>
      </c>
    </row>
    <row r="9" spans="1:29" s="107"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14"/>
      <c r="M9" s="2715"/>
      <c r="N9" s="2715"/>
      <c r="O9" s="2769"/>
      <c r="P9" s="3871" t="s">
        <v>1686</v>
      </c>
      <c r="Q9" s="1340" t="str">
        <f t="shared" ref="Q9:Q15" si="6">B9</f>
        <v>用途</v>
      </c>
      <c r="R9" s="698" t="s">
        <v>14</v>
      </c>
      <c r="S9" s="699">
        <f t="shared" si="0"/>
        <v>100</v>
      </c>
      <c r="T9" s="698" t="s">
        <v>14</v>
      </c>
      <c r="U9" s="699">
        <f t="shared" si="1"/>
        <v>100</v>
      </c>
      <c r="V9" s="698" t="s">
        <v>14</v>
      </c>
      <c r="W9" s="699">
        <f t="shared" si="2"/>
        <v>100</v>
      </c>
      <c r="X9" s="700"/>
      <c r="Y9" s="3746"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142</v>
      </c>
      <c r="G10" s="381"/>
      <c r="H10" s="125">
        <f>ROUND(100/'数据-取费表'!G16,0)</f>
        <v>142</v>
      </c>
      <c r="I10" s="381"/>
      <c r="J10" s="125">
        <f>ROUND(100/'数据-取费表'!G16,0)</f>
        <v>142</v>
      </c>
      <c r="K10" s="618"/>
      <c r="L10" s="2716"/>
      <c r="M10" s="2717"/>
      <c r="N10" s="2717"/>
      <c r="O10" s="2770"/>
      <c r="P10" s="3871"/>
      <c r="Q10" s="1340" t="str">
        <f t="shared" si="6"/>
        <v>土地使用年限（年）</v>
      </c>
      <c r="R10" s="698" t="s">
        <v>14</v>
      </c>
      <c r="S10" s="699">
        <f t="shared" si="0"/>
        <v>142</v>
      </c>
      <c r="T10" s="698" t="s">
        <v>14</v>
      </c>
      <c r="U10" s="699">
        <f t="shared" si="1"/>
        <v>142</v>
      </c>
      <c r="V10" s="698" t="s">
        <v>14</v>
      </c>
      <c r="W10" s="699">
        <f t="shared" si="2"/>
        <v>142</v>
      </c>
      <c r="X10" s="700"/>
      <c r="Y10" s="3746"/>
      <c r="Z10" s="52" t="str">
        <f t="shared" si="7"/>
        <v>土地使用年限（年）</v>
      </c>
      <c r="AA10" s="701">
        <f t="shared" si="3"/>
        <v>0.70422535211267601</v>
      </c>
      <c r="AB10" s="701">
        <f t="shared" si="4"/>
        <v>0.70422535211267601</v>
      </c>
      <c r="AC10" s="701">
        <f t="shared" si="5"/>
        <v>0.70422535211267601</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8"/>
      <c r="M11" s="2713"/>
      <c r="N11" s="2713"/>
      <c r="O11" s="2771"/>
      <c r="P11" s="3871"/>
      <c r="Q11" s="1340" t="str">
        <f t="shared" si="6"/>
        <v>容积率</v>
      </c>
      <c r="R11" s="698" t="s">
        <v>14</v>
      </c>
      <c r="S11" s="699" t="e">
        <f t="shared" si="0"/>
        <v>#N/A</v>
      </c>
      <c r="T11" s="698" t="s">
        <v>14</v>
      </c>
      <c r="U11" s="699" t="e">
        <f t="shared" si="1"/>
        <v>#N/A</v>
      </c>
      <c r="V11" s="698" t="s">
        <v>14</v>
      </c>
      <c r="W11" s="699" t="e">
        <f t="shared" si="2"/>
        <v>#N/A</v>
      </c>
      <c r="X11" s="700"/>
      <c r="Y11" s="3746"/>
      <c r="Z11" s="52" t="str">
        <f t="shared" si="7"/>
        <v>容积率</v>
      </c>
      <c r="AA11" s="701" t="e">
        <f t="shared" si="3"/>
        <v>#N/A</v>
      </c>
      <c r="AB11" s="701" t="e">
        <f t="shared" si="4"/>
        <v>#N/A</v>
      </c>
      <c r="AC11" s="701" t="e">
        <f t="shared" si="5"/>
        <v>#N/A</v>
      </c>
    </row>
    <row r="12" spans="1:29" s="107"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14"/>
      <c r="M12" s="2715"/>
      <c r="N12" s="2715"/>
      <c r="O12" s="2769"/>
      <c r="P12" s="3871"/>
      <c r="Q12" s="1340">
        <f t="shared" si="6"/>
        <v>111</v>
      </c>
      <c r="R12" s="698" t="s">
        <v>14</v>
      </c>
      <c r="S12" s="699">
        <f t="shared" si="0"/>
        <v>100</v>
      </c>
      <c r="T12" s="698" t="s">
        <v>14</v>
      </c>
      <c r="U12" s="699">
        <f t="shared" si="1"/>
        <v>100</v>
      </c>
      <c r="V12" s="698" t="s">
        <v>14</v>
      </c>
      <c r="W12" s="699">
        <f t="shared" si="2"/>
        <v>100</v>
      </c>
      <c r="X12" s="700"/>
      <c r="Y12" s="3746"/>
      <c r="Z12" s="52">
        <f t="shared" si="7"/>
        <v>111</v>
      </c>
      <c r="AA12" s="701">
        <f>D12/F12</f>
        <v>1</v>
      </c>
      <c r="AB12" s="701">
        <f>D12/H12</f>
        <v>1</v>
      </c>
      <c r="AC12" s="701">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9"/>
      <c r="M13" s="2713"/>
      <c r="N13" s="2713"/>
      <c r="O13" s="2771"/>
      <c r="P13" s="3871"/>
      <c r="Q13" s="1340">
        <f t="shared" si="6"/>
        <v>111</v>
      </c>
      <c r="R13" s="698" t="s">
        <v>14</v>
      </c>
      <c r="S13" s="699">
        <f t="shared" si="0"/>
        <v>100</v>
      </c>
      <c r="T13" s="698" t="s">
        <v>14</v>
      </c>
      <c r="U13" s="699">
        <f t="shared" si="1"/>
        <v>100</v>
      </c>
      <c r="V13" s="698" t="s">
        <v>14</v>
      </c>
      <c r="W13" s="699">
        <f t="shared" si="2"/>
        <v>100</v>
      </c>
      <c r="X13" s="700"/>
      <c r="Y13" s="3746"/>
      <c r="Z13" s="52">
        <f t="shared" si="7"/>
        <v>111</v>
      </c>
      <c r="AA13" s="701">
        <f t="shared" si="3"/>
        <v>1</v>
      </c>
      <c r="AB13" s="701">
        <f t="shared" si="4"/>
        <v>1</v>
      </c>
      <c r="AC13" s="701">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9"/>
      <c r="M14" s="2713"/>
      <c r="N14" s="2713"/>
      <c r="O14" s="2771"/>
      <c r="P14" s="3871"/>
      <c r="Q14" s="1340">
        <f t="shared" si="6"/>
        <v>111</v>
      </c>
      <c r="R14" s="698" t="s">
        <v>14</v>
      </c>
      <c r="S14" s="699">
        <f t="shared" si="0"/>
        <v>100</v>
      </c>
      <c r="T14" s="698" t="s">
        <v>14</v>
      </c>
      <c r="U14" s="699">
        <f t="shared" si="1"/>
        <v>100</v>
      </c>
      <c r="V14" s="698" t="s">
        <v>14</v>
      </c>
      <c r="W14" s="699">
        <f t="shared" si="2"/>
        <v>100</v>
      </c>
      <c r="X14" s="700"/>
      <c r="Y14" s="3746"/>
      <c r="Z14" s="52">
        <f t="shared" si="7"/>
        <v>111</v>
      </c>
      <c r="AA14" s="701">
        <f t="shared" si="3"/>
        <v>1</v>
      </c>
      <c r="AB14" s="701">
        <f t="shared" si="4"/>
        <v>1</v>
      </c>
      <c r="AC14" s="701">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9"/>
      <c r="M15" s="2713"/>
      <c r="N15" s="2713"/>
      <c r="O15" s="2771"/>
      <c r="P15" s="3873" t="s">
        <v>1691</v>
      </c>
      <c r="Q15" s="1349" t="str">
        <f t="shared" si="6"/>
        <v>产业集聚程度</v>
      </c>
      <c r="R15" s="702" t="s">
        <v>14</v>
      </c>
      <c r="S15" s="703">
        <f t="shared" si="0"/>
        <v>100</v>
      </c>
      <c r="T15" s="702" t="s">
        <v>14</v>
      </c>
      <c r="U15" s="703">
        <f t="shared" si="1"/>
        <v>100</v>
      </c>
      <c r="V15" s="702" t="s">
        <v>14</v>
      </c>
      <c r="W15" s="703">
        <f t="shared" si="2"/>
        <v>100</v>
      </c>
      <c r="X15" s="1352"/>
      <c r="Y15" s="3873"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9"/>
      <c r="M16" s="2713"/>
      <c r="N16" s="2713"/>
      <c r="O16" s="2771"/>
      <c r="P16" s="3874"/>
      <c r="Q16" s="1349"/>
      <c r="R16" s="702"/>
      <c r="S16" s="703"/>
      <c r="T16" s="702"/>
      <c r="U16" s="703"/>
      <c r="V16" s="702"/>
      <c r="W16" s="703"/>
      <c r="X16" s="1352"/>
      <c r="Y16" s="3874"/>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9"/>
      <c r="M17" s="2713"/>
      <c r="N17" s="2713"/>
      <c r="O17" s="2771"/>
      <c r="P17" s="3874"/>
      <c r="Q17" s="1349" t="str">
        <f>B17</f>
        <v>交通便捷度</v>
      </c>
      <c r="R17" s="702" t="s">
        <v>14</v>
      </c>
      <c r="S17" s="703">
        <f>F17</f>
        <v>100</v>
      </c>
      <c r="T17" s="702" t="s">
        <v>14</v>
      </c>
      <c r="U17" s="703">
        <f>H17</f>
        <v>100</v>
      </c>
      <c r="V17" s="702" t="s">
        <v>14</v>
      </c>
      <c r="W17" s="703">
        <f>J17</f>
        <v>100</v>
      </c>
      <c r="X17" s="1352"/>
      <c r="Y17" s="3874"/>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9"/>
      <c r="M18" s="2713"/>
      <c r="N18" s="2713"/>
      <c r="O18" s="2771"/>
      <c r="P18" s="3874"/>
      <c r="Q18" s="1349"/>
      <c r="R18" s="702"/>
      <c r="S18" s="703"/>
      <c r="T18" s="702"/>
      <c r="U18" s="703"/>
      <c r="V18" s="702"/>
      <c r="W18" s="703"/>
      <c r="X18" s="1352"/>
      <c r="Y18" s="3874"/>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9"/>
      <c r="M19" s="2713"/>
      <c r="N19" s="2713"/>
      <c r="O19" s="2771"/>
      <c r="P19" s="3874"/>
      <c r="Q19" s="1349" t="str">
        <f t="shared" ref="Q19:Q33" si="8">B19</f>
        <v>区域土地利用方向</v>
      </c>
      <c r="R19" s="702" t="s">
        <v>14</v>
      </c>
      <c r="S19" s="703">
        <f>F19</f>
        <v>100</v>
      </c>
      <c r="T19" s="702" t="s">
        <v>14</v>
      </c>
      <c r="U19" s="703">
        <f>H19</f>
        <v>100</v>
      </c>
      <c r="V19" s="702" t="s">
        <v>14</v>
      </c>
      <c r="W19" s="703">
        <f>J19</f>
        <v>100</v>
      </c>
      <c r="X19" s="1352"/>
      <c r="Y19" s="3874"/>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7"/>
      <c r="L20" s="2719"/>
      <c r="M20" s="2713"/>
      <c r="N20" s="2713"/>
      <c r="O20" s="2771"/>
      <c r="P20" s="3874"/>
      <c r="Q20" s="1349"/>
      <c r="R20" s="702"/>
      <c r="S20" s="703"/>
      <c r="T20" s="702"/>
      <c r="U20" s="703"/>
      <c r="V20" s="702"/>
      <c r="W20" s="703"/>
      <c r="X20" s="1352"/>
      <c r="Y20" s="3874"/>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9"/>
      <c r="M21" s="2713"/>
      <c r="N21" s="2713"/>
      <c r="O21" s="2771"/>
      <c r="P21" s="3874"/>
      <c r="Q21" s="1349" t="str">
        <f t="shared" si="8"/>
        <v>环境状况</v>
      </c>
      <c r="R21" s="702" t="s">
        <v>14</v>
      </c>
      <c r="S21" s="703">
        <f>F21</f>
        <v>100</v>
      </c>
      <c r="T21" s="702" t="s">
        <v>14</v>
      </c>
      <c r="U21" s="703">
        <f>H21</f>
        <v>100</v>
      </c>
      <c r="V21" s="702" t="s">
        <v>14</v>
      </c>
      <c r="W21" s="703">
        <f>J21</f>
        <v>100</v>
      </c>
      <c r="X21" s="1352"/>
      <c r="Y21" s="3874"/>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9"/>
      <c r="M22" s="2713"/>
      <c r="N22" s="2713"/>
      <c r="O22" s="2771"/>
      <c r="P22" s="3874"/>
      <c r="Q22" s="1349"/>
      <c r="R22" s="702"/>
      <c r="S22" s="703"/>
      <c r="T22" s="702"/>
      <c r="U22" s="703"/>
      <c r="V22" s="702"/>
      <c r="W22" s="703"/>
      <c r="X22" s="1352"/>
      <c r="Y22" s="3874"/>
      <c r="Z22" s="1353"/>
      <c r="AA22" s="1350">
        <v>1</v>
      </c>
      <c r="AB22" s="1350">
        <v>1</v>
      </c>
      <c r="AC22" s="1350">
        <v>1</v>
      </c>
    </row>
    <row r="23" spans="1:29" s="107"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4"/>
      <c r="M23" s="2715"/>
      <c r="N23" s="2715"/>
      <c r="O23" s="2769"/>
      <c r="P23" s="3874"/>
      <c r="Q23" s="1340" t="str">
        <f t="shared" si="8"/>
        <v>公共配套设施</v>
      </c>
      <c r="R23" s="698" t="s">
        <v>14</v>
      </c>
      <c r="S23" s="699">
        <f>F23</f>
        <v>100</v>
      </c>
      <c r="T23" s="698" t="s">
        <v>14</v>
      </c>
      <c r="U23" s="699">
        <f>H23</f>
        <v>100</v>
      </c>
      <c r="V23" s="698" t="s">
        <v>14</v>
      </c>
      <c r="W23" s="699">
        <f>J23</f>
        <v>100</v>
      </c>
      <c r="X23" s="700"/>
      <c r="Y23" s="3874"/>
      <c r="Z23" s="52" t="str">
        <f>Q23</f>
        <v>公共配套设施</v>
      </c>
      <c r="AA23" s="1350">
        <f>D23/F23</f>
        <v>1</v>
      </c>
      <c r="AB23" s="1350">
        <f>D23/H23</f>
        <v>1</v>
      </c>
      <c r="AC23" s="1350">
        <f>D23/J23</f>
        <v>1</v>
      </c>
    </row>
    <row r="24" spans="1:29" s="107" customFormat="1" ht="15">
      <c r="A24" s="595"/>
      <c r="B24" s="578"/>
      <c r="C24" s="1975"/>
      <c r="D24" s="397"/>
      <c r="E24" s="1901"/>
      <c r="F24" s="397"/>
      <c r="G24" s="1901"/>
      <c r="H24" s="397"/>
      <c r="I24" s="396"/>
      <c r="J24" s="397"/>
      <c r="K24" s="618"/>
      <c r="L24" s="2714"/>
      <c r="M24" s="2715"/>
      <c r="N24" s="2715"/>
      <c r="O24" s="2769"/>
      <c r="P24" s="3874"/>
      <c r="Q24" s="1340"/>
      <c r="R24" s="698"/>
      <c r="S24" s="699"/>
      <c r="T24" s="698"/>
      <c r="U24" s="699"/>
      <c r="V24" s="698"/>
      <c r="W24" s="699"/>
      <c r="X24" s="700"/>
      <c r="Y24" s="3874"/>
      <c r="Z24" s="52"/>
      <c r="AA24" s="701">
        <v>1</v>
      </c>
      <c r="AB24" s="701">
        <v>1</v>
      </c>
      <c r="AC24" s="701">
        <v>1</v>
      </c>
    </row>
    <row r="25" spans="1:29" s="107"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4"/>
      <c r="M25" s="2715"/>
      <c r="N25" s="2715"/>
      <c r="O25" s="2769"/>
      <c r="P25" s="3874"/>
      <c r="Q25" s="1340" t="str">
        <f t="shared" ref="Q25" si="9">B25</f>
        <v>基础设施水平</v>
      </c>
      <c r="R25" s="698" t="s">
        <v>14</v>
      </c>
      <c r="S25" s="699">
        <f>F25</f>
        <v>100</v>
      </c>
      <c r="T25" s="698" t="s">
        <v>14</v>
      </c>
      <c r="U25" s="699">
        <f>H25</f>
        <v>100</v>
      </c>
      <c r="V25" s="698" t="s">
        <v>14</v>
      </c>
      <c r="W25" s="699">
        <f>J25</f>
        <v>100</v>
      </c>
      <c r="X25" s="700"/>
      <c r="Y25" s="3874"/>
      <c r="Z25" s="52" t="str">
        <f>Q25</f>
        <v>基础设施水平</v>
      </c>
      <c r="AA25" s="1350">
        <f>D25/F25</f>
        <v>1</v>
      </c>
      <c r="AB25" s="1350">
        <f>D25/H25</f>
        <v>1</v>
      </c>
      <c r="AC25" s="1350">
        <f>D25/J25</f>
        <v>1</v>
      </c>
    </row>
    <row r="26" spans="1:29" s="107" customFormat="1" ht="15">
      <c r="A26" s="595"/>
      <c r="B26" s="578"/>
      <c r="C26" s="1975"/>
      <c r="D26" s="397"/>
      <c r="E26" s="1976"/>
      <c r="F26" s="397"/>
      <c r="G26" s="1976"/>
      <c r="H26" s="397"/>
      <c r="I26" s="1976"/>
      <c r="J26" s="397"/>
      <c r="K26" s="618"/>
      <c r="L26" s="2714"/>
      <c r="M26" s="2715"/>
      <c r="N26" s="2715"/>
      <c r="O26" s="2769"/>
      <c r="P26" s="3874"/>
      <c r="Q26" s="1340"/>
      <c r="R26" s="698"/>
      <c r="S26" s="699"/>
      <c r="T26" s="698"/>
      <c r="U26" s="699"/>
      <c r="V26" s="698"/>
      <c r="W26" s="699"/>
      <c r="X26" s="700"/>
      <c r="Y26" s="3874"/>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9"/>
      <c r="M27" s="2713"/>
      <c r="N27" s="2713"/>
      <c r="O27" s="2771"/>
      <c r="P27" s="3874"/>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874"/>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9"/>
      <c r="M28" s="2713"/>
      <c r="N28" s="2713"/>
      <c r="O28" s="2771"/>
      <c r="P28" s="3874"/>
      <c r="Q28" s="1349" t="str">
        <f t="shared" si="8"/>
        <v>毗邻道路的类型与等级</v>
      </c>
      <c r="R28" s="702" t="s">
        <v>14</v>
      </c>
      <c r="S28" s="703">
        <f t="shared" si="10"/>
        <v>100</v>
      </c>
      <c r="T28" s="702" t="s">
        <v>14</v>
      </c>
      <c r="U28" s="703">
        <f t="shared" si="11"/>
        <v>100</v>
      </c>
      <c r="V28" s="702" t="s">
        <v>14</v>
      </c>
      <c r="W28" s="703">
        <f t="shared" si="12"/>
        <v>100</v>
      </c>
      <c r="X28" s="1352"/>
      <c r="Y28" s="3874"/>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9"/>
      <c r="M29" s="2713"/>
      <c r="N29" s="2713"/>
      <c r="O29" s="2771"/>
      <c r="P29" s="3874"/>
      <c r="Q29" s="1349"/>
      <c r="R29" s="702"/>
      <c r="S29" s="703"/>
      <c r="T29" s="702"/>
      <c r="U29" s="703"/>
      <c r="V29" s="702"/>
      <c r="W29" s="703"/>
      <c r="X29" s="1352"/>
      <c r="Y29" s="3874"/>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9"/>
      <c r="M30" s="2713"/>
      <c r="N30" s="2713"/>
      <c r="O30" s="2771"/>
      <c r="P30" s="3874"/>
      <c r="Q30" s="1349" t="str">
        <f t="shared" si="8"/>
        <v>土地级别</v>
      </c>
      <c r="R30" s="702" t="s">
        <v>14</v>
      </c>
      <c r="S30" s="703">
        <f t="shared" si="10"/>
        <v>100</v>
      </c>
      <c r="T30" s="702" t="s">
        <v>14</v>
      </c>
      <c r="U30" s="703">
        <f t="shared" si="11"/>
        <v>100</v>
      </c>
      <c r="V30" s="702" t="s">
        <v>14</v>
      </c>
      <c r="W30" s="703">
        <f t="shared" si="12"/>
        <v>100</v>
      </c>
      <c r="X30" s="1352"/>
      <c r="Y30" s="3874"/>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9"/>
      <c r="M31" s="2713"/>
      <c r="N31" s="2713"/>
      <c r="O31" s="2771"/>
      <c r="P31" s="3874"/>
      <c r="Q31" s="1349">
        <f t="shared" si="8"/>
        <v>111</v>
      </c>
      <c r="R31" s="702" t="s">
        <v>14</v>
      </c>
      <c r="S31" s="703">
        <f t="shared" si="10"/>
        <v>100</v>
      </c>
      <c r="T31" s="702" t="s">
        <v>14</v>
      </c>
      <c r="U31" s="703">
        <f t="shared" si="11"/>
        <v>100</v>
      </c>
      <c r="V31" s="702" t="s">
        <v>14</v>
      </c>
      <c r="W31" s="703">
        <f t="shared" si="12"/>
        <v>100</v>
      </c>
      <c r="X31" s="1352"/>
      <c r="Y31" s="3874"/>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9"/>
      <c r="M32" s="2713"/>
      <c r="N32" s="2713"/>
      <c r="O32" s="2771"/>
      <c r="P32" s="3931" t="s">
        <v>1696</v>
      </c>
      <c r="Q32" s="1349">
        <f t="shared" si="8"/>
        <v>111</v>
      </c>
      <c r="R32" s="702" t="s">
        <v>14</v>
      </c>
      <c r="S32" s="703">
        <f t="shared" si="10"/>
        <v>100</v>
      </c>
      <c r="T32" s="702" t="s">
        <v>14</v>
      </c>
      <c r="U32" s="703">
        <f t="shared" si="11"/>
        <v>100</v>
      </c>
      <c r="V32" s="702" t="s">
        <v>14</v>
      </c>
      <c r="W32" s="703">
        <f t="shared" si="12"/>
        <v>100</v>
      </c>
      <c r="X32" s="1352"/>
      <c r="Y32" s="3878"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8"/>
      <c r="M33" s="2720"/>
      <c r="N33" s="2720"/>
      <c r="O33" s="2772"/>
      <c r="P33" s="3878"/>
      <c r="Q33" s="1349">
        <f t="shared" si="8"/>
        <v>111</v>
      </c>
      <c r="R33" s="705" t="s">
        <v>14</v>
      </c>
      <c r="S33" s="706">
        <f t="shared" si="10"/>
        <v>100</v>
      </c>
      <c r="T33" s="705" t="s">
        <v>14</v>
      </c>
      <c r="U33" s="706">
        <f t="shared" si="11"/>
        <v>100</v>
      </c>
      <c r="V33" s="705" t="s">
        <v>14</v>
      </c>
      <c r="W33" s="706">
        <f t="shared" si="12"/>
        <v>100</v>
      </c>
      <c r="X33" s="707"/>
      <c r="Y33" s="3878"/>
      <c r="Z33" s="708">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9"/>
      <c r="M34" s="2713"/>
      <c r="N34" s="2713"/>
      <c r="O34" s="2771"/>
      <c r="P34" s="3878"/>
      <c r="Q34" s="1349" t="str">
        <f>B34</f>
        <v>宗地面积</v>
      </c>
      <c r="R34" s="702" t="s">
        <v>14</v>
      </c>
      <c r="S34" s="703" t="e">
        <f t="shared" si="10"/>
        <v>#N/A</v>
      </c>
      <c r="T34" s="702" t="s">
        <v>14</v>
      </c>
      <c r="U34" s="703" t="e">
        <f t="shared" si="11"/>
        <v>#N/A</v>
      </c>
      <c r="V34" s="702" t="s">
        <v>14</v>
      </c>
      <c r="W34" s="703" t="e">
        <f t="shared" si="12"/>
        <v>#N/A</v>
      </c>
      <c r="X34" s="1352"/>
      <c r="Y34" s="3878"/>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9"/>
      <c r="M35" s="2713"/>
      <c r="N35" s="2713"/>
      <c r="O35" s="2771"/>
      <c r="P35" s="3878"/>
      <c r="Q35" s="1349" t="str">
        <f t="shared" ref="Q35:Q40" si="14">B35</f>
        <v>宗地形状</v>
      </c>
      <c r="R35" s="702" t="s">
        <v>14</v>
      </c>
      <c r="S35" s="703">
        <f t="shared" si="10"/>
        <v>100</v>
      </c>
      <c r="T35" s="702" t="s">
        <v>14</v>
      </c>
      <c r="U35" s="703">
        <f t="shared" si="11"/>
        <v>100</v>
      </c>
      <c r="V35" s="702" t="s">
        <v>14</v>
      </c>
      <c r="W35" s="703">
        <f t="shared" si="12"/>
        <v>100</v>
      </c>
      <c r="X35" s="1352"/>
      <c r="Y35" s="3878"/>
      <c r="Z35" s="1353" t="str">
        <f t="shared" si="13"/>
        <v>宗地形状</v>
      </c>
      <c r="AA35" s="1350">
        <f t="shared" si="3"/>
        <v>1</v>
      </c>
      <c r="AB35" s="1350">
        <f t="shared" si="4"/>
        <v>1</v>
      </c>
      <c r="AC35" s="1350">
        <f t="shared" si="5"/>
        <v>1</v>
      </c>
    </row>
    <row r="36" spans="1:31" s="107"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14"/>
      <c r="M36" s="2715"/>
      <c r="N36" s="2715"/>
      <c r="O36" s="2769"/>
      <c r="P36" s="3878"/>
      <c r="Q36" s="1349" t="str">
        <f t="shared" si="14"/>
        <v>宗地开发程度</v>
      </c>
      <c r="R36" s="698" t="s">
        <v>14</v>
      </c>
      <c r="S36" s="699">
        <f t="shared" si="10"/>
        <v>100</v>
      </c>
      <c r="T36" s="698" t="s">
        <v>14</v>
      </c>
      <c r="U36" s="699">
        <f t="shared" si="11"/>
        <v>100</v>
      </c>
      <c r="V36" s="698" t="s">
        <v>14</v>
      </c>
      <c r="W36" s="699">
        <f t="shared" si="12"/>
        <v>100</v>
      </c>
      <c r="X36" s="700"/>
      <c r="Y36" s="3878"/>
      <c r="Z36" s="52" t="str">
        <f t="shared" si="13"/>
        <v>宗地开发程度</v>
      </c>
      <c r="AA36" s="701">
        <f t="shared" si="3"/>
        <v>1</v>
      </c>
      <c r="AB36" s="701">
        <f t="shared" si="4"/>
        <v>1</v>
      </c>
      <c r="AC36" s="701">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9"/>
      <c r="M37" s="2713"/>
      <c r="N37" s="2713"/>
      <c r="O37" s="2771"/>
      <c r="P37" s="3878" t="s">
        <v>1696</v>
      </c>
      <c r="Q37" s="1349" t="str">
        <f t="shared" si="14"/>
        <v>工程地质条件</v>
      </c>
      <c r="R37" s="702" t="s">
        <v>14</v>
      </c>
      <c r="S37" s="703">
        <f t="shared" si="10"/>
        <v>100</v>
      </c>
      <c r="T37" s="702" t="s">
        <v>14</v>
      </c>
      <c r="U37" s="703">
        <f t="shared" si="11"/>
        <v>100</v>
      </c>
      <c r="V37" s="702" t="s">
        <v>14</v>
      </c>
      <c r="W37" s="703">
        <f t="shared" si="12"/>
        <v>100</v>
      </c>
      <c r="X37" s="1352"/>
      <c r="Y37" s="3878"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9"/>
      <c r="M38" s="2713"/>
      <c r="N38" s="2713"/>
      <c r="O38" s="2771"/>
      <c r="P38" s="3878"/>
      <c r="Q38" s="1349">
        <f t="shared" si="14"/>
        <v>111</v>
      </c>
      <c r="R38" s="702" t="s">
        <v>14</v>
      </c>
      <c r="S38" s="703">
        <f t="shared" si="10"/>
        <v>100</v>
      </c>
      <c r="T38" s="702" t="s">
        <v>14</v>
      </c>
      <c r="U38" s="703">
        <f t="shared" si="11"/>
        <v>100</v>
      </c>
      <c r="V38" s="702" t="s">
        <v>14</v>
      </c>
      <c r="W38" s="703">
        <f t="shared" si="12"/>
        <v>100</v>
      </c>
      <c r="X38" s="1352"/>
      <c r="Y38" s="3878"/>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9"/>
      <c r="M39" s="2713"/>
      <c r="N39" s="2713"/>
      <c r="O39" s="2771"/>
      <c r="P39" s="3878"/>
      <c r="Q39" s="1349">
        <f t="shared" si="14"/>
        <v>111</v>
      </c>
      <c r="R39" s="702" t="s">
        <v>14</v>
      </c>
      <c r="S39" s="703">
        <f t="shared" si="10"/>
        <v>100</v>
      </c>
      <c r="T39" s="702" t="s">
        <v>14</v>
      </c>
      <c r="U39" s="703">
        <f t="shared" si="11"/>
        <v>100</v>
      </c>
      <c r="V39" s="702" t="s">
        <v>14</v>
      </c>
      <c r="W39" s="703">
        <f t="shared" si="12"/>
        <v>100</v>
      </c>
      <c r="X39" s="1352"/>
      <c r="Y39" s="3878"/>
      <c r="Z39" s="1353">
        <f t="shared" si="13"/>
        <v>111</v>
      </c>
      <c r="AA39" s="1350">
        <f t="shared" si="3"/>
        <v>1</v>
      </c>
      <c r="AB39" s="1350">
        <f t="shared" si="4"/>
        <v>1</v>
      </c>
      <c r="AC39" s="1350">
        <f t="shared" si="5"/>
        <v>1</v>
      </c>
    </row>
    <row r="40" spans="1:31" s="420" customFormat="1" ht="15.75"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8"/>
      <c r="M40" s="2720"/>
      <c r="N40" s="2720"/>
      <c r="O40" s="2772"/>
      <c r="P40" s="3878"/>
      <c r="Q40" s="1349">
        <f t="shared" si="14"/>
        <v>111</v>
      </c>
      <c r="R40" s="705" t="s">
        <v>14</v>
      </c>
      <c r="S40" s="706">
        <f t="shared" si="10"/>
        <v>100</v>
      </c>
      <c r="T40" s="705" t="s">
        <v>14</v>
      </c>
      <c r="U40" s="706">
        <f t="shared" si="11"/>
        <v>100</v>
      </c>
      <c r="V40" s="705" t="s">
        <v>14</v>
      </c>
      <c r="W40" s="706">
        <f t="shared" si="12"/>
        <v>100</v>
      </c>
      <c r="X40" s="707"/>
      <c r="Y40" s="3878"/>
      <c r="Z40" s="708">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1"/>
      <c r="L41" s="2721"/>
      <c r="M41" s="2713"/>
      <c r="N41" s="2713"/>
      <c r="O41" s="2722"/>
      <c r="P41" s="3871" t="str">
        <f>A41</f>
        <v>成交单价</v>
      </c>
      <c r="Q41" s="3871"/>
      <c r="R41" s="3902">
        <f>E41</f>
        <v>0</v>
      </c>
      <c r="S41" s="3902"/>
      <c r="T41" s="3902">
        <f>G41</f>
        <v>0</v>
      </c>
      <c r="U41" s="3902"/>
      <c r="V41" s="3902">
        <f>I41</f>
        <v>0</v>
      </c>
      <c r="W41" s="3902"/>
      <c r="X41" s="687"/>
      <c r="Y41" s="709"/>
      <c r="Z41" s="687"/>
      <c r="AA41" s="687"/>
      <c r="AB41" s="687"/>
      <c r="AC41" s="687"/>
    </row>
    <row r="42" spans="1:31" ht="15.75" thickBot="1">
      <c r="A42" s="435" t="s">
        <v>1793</v>
      </c>
      <c r="B42" s="629"/>
      <c r="C42" s="438" t="e">
        <f>R43</f>
        <v>#DIV/0!</v>
      </c>
      <c r="D42" s="2314" t="s">
        <v>2138</v>
      </c>
      <c r="E42" s="438" t="e">
        <f>R42</f>
        <v>#DIV/0!</v>
      </c>
      <c r="F42" s="2315"/>
      <c r="G42" s="437" t="e">
        <f>T42</f>
        <v>#DIV/0!</v>
      </c>
      <c r="H42" s="2315"/>
      <c r="I42" s="438" t="e">
        <f>V42</f>
        <v>#DIV/0!</v>
      </c>
      <c r="J42" s="2315"/>
      <c r="K42" s="2317">
        <f>F42+H42+J42</f>
        <v>0</v>
      </c>
      <c r="L42" s="2721"/>
      <c r="M42" s="2713"/>
      <c r="N42" s="2713"/>
      <c r="O42" s="2722"/>
      <c r="P42" s="3871" t="str">
        <f>A42</f>
        <v>比较价值（元/平方米）</v>
      </c>
      <c r="Q42" s="3871"/>
      <c r="R42" s="3933" t="e">
        <f>ROUND(PRODUCT(R41,AA7:AA40),0)</f>
        <v>#DIV/0!</v>
      </c>
      <c r="S42" s="3933"/>
      <c r="T42" s="3933" t="e">
        <f>ROUND(PRODUCT(T41,AB7:AB40),0)</f>
        <v>#DIV/0!</v>
      </c>
      <c r="U42" s="3933"/>
      <c r="V42" s="3933" t="e">
        <f>ROUND(PRODUCT(V41,AC7:AC40),0)</f>
        <v>#DIV/0!</v>
      </c>
      <c r="W42" s="3933"/>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21"/>
      <c r="M43" s="2713"/>
      <c r="N43" s="2713"/>
      <c r="O43" s="2722"/>
      <c r="P43" s="3868" t="str">
        <f>A43</f>
        <v>估价对象XX用房的比较价值（楼面单价，元/平方米）</v>
      </c>
      <c r="Q43" s="3869"/>
      <c r="R43" s="3934" t="e">
        <f>ROUND(IF(D42="简单平均",AVERAGE(R42:W42),R42*F42+T42*H42+V42*J42),0)</f>
        <v>#DIV/0!</v>
      </c>
      <c r="S43" s="3934"/>
      <c r="T43" s="3934"/>
      <c r="U43" s="3934"/>
      <c r="V43" s="3934"/>
      <c r="W43" s="3934"/>
      <c r="X43" s="687"/>
      <c r="Y43" s="687"/>
      <c r="Z43" s="687"/>
      <c r="AA43" s="687"/>
      <c r="AB43" s="687"/>
      <c r="AC43" s="687"/>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49" customFormat="1" ht="15" thickBot="1">
      <c r="A49" s="2725"/>
      <c r="B49" s="2728"/>
      <c r="C49" s="690"/>
      <c r="D49" s="688"/>
      <c r="E49" s="688"/>
      <c r="F49" s="688"/>
      <c r="G49" s="688"/>
      <c r="H49" s="688"/>
      <c r="I49" s="688"/>
      <c r="J49" s="688"/>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0" t="s">
        <v>1881</v>
      </c>
      <c r="B50" s="631" t="s">
        <v>1882</v>
      </c>
      <c r="C50" s="1980" t="s">
        <v>1883</v>
      </c>
      <c r="D50" s="1981" t="s">
        <v>1884</v>
      </c>
      <c r="E50" s="632" t="s">
        <v>1885</v>
      </c>
      <c r="F50" s="633" t="s">
        <v>1886</v>
      </c>
      <c r="G50" s="3886" t="s">
        <v>1887</v>
      </c>
      <c r="H50" s="3935"/>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8" customFormat="1">
      <c r="A51" s="634" t="s">
        <v>1890</v>
      </c>
      <c r="B51" s="635" t="e">
        <f>C43</f>
        <v>#DIV/0!</v>
      </c>
      <c r="C51" s="636">
        <v>1</v>
      </c>
      <c r="D51" s="941">
        <v>1</v>
      </c>
      <c r="E51" s="636">
        <f>'数据-汇总表'!E8+'数据-汇总表'!E9</f>
        <v>9775.8700000000008</v>
      </c>
      <c r="F51" s="637" t="e">
        <f t="shared" ref="F51:F60" si="15">ROUND(B51*E51/10000,0)</f>
        <v>#DIV/0!</v>
      </c>
      <c r="G51" s="3882"/>
      <c r="H51" s="3871"/>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8" customFormat="1">
      <c r="A52" s="639" t="s">
        <v>1891</v>
      </c>
      <c r="B52" s="216" t="e">
        <f>ROUND($C$43*C52*D52,0)</f>
        <v>#DIV/0!</v>
      </c>
      <c r="C52" s="169">
        <f t="shared" ref="C52:C60" si="16">IF($C$50="北京市系数",I52,J52)</f>
        <v>0</v>
      </c>
      <c r="D52" s="942">
        <v>0.25</v>
      </c>
      <c r="E52" s="640"/>
      <c r="F52" s="637" t="e">
        <f t="shared" si="15"/>
        <v>#DIV/0!</v>
      </c>
      <c r="G52" s="3003" t="s">
        <v>1892</v>
      </c>
      <c r="H52" s="884">
        <f>项目基本情况!B37</f>
        <v>0</v>
      </c>
      <c r="I52" s="770">
        <f>SUMIF(修正!A57:A68,H52,修正!B57:B68)</f>
        <v>0</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8" customFormat="1">
      <c r="A53" s="639" t="s">
        <v>1893</v>
      </c>
      <c r="B53" s="216" t="e">
        <f t="shared" ref="B53:B60" si="17">ROUND($C$43*C53*D53,0)</f>
        <v>#DIV/0!</v>
      </c>
      <c r="C53" s="169">
        <f t="shared" si="16"/>
        <v>0</v>
      </c>
      <c r="D53" s="942">
        <v>0.25</v>
      </c>
      <c r="E53" s="640"/>
      <c r="F53" s="637" t="e">
        <f t="shared" si="15"/>
        <v>#DIV/0!</v>
      </c>
      <c r="G53" s="3004"/>
      <c r="H53" s="884">
        <f>项目基本情况!B37</f>
        <v>0</v>
      </c>
      <c r="I53" s="770">
        <f>SUMIF(修正!A57:A68,H53,修正!C57:C68)</f>
        <v>0</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8" customFormat="1">
      <c r="A54" s="639" t="s">
        <v>1894</v>
      </c>
      <c r="B54" s="216" t="e">
        <f t="shared" si="17"/>
        <v>#DIV/0!</v>
      </c>
      <c r="C54" s="169">
        <f t="shared" si="16"/>
        <v>0</v>
      </c>
      <c r="D54" s="942">
        <v>0.25</v>
      </c>
      <c r="E54" s="640"/>
      <c r="F54" s="637" t="e">
        <f t="shared" si="15"/>
        <v>#DIV/0!</v>
      </c>
      <c r="G54" s="3004"/>
      <c r="H54" s="884">
        <f>项目基本情况!B37</f>
        <v>0</v>
      </c>
      <c r="I54" s="770">
        <f>SUMIF(修正!A57:A68,H54,修正!D57:D68)</f>
        <v>0</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8" customFormat="1" hidden="1">
      <c r="A55" s="639"/>
      <c r="B55" s="216"/>
      <c r="C55" s="169"/>
      <c r="D55" s="942"/>
      <c r="E55" s="640"/>
      <c r="F55" s="637"/>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8" customFormat="1">
      <c r="A56" s="639" t="s">
        <v>1895</v>
      </c>
      <c r="B56" s="216" t="e">
        <f t="shared" si="17"/>
        <v>#DIV/0!</v>
      </c>
      <c r="C56" s="169">
        <f t="shared" si="16"/>
        <v>0.3</v>
      </c>
      <c r="D56" s="942">
        <v>0.25</v>
      </c>
      <c r="E56" s="215">
        <f>'数据-汇总表'!E11</f>
        <v>2224.3599999999997</v>
      </c>
      <c r="F56" s="637" t="e">
        <f t="shared" si="15"/>
        <v>#DIV/0!</v>
      </c>
      <c r="G56" s="1984" t="s">
        <v>1896</v>
      </c>
      <c r="H56" s="884" t="str">
        <f>项目基本情况!C37</f>
        <v>二级</v>
      </c>
      <c r="I56" s="770">
        <f>SUMIF(修正!A57:A68,H56,修正!E57:E68)</f>
        <v>0.3</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8" customFormat="1">
      <c r="A57" s="639" t="s">
        <v>1897</v>
      </c>
      <c r="B57" s="216" t="e">
        <f t="shared" si="17"/>
        <v>#DIV/0!</v>
      </c>
      <c r="C57" s="169">
        <f t="shared" si="16"/>
        <v>0.3</v>
      </c>
      <c r="D57" s="942">
        <v>0.25</v>
      </c>
      <c r="E57" s="215">
        <f>'数据-汇总表'!E12</f>
        <v>0</v>
      </c>
      <c r="F57" s="637" t="e">
        <f t="shared" si="15"/>
        <v>#DIV/0!</v>
      </c>
      <c r="G57" s="889" t="s">
        <v>1898</v>
      </c>
      <c r="H57" s="884" t="str">
        <f>IF(G57="商业",项目基本情况!B37,IF(G57="办公",项目基本情况!C37,IF(G57="住宅",项目基本情况!D37,项目基本情况!E37)))</f>
        <v>二级</v>
      </c>
      <c r="I57" s="770">
        <f>SUMIF(修正!A57:A68,H57,修正!F57:F68)</f>
        <v>0.3</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8" customFormat="1">
      <c r="A58" s="639" t="s">
        <v>1899</v>
      </c>
      <c r="B58" s="216" t="e">
        <f t="shared" si="17"/>
        <v>#DIV/0!</v>
      </c>
      <c r="C58" s="169">
        <f t="shared" si="16"/>
        <v>0</v>
      </c>
      <c r="D58" s="942">
        <v>0.25</v>
      </c>
      <c r="E58" s="215">
        <f>'数据-汇总表'!E13</f>
        <v>0</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8" customFormat="1">
      <c r="A59" s="639" t="s">
        <v>1901</v>
      </c>
      <c r="B59" s="216" t="e">
        <f t="shared" si="17"/>
        <v>#DIV/0!</v>
      </c>
      <c r="C59" s="169">
        <f t="shared" si="16"/>
        <v>0</v>
      </c>
      <c r="D59" s="942">
        <v>0.25</v>
      </c>
      <c r="E59" s="215">
        <f>'数据-汇总表'!E14</f>
        <v>0</v>
      </c>
      <c r="F59" s="637" t="e">
        <f t="shared" si="15"/>
        <v>#DIV/0!</v>
      </c>
      <c r="G59" s="1984" t="s">
        <v>1892</v>
      </c>
      <c r="H59" s="884">
        <f>项目基本情况!B37</f>
        <v>0</v>
      </c>
      <c r="I59" s="770">
        <f>SUMIF(修正!A57:A68,H59,修正!G57:G68)</f>
        <v>0</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8" customFormat="1" ht="15" thickBot="1">
      <c r="A60" s="639" t="s">
        <v>1902</v>
      </c>
      <c r="B60" s="216" t="e">
        <f t="shared" si="17"/>
        <v>#DIV/0!</v>
      </c>
      <c r="C60" s="169">
        <f t="shared" si="16"/>
        <v>0.2</v>
      </c>
      <c r="D60" s="942">
        <v>0.25</v>
      </c>
      <c r="E60" s="215">
        <f>'数据-汇总表'!E15</f>
        <v>0</v>
      </c>
      <c r="F60" s="637" t="e">
        <f t="shared" si="15"/>
        <v>#DIV/0!</v>
      </c>
      <c r="G60" s="1985" t="s">
        <v>1896</v>
      </c>
      <c r="H60" s="894" t="str">
        <f>项目基本情况!C37</f>
        <v>二级</v>
      </c>
      <c r="I60" s="770">
        <f>SUMIF(修正!A57:A68,H60,修正!G57:G68)</f>
        <v>0.2</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8" customFormat="1" ht="15" thickBot="1">
      <c r="A61" s="641" t="s">
        <v>1903</v>
      </c>
      <c r="B61" s="642" t="s">
        <v>22</v>
      </c>
      <c r="C61" s="642" t="s">
        <v>23</v>
      </c>
      <c r="D61" s="642" t="s">
        <v>392</v>
      </c>
      <c r="E61" s="642">
        <f>IF(B41="楼面地价",SUM(E51:E60),'数据-汇总表'!D3)</f>
        <v>1066.21</v>
      </c>
      <c r="F61" s="643"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89" t="str">
        <f>YEAR(C7)&amp;"-"&amp;MONTH(C7)&amp;"-1"</f>
        <v>2023-1-1</v>
      </c>
      <c r="D63" s="689">
        <f>EDATE(C63,-3)</f>
        <v>44835</v>
      </c>
      <c r="E63" s="689">
        <f>EDATE(D63,-3)</f>
        <v>44743</v>
      </c>
      <c r="F63" s="689">
        <f t="shared" ref="F63:O63" si="18">EDATE(E63,-3)</f>
        <v>44652</v>
      </c>
      <c r="G63" s="689">
        <f t="shared" si="18"/>
        <v>44562</v>
      </c>
      <c r="H63" s="689">
        <f t="shared" si="18"/>
        <v>44470</v>
      </c>
      <c r="I63" s="689">
        <f t="shared" si="18"/>
        <v>44378</v>
      </c>
      <c r="J63" s="689">
        <f t="shared" si="18"/>
        <v>44287</v>
      </c>
      <c r="K63" s="689">
        <f t="shared" si="18"/>
        <v>44197</v>
      </c>
      <c r="L63" s="689">
        <f t="shared" si="18"/>
        <v>44105</v>
      </c>
      <c r="M63" s="689">
        <f t="shared" si="18"/>
        <v>44013</v>
      </c>
      <c r="N63" s="689">
        <f t="shared" si="18"/>
        <v>43922</v>
      </c>
      <c r="O63" s="689">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1" t="s">
        <v>1798</v>
      </c>
      <c r="B64" s="687"/>
      <c r="C64" s="692"/>
      <c r="D64" s="692"/>
      <c r="E64" s="692"/>
      <c r="F64" s="693"/>
      <c r="G64" s="693"/>
      <c r="H64" s="692"/>
      <c r="I64" s="692"/>
      <c r="J64" s="692"/>
      <c r="K64" s="694"/>
      <c r="L64" s="695"/>
      <c r="M64" s="692"/>
      <c r="N64" s="692"/>
      <c r="O64" s="937"/>
      <c r="P64" s="2766"/>
      <c r="Q64" s="2736"/>
      <c r="R64" s="2722"/>
      <c r="S64" s="2722"/>
      <c r="T64" s="2722"/>
      <c r="U64" s="2722"/>
      <c r="V64" s="2722"/>
      <c r="W64" s="2722"/>
      <c r="X64" s="2722"/>
      <c r="Y64" s="2722"/>
      <c r="Z64" s="2722"/>
      <c r="AA64" s="2722"/>
      <c r="AB64" s="2722"/>
      <c r="AC64" s="2722"/>
      <c r="AD64" s="2722"/>
      <c r="AE64" s="2722"/>
    </row>
    <row r="65" spans="1:31" s="455" customFormat="1" ht="15">
      <c r="A65" s="1986" t="s">
        <v>1904</v>
      </c>
      <c r="B65" s="1106"/>
      <c r="C65" s="1179" t="str">
        <f>YEAR(C63)&amp;"-"&amp;ROUNDUP(MONTH(C63)/3,0)</f>
        <v>2023-1</v>
      </c>
      <c r="D65" s="1179" t="str">
        <f t="shared" ref="D65:O65" si="19">YEAR(D63)&amp;"-"&amp;ROUNDUP(MONTH(D63)/3,0)</f>
        <v>2022-4</v>
      </c>
      <c r="E65" s="1179" t="str">
        <f t="shared" si="19"/>
        <v>2022-3</v>
      </c>
      <c r="F65" s="1179" t="str">
        <f t="shared" si="19"/>
        <v>2022-2</v>
      </c>
      <c r="G65" s="1179" t="str">
        <f t="shared" si="19"/>
        <v>2022-1</v>
      </c>
      <c r="H65" s="1179" t="str">
        <f t="shared" si="19"/>
        <v>2021-4</v>
      </c>
      <c r="I65" s="1179" t="str">
        <f t="shared" si="19"/>
        <v>2021-3</v>
      </c>
      <c r="J65" s="1179" t="str">
        <f t="shared" si="19"/>
        <v>2021-2</v>
      </c>
      <c r="K65" s="1179" t="str">
        <f t="shared" si="19"/>
        <v>2021-1</v>
      </c>
      <c r="L65" s="1179" t="str">
        <f t="shared" si="19"/>
        <v>2020-4</v>
      </c>
      <c r="M65" s="1179" t="str">
        <f t="shared" si="19"/>
        <v>2020-3</v>
      </c>
      <c r="N65" s="1179" t="str">
        <f t="shared" si="19"/>
        <v>2020-2</v>
      </c>
      <c r="O65" s="1179" t="str">
        <f t="shared" si="19"/>
        <v>2020-1</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2" t="s">
        <v>1716</v>
      </c>
      <c r="B67" s="463"/>
      <c r="C67" s="464"/>
      <c r="D67" s="465"/>
      <c r="E67" s="465"/>
      <c r="F67" s="465"/>
      <c r="G67" s="465"/>
      <c r="H67" s="465"/>
      <c r="I67" s="465"/>
      <c r="J67" s="465"/>
      <c r="K67" s="465"/>
      <c r="L67" s="465"/>
      <c r="M67" s="466"/>
      <c r="N67" s="466"/>
      <c r="O67" s="467"/>
      <c r="P67" s="2736"/>
      <c r="Q67" s="2736"/>
      <c r="R67" s="2658"/>
      <c r="S67" s="2658"/>
      <c r="T67" s="2658"/>
      <c r="U67" s="2658"/>
      <c r="V67" s="2658"/>
      <c r="W67" s="2658"/>
      <c r="X67" s="2658"/>
      <c r="Y67" s="2658"/>
      <c r="Z67" s="2658"/>
      <c r="AA67" s="2658"/>
      <c r="AB67" s="2658"/>
      <c r="AC67" s="2658"/>
      <c r="AD67" s="2658"/>
      <c r="AE67" s="2658"/>
    </row>
    <row r="68" spans="1:31" s="107" customFormat="1" ht="15">
      <c r="A68" s="468" t="s">
        <v>1681</v>
      </c>
      <c r="B68" s="457"/>
      <c r="C68" s="469" t="s">
        <v>1776</v>
      </c>
      <c r="D68" s="470"/>
      <c r="E68" s="470"/>
      <c r="F68" s="470"/>
      <c r="G68" s="470"/>
      <c r="H68" s="470"/>
      <c r="I68" s="470"/>
      <c r="J68" s="470"/>
      <c r="K68" s="470"/>
      <c r="L68" s="471"/>
      <c r="M68" s="472"/>
      <c r="N68" s="2749"/>
      <c r="O68" s="2749"/>
      <c r="P68" s="2774"/>
      <c r="Q68" s="2736"/>
      <c r="R68" s="2658"/>
      <c r="S68" s="2658"/>
      <c r="T68" s="2658"/>
      <c r="U68" s="2658"/>
      <c r="V68" s="2658"/>
      <c r="W68" s="2658"/>
      <c r="X68" s="2658"/>
      <c r="Y68" s="2658"/>
      <c r="Z68" s="2658"/>
      <c r="AA68" s="2658"/>
      <c r="AB68" s="2658"/>
      <c r="AC68" s="2658"/>
      <c r="AD68" s="2658"/>
      <c r="AE68" s="2658"/>
    </row>
    <row r="69" spans="1:31" s="107" customFormat="1" ht="15.75" thickBot="1">
      <c r="A69" s="468"/>
      <c r="B69" s="457"/>
      <c r="C69" s="585">
        <v>100</v>
      </c>
      <c r="D69" s="459"/>
      <c r="E69" s="459"/>
      <c r="F69" s="459"/>
      <c r="G69" s="459"/>
      <c r="H69" s="459"/>
      <c r="I69" s="459"/>
      <c r="J69" s="459"/>
      <c r="K69" s="459"/>
      <c r="L69" s="459"/>
      <c r="M69" s="461"/>
      <c r="N69" s="2749"/>
      <c r="O69" s="2749"/>
      <c r="P69" s="2736"/>
      <c r="Q69" s="2736"/>
      <c r="R69" s="2658"/>
      <c r="S69" s="2658"/>
      <c r="T69" s="2658"/>
      <c r="U69" s="2658"/>
      <c r="V69" s="2658"/>
      <c r="W69" s="2658"/>
      <c r="X69" s="2658"/>
      <c r="Y69" s="2658"/>
      <c r="Z69" s="2658"/>
      <c r="AA69" s="2658"/>
      <c r="AB69" s="2658"/>
      <c r="AC69" s="2658"/>
      <c r="AD69" s="2658"/>
      <c r="AE69" s="2658"/>
    </row>
    <row r="70" spans="1:31">
      <c r="A70" s="474" t="s">
        <v>1719</v>
      </c>
      <c r="B70" s="475" t="s">
        <v>1685</v>
      </c>
      <c r="C70" s="477"/>
      <c r="D70" s="477"/>
      <c r="E70" s="477"/>
      <c r="F70" s="477"/>
      <c r="G70" s="477"/>
      <c r="H70" s="477"/>
      <c r="I70" s="477"/>
      <c r="J70" s="477"/>
      <c r="K70" s="478"/>
      <c r="L70" s="479"/>
      <c r="M70" s="480"/>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1"/>
      <c r="B71" s="482"/>
      <c r="C71" s="483"/>
      <c r="D71" s="483"/>
      <c r="E71" s="483"/>
      <c r="F71" s="483"/>
      <c r="G71" s="483"/>
      <c r="H71" s="483"/>
      <c r="I71" s="483"/>
      <c r="J71" s="483"/>
      <c r="K71" s="483"/>
      <c r="L71" s="483"/>
      <c r="M71" s="484"/>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1"/>
      <c r="B72" s="485" t="s">
        <v>1688</v>
      </c>
      <c r="C72" s="486"/>
      <c r="D72" s="486"/>
      <c r="E72" s="486"/>
      <c r="F72" s="486"/>
      <c r="G72" s="486"/>
      <c r="H72" s="486"/>
      <c r="I72" s="486"/>
      <c r="J72" s="486"/>
      <c r="K72" s="487"/>
      <c r="L72" s="488"/>
      <c r="M72" s="489"/>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1"/>
      <c r="B73" s="490"/>
      <c r="C73" s="491"/>
      <c r="D73" s="491"/>
      <c r="E73" s="491"/>
      <c r="F73" s="491"/>
      <c r="G73" s="491"/>
      <c r="H73" s="491"/>
      <c r="I73" s="491"/>
      <c r="J73" s="491"/>
      <c r="K73" s="491"/>
      <c r="L73" s="491"/>
      <c r="M73" s="492"/>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1"/>
      <c r="B75" s="495"/>
      <c r="C75" s="496"/>
      <c r="D75" s="496"/>
      <c r="E75" s="496"/>
      <c r="F75" s="496"/>
      <c r="G75" s="496"/>
      <c r="H75" s="496"/>
      <c r="I75" s="496"/>
      <c r="J75" s="496"/>
      <c r="K75" s="497"/>
      <c r="L75" s="498"/>
      <c r="M75" s="499"/>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0" customFormat="1" ht="15.75" thickTop="1">
      <c r="A77" s="500"/>
      <c r="B77" s="485">
        <f>B12</f>
        <v>111</v>
      </c>
      <c r="C77" s="501"/>
      <c r="D77" s="501"/>
      <c r="E77" s="501"/>
      <c r="F77" s="501"/>
      <c r="G77" s="501"/>
      <c r="H77" s="502"/>
      <c r="I77" s="502"/>
      <c r="J77" s="502"/>
      <c r="K77" s="502"/>
      <c r="L77" s="503"/>
      <c r="M77" s="504"/>
      <c r="N77" s="2752"/>
      <c r="O77" s="2752"/>
      <c r="P77" s="2776"/>
      <c r="Q77" s="2743"/>
      <c r="R77" s="2744"/>
      <c r="S77" s="2744"/>
      <c r="T77" s="2744"/>
      <c r="U77" s="2744"/>
      <c r="V77" s="2744"/>
      <c r="W77" s="2744"/>
      <c r="X77" s="2744"/>
      <c r="Y77" s="2744"/>
      <c r="Z77" s="2744"/>
      <c r="AA77" s="2744"/>
      <c r="AB77" s="2744"/>
      <c r="AC77" s="2744"/>
      <c r="AD77" s="2744"/>
      <c r="AE77" s="2744"/>
    </row>
    <row r="78" spans="1:31" s="420" customFormat="1" ht="15.75" thickBot="1">
      <c r="A78" s="500"/>
      <c r="B78" s="490"/>
      <c r="C78" s="507"/>
      <c r="D78" s="483"/>
      <c r="E78" s="483"/>
      <c r="F78" s="483"/>
      <c r="G78" s="483"/>
      <c r="H78" s="483"/>
      <c r="I78" s="483"/>
      <c r="J78" s="483"/>
      <c r="K78" s="483"/>
      <c r="L78" s="483"/>
      <c r="M78" s="484"/>
      <c r="N78" s="2751"/>
      <c r="O78" s="2751"/>
      <c r="P78" s="2776"/>
      <c r="Q78" s="2743"/>
      <c r="R78" s="2744"/>
      <c r="S78" s="2744"/>
      <c r="T78" s="2744"/>
      <c r="U78" s="2744"/>
      <c r="V78" s="2744"/>
      <c r="W78" s="2744"/>
      <c r="X78" s="2744"/>
      <c r="Y78" s="2744"/>
      <c r="Z78" s="2744"/>
      <c r="AA78" s="2744"/>
      <c r="AB78" s="2744"/>
      <c r="AC78" s="2744"/>
      <c r="AD78" s="2744"/>
      <c r="AE78" s="2744"/>
    </row>
    <row r="79" spans="1:31" s="420" customFormat="1" ht="15.75" thickTop="1">
      <c r="A79" s="500"/>
      <c r="B79" s="485">
        <f>B13</f>
        <v>111</v>
      </c>
      <c r="C79" s="501"/>
      <c r="D79" s="501"/>
      <c r="E79" s="501"/>
      <c r="F79" s="501"/>
      <c r="G79" s="501"/>
      <c r="H79" s="502"/>
      <c r="I79" s="502"/>
      <c r="J79" s="502"/>
      <c r="K79" s="502"/>
      <c r="L79" s="503"/>
      <c r="M79" s="504"/>
      <c r="N79" s="2752"/>
      <c r="O79" s="2752"/>
      <c r="P79" s="2720"/>
      <c r="Q79" s="2746"/>
      <c r="R79" s="2744"/>
      <c r="S79" s="2744"/>
      <c r="T79" s="2744"/>
      <c r="U79" s="2744"/>
      <c r="V79" s="2744"/>
      <c r="W79" s="2744"/>
      <c r="X79" s="2744"/>
      <c r="Y79" s="2744"/>
      <c r="Z79" s="2744"/>
      <c r="AA79" s="2744"/>
      <c r="AB79" s="2744"/>
      <c r="AC79" s="2744"/>
      <c r="AD79" s="2744"/>
      <c r="AE79" s="2744"/>
    </row>
    <row r="80" spans="1:31" s="420" customFormat="1" ht="15.75" thickBot="1">
      <c r="A80" s="500"/>
      <c r="B80" s="490"/>
      <c r="C80" s="507"/>
      <c r="D80" s="507"/>
      <c r="E80" s="507"/>
      <c r="F80" s="507"/>
      <c r="G80" s="507"/>
      <c r="H80" s="509"/>
      <c r="I80" s="509"/>
      <c r="J80" s="509"/>
      <c r="K80" s="509"/>
      <c r="L80" s="509"/>
      <c r="M80" s="510"/>
      <c r="N80" s="2752"/>
      <c r="O80" s="2752"/>
      <c r="P80" s="2776"/>
      <c r="Q80" s="2743"/>
      <c r="R80" s="2744"/>
      <c r="S80" s="2744"/>
      <c r="T80" s="2744"/>
      <c r="U80" s="2744"/>
      <c r="V80" s="2744"/>
      <c r="W80" s="2744"/>
      <c r="X80" s="2744"/>
      <c r="Y80" s="2744"/>
      <c r="Z80" s="2744"/>
      <c r="AA80" s="2744"/>
      <c r="AB80" s="2744"/>
      <c r="AC80" s="2744"/>
      <c r="AD80" s="2744"/>
      <c r="AE80" s="2744"/>
    </row>
    <row r="81" spans="1:31" s="420" customFormat="1" ht="15.75" thickTop="1">
      <c r="A81" s="500"/>
      <c r="B81" s="493">
        <f>B14</f>
        <v>111</v>
      </c>
      <c r="C81" s="470"/>
      <c r="D81" s="470"/>
      <c r="E81" s="470"/>
      <c r="F81" s="470"/>
      <c r="G81" s="470"/>
      <c r="H81" s="511"/>
      <c r="I81" s="511"/>
      <c r="J81" s="511"/>
      <c r="K81" s="511"/>
      <c r="L81" s="512"/>
      <c r="M81" s="513"/>
      <c r="N81" s="2752"/>
      <c r="O81" s="2752"/>
      <c r="P81" s="2781"/>
      <c r="Q81" s="2743"/>
      <c r="R81" s="2744"/>
      <c r="S81" s="2744"/>
      <c r="T81" s="2744"/>
      <c r="U81" s="2744"/>
      <c r="V81" s="2744"/>
      <c r="W81" s="2744"/>
      <c r="X81" s="2744"/>
      <c r="Y81" s="2744"/>
      <c r="Z81" s="2744"/>
      <c r="AA81" s="2744"/>
      <c r="AB81" s="2744"/>
      <c r="AC81" s="2744"/>
      <c r="AD81" s="2744"/>
      <c r="AE81" s="2744"/>
    </row>
    <row r="82" spans="1:31" s="420" customFormat="1" ht="15.75" thickBot="1">
      <c r="A82" s="515"/>
      <c r="B82" s="516"/>
      <c r="C82" s="517"/>
      <c r="D82" s="517"/>
      <c r="E82" s="517"/>
      <c r="F82" s="517"/>
      <c r="G82" s="517"/>
      <c r="H82" s="518"/>
      <c r="I82" s="518"/>
      <c r="J82" s="518"/>
      <c r="K82" s="518"/>
      <c r="L82" s="518"/>
      <c r="M82" s="519"/>
      <c r="N82" s="2752"/>
      <c r="O82" s="2752"/>
      <c r="P82" s="2776"/>
      <c r="Q82" s="2743"/>
      <c r="R82" s="2744"/>
      <c r="S82" s="2744"/>
      <c r="T82" s="2744"/>
      <c r="U82" s="2744"/>
      <c r="V82" s="2744"/>
      <c r="W82" s="2744"/>
      <c r="X82" s="2744"/>
      <c r="Y82" s="2744"/>
      <c r="Z82" s="2744"/>
      <c r="AA82" s="2744"/>
      <c r="AB82" s="2744"/>
      <c r="AC82" s="2744"/>
      <c r="AD82" s="2744"/>
      <c r="AE82" s="2744"/>
    </row>
    <row r="83" spans="1:31">
      <c r="A83" s="474" t="s">
        <v>1690</v>
      </c>
      <c r="B83" s="475" t="s">
        <v>1829</v>
      </c>
      <c r="C83" s="520" t="s">
        <v>1721</v>
      </c>
      <c r="D83" s="520" t="s">
        <v>1722</v>
      </c>
      <c r="E83" s="520" t="s">
        <v>1723</v>
      </c>
      <c r="F83" s="520" t="s">
        <v>1724</v>
      </c>
      <c r="G83" s="520" t="s">
        <v>1725</v>
      </c>
      <c r="H83" s="476"/>
      <c r="I83" s="476"/>
      <c r="J83" s="476"/>
      <c r="K83" s="521"/>
      <c r="L83" s="522"/>
      <c r="M83" s="523"/>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1"/>
      <c r="B85" s="485" t="s">
        <v>1726</v>
      </c>
      <c r="C85" s="525" t="s">
        <v>1721</v>
      </c>
      <c r="D85" s="525" t="s">
        <v>1722</v>
      </c>
      <c r="E85" s="525" t="s">
        <v>1723</v>
      </c>
      <c r="F85" s="525" t="s">
        <v>1724</v>
      </c>
      <c r="G85" s="525" t="s">
        <v>1725</v>
      </c>
      <c r="H85" s="486"/>
      <c r="I85" s="486"/>
      <c r="J85" s="486"/>
      <c r="K85" s="487"/>
      <c r="L85" s="488"/>
      <c r="M85" s="489"/>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6"/>
      <c r="B87" s="485" t="s">
        <v>1907</v>
      </c>
      <c r="C87" s="520" t="s">
        <v>1721</v>
      </c>
      <c r="D87" s="520" t="s">
        <v>1722</v>
      </c>
      <c r="E87" s="520" t="s">
        <v>1723</v>
      </c>
      <c r="F87" s="520" t="s">
        <v>1724</v>
      </c>
      <c r="G87" s="520" t="s">
        <v>1725</v>
      </c>
      <c r="H87" s="525"/>
      <c r="I87" s="525"/>
      <c r="J87" s="525"/>
      <c r="K87" s="525"/>
      <c r="L87" s="644"/>
      <c r="M87" s="568"/>
      <c r="N87" s="2749"/>
      <c r="O87" s="2749"/>
      <c r="P87" s="2775"/>
      <c r="Q87" s="2736"/>
      <c r="R87" s="2658"/>
      <c r="S87" s="2658"/>
      <c r="T87" s="2658"/>
      <c r="U87" s="2658"/>
      <c r="V87" s="2658"/>
      <c r="W87" s="2658"/>
      <c r="X87" s="2658"/>
      <c r="Y87" s="2658"/>
      <c r="Z87" s="2658"/>
      <c r="AA87" s="2658"/>
      <c r="AB87" s="2658"/>
      <c r="AC87" s="2658"/>
      <c r="AD87" s="2658"/>
      <c r="AE87" s="2658"/>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51"/>
      <c r="O88" s="2751"/>
      <c r="P88" s="2775"/>
      <c r="Q88" s="2736"/>
      <c r="R88" s="2658"/>
      <c r="S88" s="2658"/>
      <c r="T88" s="2658"/>
      <c r="U88" s="2658"/>
      <c r="V88" s="2658"/>
      <c r="W88" s="2658"/>
      <c r="X88" s="2658"/>
      <c r="Y88" s="2658"/>
      <c r="Z88" s="2658"/>
      <c r="AA88" s="2658"/>
      <c r="AB88" s="2658"/>
      <c r="AC88" s="2658"/>
      <c r="AD88" s="2658"/>
      <c r="AE88" s="2658"/>
    </row>
    <row r="89" spans="1:31" s="107" customFormat="1" ht="27.75" thickTop="1">
      <c r="A89" s="526"/>
      <c r="B89" s="485" t="s">
        <v>1908</v>
      </c>
      <c r="C89" s="520" t="s">
        <v>1721</v>
      </c>
      <c r="D89" s="520" t="s">
        <v>1722</v>
      </c>
      <c r="E89" s="520" t="s">
        <v>1723</v>
      </c>
      <c r="F89" s="520" t="s">
        <v>1724</v>
      </c>
      <c r="G89" s="520" t="s">
        <v>1725</v>
      </c>
      <c r="H89" s="525"/>
      <c r="I89" s="525"/>
      <c r="J89" s="525"/>
      <c r="K89" s="525"/>
      <c r="L89" s="525"/>
      <c r="M89" s="568"/>
      <c r="N89" s="2749"/>
      <c r="O89" s="2749"/>
      <c r="P89" s="2775"/>
      <c r="Q89" s="2736"/>
      <c r="R89" s="2658"/>
      <c r="S89" s="2658"/>
      <c r="T89" s="2658"/>
      <c r="U89" s="2658"/>
      <c r="V89" s="2658"/>
      <c r="W89" s="2658"/>
      <c r="X89" s="2658"/>
      <c r="Y89" s="2658"/>
      <c r="Z89" s="2658"/>
      <c r="AA89" s="2658"/>
      <c r="AB89" s="2658"/>
      <c r="AC89" s="2658"/>
      <c r="AD89" s="2658"/>
      <c r="AE89" s="2658"/>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51"/>
      <c r="O90" s="2751"/>
      <c r="P90" s="2775"/>
      <c r="Q90" s="2736"/>
      <c r="R90" s="2658"/>
      <c r="S90" s="2658"/>
      <c r="T90" s="2658"/>
      <c r="U90" s="2658"/>
      <c r="V90" s="2658"/>
      <c r="W90" s="2658"/>
      <c r="X90" s="2658"/>
      <c r="Y90" s="2658"/>
      <c r="Z90" s="2658"/>
      <c r="AA90" s="2658"/>
      <c r="AB90" s="2658"/>
      <c r="AC90" s="2658"/>
      <c r="AD90" s="2658"/>
      <c r="AE90" s="2658"/>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2"/>
      <c r="O91" s="2752"/>
      <c r="P91" s="2776"/>
      <c r="Q91" s="2743"/>
      <c r="R91" s="2744"/>
      <c r="S91" s="2744"/>
      <c r="T91" s="2744"/>
      <c r="U91" s="2744"/>
      <c r="V91" s="2744"/>
      <c r="W91" s="2744"/>
      <c r="X91" s="2744"/>
      <c r="Y91" s="2744"/>
      <c r="Z91" s="2744"/>
      <c r="AA91" s="2744"/>
      <c r="AB91" s="2744"/>
      <c r="AC91" s="2744"/>
      <c r="AD91" s="2744"/>
      <c r="AE91" s="2744"/>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2"/>
      <c r="O92" s="2752"/>
      <c r="P92" s="2776"/>
      <c r="Q92" s="2743"/>
      <c r="R92" s="2744"/>
      <c r="S92" s="2744"/>
      <c r="T92" s="2744"/>
      <c r="U92" s="2744"/>
      <c r="V92" s="2744"/>
      <c r="W92" s="2744"/>
      <c r="X92" s="2744"/>
      <c r="Y92" s="2744"/>
      <c r="Z92" s="2744"/>
      <c r="AA92" s="2744"/>
      <c r="AB92" s="2744"/>
      <c r="AC92" s="2744"/>
      <c r="AD92" s="2744"/>
      <c r="AE92" s="2744"/>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2"/>
      <c r="O93" s="2752"/>
      <c r="P93" s="2776"/>
      <c r="Q93" s="2743"/>
      <c r="R93" s="2744"/>
      <c r="S93" s="2744"/>
      <c r="T93" s="2744"/>
      <c r="U93" s="2744"/>
      <c r="V93" s="2744"/>
      <c r="W93" s="2744"/>
      <c r="X93" s="2744"/>
      <c r="Y93" s="2744"/>
      <c r="Z93" s="2744"/>
      <c r="AA93" s="2744"/>
      <c r="AB93" s="2744"/>
      <c r="AC93" s="2744"/>
      <c r="AD93" s="2744"/>
      <c r="AE93" s="2744"/>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1"/>
      <c r="B97" s="485" t="s">
        <v>1815</v>
      </c>
      <c r="C97" s="501"/>
      <c r="D97" s="501"/>
      <c r="E97" s="501"/>
      <c r="F97" s="501"/>
      <c r="G97" s="501"/>
      <c r="H97" s="530"/>
      <c r="I97" s="530"/>
      <c r="J97" s="530"/>
      <c r="K97" s="531"/>
      <c r="L97" s="532"/>
      <c r="M97" s="533"/>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1"/>
      <c r="B99" s="485" t="s">
        <v>1873</v>
      </c>
      <c r="C99" s="530"/>
      <c r="D99" s="530"/>
      <c r="E99" s="530"/>
      <c r="F99" s="530"/>
      <c r="G99" s="530"/>
      <c r="H99" s="530"/>
      <c r="I99" s="530"/>
      <c r="J99" s="530"/>
      <c r="K99" s="531"/>
      <c r="L99" s="532"/>
      <c r="M99" s="533"/>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1"/>
      <c r="B101" s="493">
        <f>B31</f>
        <v>111</v>
      </c>
      <c r="C101" s="501"/>
      <c r="D101" s="501"/>
      <c r="E101" s="501"/>
      <c r="F101" s="501"/>
      <c r="G101" s="534"/>
      <c r="H101" s="534"/>
      <c r="I101" s="534"/>
      <c r="J101" s="534"/>
      <c r="K101" s="535"/>
      <c r="L101" s="536"/>
      <c r="M101" s="537"/>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1"/>
      <c r="B102" s="516"/>
      <c r="C102" s="507"/>
      <c r="D102" s="483"/>
      <c r="E102" s="483"/>
      <c r="F102" s="483"/>
      <c r="G102" s="538"/>
      <c r="H102" s="538"/>
      <c r="I102" s="538"/>
      <c r="J102" s="538"/>
      <c r="K102" s="538"/>
      <c r="L102" s="538"/>
      <c r="M102" s="539"/>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1"/>
      <c r="B103" s="485">
        <f>B32</f>
        <v>111</v>
      </c>
      <c r="C103" s="501"/>
      <c r="D103" s="501"/>
      <c r="E103" s="501"/>
      <c r="F103" s="501"/>
      <c r="G103" s="530"/>
      <c r="H103" s="530"/>
      <c r="I103" s="530"/>
      <c r="J103" s="530"/>
      <c r="K103" s="531"/>
      <c r="L103" s="532"/>
      <c r="M103" s="533"/>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1"/>
      <c r="B104" s="490"/>
      <c r="C104" s="507"/>
      <c r="D104" s="507"/>
      <c r="E104" s="507"/>
      <c r="F104" s="507"/>
      <c r="G104" s="483"/>
      <c r="H104" s="483"/>
      <c r="I104" s="483"/>
      <c r="J104" s="483"/>
      <c r="K104" s="483"/>
      <c r="L104" s="483"/>
      <c r="M104" s="484"/>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0" customFormat="1" ht="15" thickTop="1">
      <c r="A105" s="540"/>
      <c r="B105" s="541">
        <f>B33</f>
        <v>111</v>
      </c>
      <c r="C105" s="470"/>
      <c r="D105" s="470"/>
      <c r="E105" s="470"/>
      <c r="F105" s="470"/>
      <c r="G105" s="542"/>
      <c r="H105" s="542"/>
      <c r="I105" s="542"/>
      <c r="J105" s="543"/>
      <c r="K105" s="543"/>
      <c r="L105" s="544"/>
      <c r="M105" s="545"/>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0" customFormat="1" ht="15.75" thickBot="1">
      <c r="A106" s="500"/>
      <c r="B106" s="493"/>
      <c r="C106" s="517"/>
      <c r="D106" s="517"/>
      <c r="E106" s="517"/>
      <c r="F106" s="517"/>
      <c r="G106" s="623"/>
      <c r="H106" s="623"/>
      <c r="I106" s="623"/>
      <c r="J106" s="623"/>
      <c r="K106" s="623"/>
      <c r="L106" s="623"/>
      <c r="M106" s="645"/>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1"/>
      <c r="B108" s="493"/>
      <c r="C108" s="542"/>
      <c r="D108" s="542"/>
      <c r="E108" s="542"/>
      <c r="F108" s="542"/>
      <c r="G108" s="542"/>
      <c r="H108" s="542"/>
      <c r="I108" s="542"/>
      <c r="J108" s="543"/>
      <c r="K108" s="543"/>
      <c r="L108" s="544"/>
      <c r="M108" s="545"/>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1"/>
      <c r="B109" s="490"/>
      <c r="C109" s="517"/>
      <c r="D109" s="538"/>
      <c r="E109" s="538"/>
      <c r="F109" s="538"/>
      <c r="G109" s="538"/>
      <c r="H109" s="538"/>
      <c r="I109" s="538"/>
      <c r="J109" s="538"/>
      <c r="K109" s="538"/>
      <c r="L109" s="538"/>
      <c r="M109" s="539"/>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6"/>
      <c r="B110" s="485" t="s">
        <v>1914</v>
      </c>
      <c r="C110" s="530"/>
      <c r="D110" s="530"/>
      <c r="E110" s="530"/>
      <c r="F110" s="530"/>
      <c r="G110" s="530"/>
      <c r="H110" s="530"/>
      <c r="I110" s="530"/>
      <c r="J110" s="530"/>
      <c r="K110" s="531"/>
      <c r="L110" s="532"/>
      <c r="M110" s="533"/>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0" customFormat="1" ht="15" thickTop="1">
      <c r="A112" s="540"/>
      <c r="B112" s="485" t="s">
        <v>1916</v>
      </c>
      <c r="C112" s="501"/>
      <c r="D112" s="501"/>
      <c r="E112" s="501"/>
      <c r="F112" s="501"/>
      <c r="G112" s="501"/>
      <c r="H112" s="530"/>
      <c r="I112" s="530"/>
      <c r="J112" s="530"/>
      <c r="K112" s="531"/>
      <c r="L112" s="532"/>
      <c r="M112" s="533"/>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6"/>
      <c r="B114" s="485" t="s">
        <v>1917</v>
      </c>
      <c r="C114" s="501"/>
      <c r="D114" s="501"/>
      <c r="E114" s="530"/>
      <c r="F114" s="530"/>
      <c r="G114" s="530"/>
      <c r="H114" s="530"/>
      <c r="I114" s="530"/>
      <c r="J114" s="530"/>
      <c r="K114" s="531"/>
      <c r="L114" s="532"/>
      <c r="M114" s="533"/>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6"/>
      <c r="B116" s="485">
        <f>B38</f>
        <v>111</v>
      </c>
      <c r="C116" s="501"/>
      <c r="D116" s="501"/>
      <c r="E116" s="501"/>
      <c r="F116" s="501"/>
      <c r="G116" s="501"/>
      <c r="H116" s="530"/>
      <c r="I116" s="530"/>
      <c r="J116" s="530"/>
      <c r="K116" s="531"/>
      <c r="L116" s="532"/>
      <c r="M116" s="533"/>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1"/>
      <c r="B117" s="490"/>
      <c r="C117" s="507"/>
      <c r="D117" s="483"/>
      <c r="E117" s="483"/>
      <c r="F117" s="483"/>
      <c r="G117" s="483"/>
      <c r="H117" s="483"/>
      <c r="I117" s="483"/>
      <c r="J117" s="483"/>
      <c r="K117" s="483"/>
      <c r="L117" s="483"/>
      <c r="M117" s="484"/>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6"/>
      <c r="B118" s="485">
        <f>B39</f>
        <v>111</v>
      </c>
      <c r="C118" s="501"/>
      <c r="D118" s="501"/>
      <c r="E118" s="501"/>
      <c r="F118" s="501"/>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1"/>
      <c r="B119" s="490"/>
      <c r="C119" s="507"/>
      <c r="D119" s="507"/>
      <c r="E119" s="507"/>
      <c r="F119" s="507"/>
      <c r="G119" s="483"/>
      <c r="H119" s="483"/>
      <c r="I119" s="483"/>
      <c r="J119" s="483"/>
      <c r="K119" s="483"/>
      <c r="L119" s="483"/>
      <c r="M119" s="484"/>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0" customFormat="1" ht="15" thickTop="1">
      <c r="A120" s="540"/>
      <c r="B120" s="485">
        <f>B40</f>
        <v>111</v>
      </c>
      <c r="C120" s="470"/>
      <c r="D120" s="470"/>
      <c r="E120" s="470"/>
      <c r="F120" s="470"/>
      <c r="G120" s="502"/>
      <c r="H120" s="502"/>
      <c r="I120" s="502"/>
      <c r="J120" s="502"/>
      <c r="K120" s="502"/>
      <c r="L120" s="503"/>
      <c r="M120" s="504"/>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0" customFormat="1" ht="15.75" thickBot="1">
      <c r="A121" s="515"/>
      <c r="B121" s="646"/>
      <c r="C121" s="517"/>
      <c r="D121" s="517"/>
      <c r="E121" s="517"/>
      <c r="F121" s="517"/>
      <c r="G121" s="538"/>
      <c r="H121" s="538"/>
      <c r="I121" s="538"/>
      <c r="J121" s="538"/>
      <c r="K121" s="538"/>
      <c r="L121" s="538"/>
      <c r="M121" s="539"/>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2083</v>
      </c>
      <c r="C1" s="3943" t="s">
        <v>2084</v>
      </c>
      <c r="D1" s="3944"/>
      <c r="E1" s="3944"/>
      <c r="F1" s="3944"/>
      <c r="G1" s="3944"/>
      <c r="H1" s="3944"/>
      <c r="I1" s="3944"/>
      <c r="J1" s="3944"/>
      <c r="K1" s="3944"/>
      <c r="L1" s="3944"/>
      <c r="M1" s="3944"/>
      <c r="N1" s="3944"/>
      <c r="O1" s="3944"/>
      <c r="P1" s="3944"/>
      <c r="Q1" s="3944"/>
      <c r="R1" s="3944"/>
      <c r="S1" s="3945"/>
      <c r="T1" s="980" t="s">
        <v>2085</v>
      </c>
    </row>
    <row r="2" spans="1:45" s="653" customFormat="1">
      <c r="A2" s="981"/>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983"/>
      <c r="B3" s="654"/>
      <c r="C3" s="655"/>
      <c r="D3" s="656"/>
      <c r="E3" s="656"/>
      <c r="F3" s="1302"/>
      <c r="G3" s="1302"/>
      <c r="H3" s="1302"/>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8" customFormat="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8"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8"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8"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8"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8"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8"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8"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8"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8"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8"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8"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7" t="s">
        <v>2095</v>
      </c>
      <c r="E19" s="1337"/>
      <c r="F19" s="1337"/>
      <c r="G19" s="1337"/>
      <c r="H19" s="1056"/>
      <c r="I19" s="157"/>
      <c r="J19" s="157"/>
      <c r="K19" s="157"/>
      <c r="L19" s="157"/>
      <c r="M19" s="157"/>
      <c r="N19" s="157"/>
      <c r="O19" s="157"/>
      <c r="P19" s="157"/>
      <c r="Q19" s="157"/>
      <c r="R19" s="715"/>
      <c r="S19" s="127"/>
    </row>
    <row r="20" spans="1:45" ht="16.5" thickBot="1">
      <c r="A20" s="660" t="s">
        <v>2096</v>
      </c>
      <c r="B20" s="292" t="e">
        <f ca="1">IF(D20="——",S22,S22-F20)</f>
        <v>#REF!</v>
      </c>
      <c r="C20" s="157"/>
      <c r="D20" s="2148"/>
      <c r="E20" s="1338"/>
      <c r="F20" s="980" t="e">
        <f ca="1">SUMIF(INDIRECT("'"&amp;H20&amp;"'"&amp;"!A:A"),"承租人权益价值",INDIRECT("'"&amp;H20&amp;"'"&amp;"!c:c"))</f>
        <v>#REF!</v>
      </c>
      <c r="G20" s="980" t="s">
        <v>2097</v>
      </c>
      <c r="H20" s="2149"/>
      <c r="I20" s="157"/>
      <c r="J20" s="157"/>
      <c r="K20" s="157"/>
      <c r="L20" s="157"/>
      <c r="M20" s="157"/>
      <c r="N20" s="157"/>
      <c r="O20" s="157"/>
      <c r="P20" s="157"/>
      <c r="Q20" s="157"/>
      <c r="R20" s="715"/>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5"/>
      <c r="S21" s="127"/>
    </row>
    <row r="22" spans="1:45">
      <c r="A22" s="314" t="s">
        <v>2099</v>
      </c>
      <c r="B22" s="21">
        <f>SUM(B24:B10000)</f>
        <v>0</v>
      </c>
      <c r="C22" s="3940" t="s">
        <v>27</v>
      </c>
      <c r="D22" s="3941"/>
      <c r="E22" s="3941"/>
      <c r="F22" s="3941"/>
      <c r="G22" s="3941"/>
      <c r="H22" s="3941"/>
      <c r="I22" s="3941"/>
      <c r="J22" s="3941"/>
      <c r="K22" s="3941"/>
      <c r="L22" s="3941"/>
      <c r="M22" s="3941"/>
      <c r="N22" s="3941"/>
      <c r="O22" s="3941"/>
      <c r="P22" s="3941"/>
      <c r="Q22" s="3942"/>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7" customFormat="1">
      <c r="A24" s="663" t="s">
        <v>2105</v>
      </c>
      <c r="B24" s="663"/>
      <c r="C24" s="2807">
        <v>1</v>
      </c>
      <c r="D24" s="2808"/>
      <c r="E24" s="2807">
        <v>1</v>
      </c>
      <c r="F24" s="2808"/>
      <c r="G24" s="2807">
        <v>1</v>
      </c>
      <c r="H24" s="2808"/>
      <c r="I24" s="2807">
        <v>1</v>
      </c>
      <c r="J24" s="2808"/>
      <c r="K24" s="2807">
        <v>1</v>
      </c>
      <c r="L24" s="2808"/>
      <c r="M24" s="2807">
        <v>1</v>
      </c>
      <c r="N24" s="2808"/>
      <c r="O24" s="2807">
        <v>1</v>
      </c>
      <c r="P24" s="2808"/>
      <c r="Q24" s="2807">
        <v>1</v>
      </c>
      <c r="R24" s="666"/>
      <c r="S24" s="664">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f ca="1">SUMIF(B6:B13,"&lt;&gt;#ref!",B6:B13)</f>
        <v>21736</v>
      </c>
      <c r="C2" s="2142" t="s">
        <v>2074</v>
      </c>
      <c r="D2" s="2142" t="s">
        <v>2075</v>
      </c>
      <c r="E2" s="2609">
        <f ca="1">SUMIF(E6:E13,"&lt;&gt;#ref!",E6:E13)</f>
        <v>12000.230000000001</v>
      </c>
      <c r="F2" s="2790"/>
      <c r="G2" s="2790"/>
      <c r="H2" s="2790"/>
      <c r="I2" s="2790"/>
      <c r="J2" s="2790"/>
      <c r="K2" s="2790"/>
      <c r="L2" s="2790"/>
      <c r="M2" s="2790"/>
      <c r="N2" s="2790"/>
      <c r="O2" s="2790"/>
      <c r="P2" s="2790"/>
    </row>
    <row r="3" spans="1:16" ht="15.75">
      <c r="A3" s="2142" t="s">
        <v>2076</v>
      </c>
      <c r="B3" s="2599">
        <f ca="1">ROUND(B2*10000/E2,0)</f>
        <v>18113</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21736</v>
      </c>
      <c r="C6" s="2142" t="s">
        <v>2074</v>
      </c>
      <c r="D6" s="2790"/>
      <c r="E6" s="2609">
        <f ca="1">SUMIF(INDIRECT("'"&amp;A6&amp;"'"&amp;"!C:C"),"建筑面积",INDIRECT("'"&amp;A6&amp;"'"&amp;"!D:D"))</f>
        <v>12000.230000000001</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D42" activeCellId="2" sqref="D33 D40 D4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4" t="s">
        <v>1926</v>
      </c>
      <c r="B1" s="195"/>
      <c r="C1" s="199" t="s">
        <v>1927</v>
      </c>
      <c r="D1" s="340">
        <f>SUM(D33:D34,D37:D42)</f>
        <v>12000.230000000001</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f>C30</f>
        <v>21736</v>
      </c>
      <c r="C2" s="1996" t="s">
        <v>1935</v>
      </c>
      <c r="D2" s="1997" t="s">
        <v>1936</v>
      </c>
      <c r="E2" s="3420" t="s">
        <v>21</v>
      </c>
      <c r="F2" s="1997" t="s">
        <v>1937</v>
      </c>
      <c r="G2" s="1998" t="str">
        <f>IF(E2="商业",项目基本情况!B37,IF(E2="办公",项目基本情况!C37,IF(E2="住宅",项目基本情况!D37,IF(E2="工业",项目基本情况!E37,项目基本情况!F37))))</f>
        <v>二级</v>
      </c>
      <c r="H2" s="1997" t="s">
        <v>1938</v>
      </c>
      <c r="I2" s="1998" t="str">
        <f>IF(E2="商业",项目基本情况!B38,IF(E2="办公",项目基本情况!C38,IF(E2="住宅",项目基本情况!D38,IF(E2="工业",项目基本情况!E38,项目基本情况!F38))))</f>
        <v>Ⅱ—16</v>
      </c>
      <c r="J2" s="1999"/>
      <c r="K2" s="1116"/>
      <c r="L2" s="2000" t="s">
        <v>1939</v>
      </c>
      <c r="M2" s="861">
        <f>SUMPRODUCT((区片价!B10:B29=I2)*(区片价!C3:G3=E2)*(区片价!C10:G29))</f>
        <v>29640</v>
      </c>
      <c r="N2" s="863">
        <f>SUMPRODUCT((因素修正幅度!B10:B29=I2)*(因素修正幅度!C3:G3=E2)*(因素修正幅度!C10:G29))</f>
        <v>9.6000000000000002E-2</v>
      </c>
      <c r="O2" s="1116"/>
      <c r="P2" s="1116"/>
      <c r="Q2" s="1116"/>
      <c r="R2" s="1209">
        <v>1</v>
      </c>
      <c r="S2" s="3359">
        <f>ROUND(SUMPRODUCT((B106:B110=R2)*(C105:N105=G2)*(C106:N110)),4)</f>
        <v>1.5206</v>
      </c>
      <c r="T2" s="3359">
        <f t="shared" ref="T2:T16" si="0">ROUND($C$5*$C$22*$C$23*$C$24*S2*$C$28,0)</f>
        <v>35627</v>
      </c>
      <c r="U2" s="1210"/>
      <c r="V2" s="3359">
        <f>ROUND(T2*U2/10000,0)</f>
        <v>0</v>
      </c>
      <c r="W2" s="1213"/>
      <c r="X2" s="1213"/>
      <c r="Y2" s="1213"/>
      <c r="Z2" s="1213"/>
      <c r="AA2" s="1213"/>
      <c r="AB2" s="1213"/>
      <c r="AC2" s="1214"/>
      <c r="AD2" s="1215"/>
      <c r="AE2" s="1215"/>
      <c r="AF2" s="1215"/>
      <c r="AG2" s="1215"/>
      <c r="AH2" s="1215"/>
      <c r="AI2" s="1215"/>
      <c r="AJ2" s="1216"/>
    </row>
    <row r="3" spans="1:36" ht="15.75">
      <c r="A3" s="201" t="s">
        <v>1940</v>
      </c>
      <c r="B3" s="202">
        <f>ROUND(B2*10000/D1,0)</f>
        <v>18113</v>
      </c>
      <c r="C3" s="1996" t="s">
        <v>1941</v>
      </c>
      <c r="D3" s="1997" t="s">
        <v>1942</v>
      </c>
      <c r="E3" s="3418" t="s">
        <v>3438</v>
      </c>
      <c r="F3" s="2001" t="s">
        <v>3439</v>
      </c>
      <c r="G3" s="749">
        <f>IF(F3="宗地容积率",'数据-汇总表'!I4,IF(F3="估价对象容积率",'数据-汇总表'!I6,'数据-汇总表'!I7))</f>
        <v>9.17</v>
      </c>
      <c r="H3" s="168"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9">
        <f>ROUND(SUMPRODUCT((B106:B110=R3)*(C105:N105=G2)*(C106:N110)),4)</f>
        <v>1.2072000000000001</v>
      </c>
      <c r="T3" s="3359">
        <f t="shared" si="0"/>
        <v>28284</v>
      </c>
      <c r="U3" s="1210"/>
      <c r="V3" s="3359">
        <f t="shared" ref="V3:V16" si="1">ROUND(T3*U3/10000,0)</f>
        <v>0</v>
      </c>
      <c r="W3" s="1213"/>
      <c r="X3" s="1213"/>
      <c r="Y3" s="1213"/>
      <c r="Z3" s="1213"/>
      <c r="AA3" s="1213"/>
      <c r="AB3" s="1213"/>
      <c r="AC3" s="1214"/>
      <c r="AD3" s="1215"/>
      <c r="AE3" s="1215"/>
      <c r="AF3" s="1215"/>
      <c r="AG3" s="1215"/>
      <c r="AH3" s="1215"/>
      <c r="AI3" s="1215"/>
      <c r="AJ3" s="1216"/>
    </row>
    <row r="4" spans="1:36" ht="15.75">
      <c r="A4" s="3953"/>
      <c r="B4" s="3954"/>
      <c r="C4" s="3954"/>
      <c r="D4" s="3955"/>
      <c r="E4" s="3955"/>
      <c r="F4" s="3955"/>
      <c r="G4" s="3955"/>
      <c r="H4" s="3955"/>
      <c r="I4" s="3955"/>
      <c r="J4" s="3956"/>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9">
        <f>ROUND(SUMPRODUCT((B106:B110=R4)*(C105:N105=G2)*(C106:N110)),4)</f>
        <v>1.0430999999999999</v>
      </c>
      <c r="T4" s="3359">
        <f t="shared" si="0"/>
        <v>24440</v>
      </c>
      <c r="U4" s="1210"/>
      <c r="V4" s="3359">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30219</v>
      </c>
      <c r="D5" s="1336">
        <f>ROUND(C6*C17+C20,0)</f>
        <v>29626</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9">
        <f>ROUND(SUMPRODUCT((B106:B110=R5)*(C105:N105=G2)*(C106:N110)),4)</f>
        <v>0.94389999999999996</v>
      </c>
      <c r="T5" s="3359">
        <f t="shared" si="0"/>
        <v>22115</v>
      </c>
      <c r="U5" s="1210"/>
      <c r="V5" s="3359">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29640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9">
        <f>ROUND(SUMPRODUCT((B106:B110=R6)*(C105:N105=G2)*(C106:N110)),4)</f>
        <v>0.89959999999999996</v>
      </c>
      <c r="T6" s="3359">
        <f t="shared" si="0"/>
        <v>21077</v>
      </c>
      <c r="U6" s="1210"/>
      <c r="V6" s="3359">
        <f t="shared" si="1"/>
        <v>0</v>
      </c>
      <c r="W6" s="1213"/>
      <c r="X6" s="1213"/>
      <c r="Y6" s="1213"/>
      <c r="Z6" s="1213"/>
      <c r="AA6" s="1213"/>
      <c r="AB6" s="1213"/>
      <c r="AC6" s="2008"/>
      <c r="AD6" s="2009"/>
      <c r="AE6" s="2009"/>
      <c r="AF6" s="2009"/>
      <c r="AG6" s="2009"/>
      <c r="AH6" s="2009"/>
      <c r="AI6" s="2009"/>
      <c r="AJ6" s="2010"/>
    </row>
    <row r="7" spans="1:36" ht="24.75" thickBot="1">
      <c r="A7" s="3302" t="s">
        <v>3246</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7">
        <f>AE10</f>
        <v>0.83850000000000002</v>
      </c>
      <c r="T7" s="3359">
        <f t="shared" si="0"/>
        <v>19646</v>
      </c>
      <c r="U7" s="1210"/>
      <c r="V7" s="3359">
        <f t="shared" si="1"/>
        <v>0</v>
      </c>
      <c r="W7" s="1355" t="s">
        <v>1955</v>
      </c>
      <c r="X7" s="1211" t="str">
        <f>G2</f>
        <v>二级</v>
      </c>
      <c r="Y7" s="1211" t="s">
        <v>1956</v>
      </c>
      <c r="Z7" s="1212">
        <f>G3</f>
        <v>9.17</v>
      </c>
      <c r="AA7" s="1213"/>
      <c r="AB7" s="1213"/>
      <c r="AC7" s="1214"/>
      <c r="AD7" s="1215"/>
      <c r="AE7" s="1215"/>
      <c r="AF7" s="1215"/>
      <c r="AG7" s="1215"/>
      <c r="AH7" s="1215"/>
      <c r="AI7" s="1215"/>
      <c r="AJ7" s="1216"/>
    </row>
    <row r="8" spans="1:36" ht="25.5">
      <c r="A8" s="3297"/>
      <c r="B8" s="168" t="s">
        <v>1957</v>
      </c>
      <c r="C8" s="2023" t="s">
        <v>3383</v>
      </c>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9">
        <f t="shared" si="0"/>
        <v>0</v>
      </c>
      <c r="U8" s="1210"/>
      <c r="V8" s="3359">
        <f t="shared" si="1"/>
        <v>0</v>
      </c>
      <c r="W8" s="3950" t="s">
        <v>1960</v>
      </c>
      <c r="X8" s="3951"/>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7"/>
      <c r="B9" s="168" t="s">
        <v>1973</v>
      </c>
      <c r="C9" s="755">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9">
        <f t="shared" si="0"/>
        <v>0</v>
      </c>
      <c r="U9" s="1210"/>
      <c r="V9" s="3359">
        <f t="shared" si="1"/>
        <v>0</v>
      </c>
      <c r="W9" s="3952"/>
      <c r="X9" s="3360" t="s">
        <v>3276</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9">
        <f t="shared" si="0"/>
        <v>0</v>
      </c>
      <c r="U10" s="1210"/>
      <c r="V10" s="3359">
        <f t="shared" si="1"/>
        <v>0</v>
      </c>
      <c r="W10" s="395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9">
        <f t="shared" si="0"/>
        <v>0</v>
      </c>
      <c r="U11" s="1210"/>
      <c r="V11" s="3359">
        <f t="shared" si="1"/>
        <v>0</v>
      </c>
      <c r="W11" s="1213"/>
      <c r="X11" s="1213"/>
      <c r="Y11" s="1213"/>
      <c r="Z11" s="1213"/>
      <c r="AA11" s="1213"/>
      <c r="AB11" s="1213"/>
      <c r="AC11" s="1214"/>
      <c r="AD11" s="2786"/>
      <c r="AE11" s="2786"/>
      <c r="AF11" s="2786"/>
      <c r="AG11" s="2786"/>
      <c r="AH11" s="2786"/>
      <c r="AI11" s="2786"/>
      <c r="AJ11" s="2787"/>
    </row>
    <row r="12" spans="1:36" ht="25.5" thickBot="1">
      <c r="A12" s="3302" t="s">
        <v>3247</v>
      </c>
      <c r="B12" s="3303" t="s">
        <v>3248</v>
      </c>
      <c r="C12" s="3304">
        <v>1.02</v>
      </c>
      <c r="D12" s="3305" t="s">
        <v>3249</v>
      </c>
      <c r="E12" s="3306" t="s">
        <v>3250</v>
      </c>
      <c r="F12" s="3307"/>
      <c r="G12" s="3308"/>
      <c r="H12" s="3308"/>
      <c r="I12" s="3308"/>
      <c r="J12" s="3309"/>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9">
        <f t="shared" si="0"/>
        <v>0</v>
      </c>
      <c r="U12" s="1210"/>
      <c r="V12" s="3359">
        <f t="shared" si="1"/>
        <v>0</v>
      </c>
      <c r="W12" s="1213"/>
      <c r="X12" s="1213"/>
      <c r="Y12" s="1213"/>
      <c r="Z12" s="1213"/>
      <c r="AA12" s="1213"/>
      <c r="AB12" s="1213"/>
      <c r="AC12" s="1214"/>
      <c r="AD12" s="2786"/>
      <c r="AE12" s="2786"/>
      <c r="AF12" s="2786"/>
      <c r="AG12" s="2786"/>
      <c r="AH12" s="2786"/>
      <c r="AI12" s="2786"/>
      <c r="AJ12" s="2787"/>
    </row>
    <row r="13" spans="1:36" ht="15.75" thickBot="1">
      <c r="A13" s="3302" t="s">
        <v>3251</v>
      </c>
      <c r="B13" s="2031" t="s">
        <v>1982</v>
      </c>
      <c r="C13" s="752">
        <f>ROUND(C16*D16*E16*F16*G16*H16*I16*J16,4)</f>
        <v>0</v>
      </c>
      <c r="D13" s="2032" t="s">
        <v>1983</v>
      </c>
      <c r="E13" s="2033"/>
      <c r="F13" s="2033"/>
      <c r="G13" s="2034"/>
      <c r="H13" s="2034"/>
      <c r="I13" s="2034"/>
      <c r="J13" s="2035"/>
      <c r="K13" s="1116"/>
      <c r="L13" s="3298"/>
      <c r="M13" s="3299"/>
      <c r="N13" s="3300"/>
      <c r="O13" s="1116"/>
      <c r="P13" s="1116"/>
      <c r="Q13" s="1116"/>
      <c r="R13" s="1209">
        <v>12</v>
      </c>
      <c r="S13" s="1210"/>
      <c r="T13" s="3359">
        <f t="shared" si="0"/>
        <v>0</v>
      </c>
      <c r="U13" s="1210"/>
      <c r="V13" s="3359">
        <f t="shared" si="1"/>
        <v>0</v>
      </c>
      <c r="W13" s="1213"/>
      <c r="X13" s="1213"/>
      <c r="Y13" s="1213"/>
      <c r="Z13" s="1213"/>
      <c r="AA13" s="1213"/>
      <c r="AB13" s="1213"/>
      <c r="AC13" s="1214"/>
      <c r="AD13" s="2786"/>
      <c r="AE13" s="2786"/>
      <c r="AF13" s="2786"/>
      <c r="AG13" s="2786"/>
      <c r="AH13" s="2786"/>
      <c r="AI13" s="2786"/>
      <c r="AJ13" s="2787"/>
    </row>
    <row r="14" spans="1:36" ht="15">
      <c r="A14" s="3296"/>
      <c r="B14" s="2037" t="s">
        <v>1985</v>
      </c>
      <c r="C14" s="2038" t="s">
        <v>1986</v>
      </c>
      <c r="D14" s="1347" t="s">
        <v>1987</v>
      </c>
      <c r="E14" s="27" t="s">
        <v>1988</v>
      </c>
      <c r="F14" s="3310" t="s">
        <v>3252</v>
      </c>
      <c r="G14" s="3310" t="s">
        <v>3252</v>
      </c>
      <c r="H14" s="3310" t="s">
        <v>3252</v>
      </c>
      <c r="I14" s="3310" t="s">
        <v>3252</v>
      </c>
      <c r="J14" s="3310" t="s">
        <v>3252</v>
      </c>
      <c r="K14" s="1116"/>
      <c r="L14" s="1116"/>
      <c r="M14" s="1116"/>
      <c r="N14" s="1116"/>
      <c r="O14" s="1116"/>
      <c r="P14" s="1116"/>
      <c r="Q14" s="1116"/>
      <c r="R14" s="1209">
        <v>13</v>
      </c>
      <c r="S14" s="1210"/>
      <c r="T14" s="3359">
        <f t="shared" si="0"/>
        <v>0</v>
      </c>
      <c r="U14" s="1210"/>
      <c r="V14" s="3359">
        <f t="shared" si="1"/>
        <v>0</v>
      </c>
      <c r="W14" s="1213"/>
      <c r="X14" s="1213"/>
      <c r="Y14" s="1213"/>
      <c r="Z14" s="1213"/>
      <c r="AA14" s="1213"/>
      <c r="AB14" s="1213"/>
      <c r="AC14" s="1214"/>
      <c r="AD14" s="2786"/>
      <c r="AE14" s="2786"/>
      <c r="AF14" s="2786"/>
      <c r="AG14" s="2786"/>
      <c r="AH14" s="2786"/>
      <c r="AI14" s="2786"/>
      <c r="AJ14" s="2787"/>
    </row>
    <row r="15" spans="1:36" ht="15">
      <c r="A15" s="3296"/>
      <c r="B15" s="2039"/>
      <c r="C15" s="2040"/>
      <c r="D15" s="2041"/>
      <c r="E15" s="2042"/>
      <c r="F15" s="3311" t="s">
        <v>3253</v>
      </c>
      <c r="G15" s="3312"/>
      <c r="H15" s="3313"/>
      <c r="I15" s="3314"/>
      <c r="J15" s="3315"/>
      <c r="K15" s="1116"/>
      <c r="L15" s="1116"/>
      <c r="M15" s="1116"/>
      <c r="N15" s="1116"/>
      <c r="O15" s="1116"/>
      <c r="P15" s="1116"/>
      <c r="Q15" s="1116"/>
      <c r="R15" s="1209">
        <v>14</v>
      </c>
      <c r="S15" s="1210"/>
      <c r="T15" s="3359">
        <f t="shared" si="0"/>
        <v>0</v>
      </c>
      <c r="U15" s="1210"/>
      <c r="V15" s="3359">
        <f t="shared" si="1"/>
        <v>0</v>
      </c>
      <c r="W15" s="1213"/>
      <c r="X15" s="1213"/>
      <c r="Y15" s="1213"/>
      <c r="Z15" s="1213"/>
      <c r="AA15" s="1213"/>
      <c r="AB15" s="1213"/>
      <c r="AC15" s="1214"/>
      <c r="AD15" s="2786"/>
      <c r="AE15" s="2786"/>
      <c r="AF15" s="2786"/>
      <c r="AG15" s="2786"/>
      <c r="AH15" s="2786"/>
      <c r="AI15" s="2786"/>
      <c r="AJ15" s="2787"/>
    </row>
    <row r="16" spans="1:36" ht="15.75" thickBot="1">
      <c r="A16" s="3296"/>
      <c r="B16" s="3318" t="s">
        <v>1989</v>
      </c>
      <c r="C16" s="3316"/>
      <c r="D16" s="3316"/>
      <c r="E16" s="3316"/>
      <c r="F16" s="3316">
        <v>1</v>
      </c>
      <c r="G16" s="3316">
        <v>1</v>
      </c>
      <c r="H16" s="3316">
        <v>1</v>
      </c>
      <c r="I16" s="3316">
        <v>1</v>
      </c>
      <c r="J16" s="3317">
        <v>1</v>
      </c>
      <c r="K16" s="1116"/>
      <c r="L16" s="1994"/>
      <c r="M16" s="1994"/>
      <c r="N16" s="1994"/>
      <c r="O16" s="1994"/>
      <c r="P16" s="1994"/>
      <c r="Q16" s="1116"/>
      <c r="R16" s="1209">
        <v>15</v>
      </c>
      <c r="S16" s="1210"/>
      <c r="T16" s="3359">
        <f t="shared" si="0"/>
        <v>0</v>
      </c>
      <c r="U16" s="1210"/>
      <c r="V16" s="3359">
        <f t="shared" si="1"/>
        <v>0</v>
      </c>
      <c r="W16" s="1213"/>
      <c r="X16" s="1213"/>
      <c r="Y16" s="1213"/>
      <c r="Z16" s="1213"/>
      <c r="AA16" s="1213"/>
      <c r="AB16" s="1213"/>
      <c r="AC16" s="1214"/>
      <c r="AD16" s="2786"/>
      <c r="AE16" s="2786"/>
      <c r="AF16" s="2786"/>
      <c r="AG16" s="2786"/>
      <c r="AH16" s="2786"/>
      <c r="AI16" s="2786"/>
      <c r="AJ16" s="2787"/>
    </row>
    <row r="17" spans="1:37">
      <c r="A17" s="3328" t="s">
        <v>3254</v>
      </c>
      <c r="B17" s="3319" t="s">
        <v>3255</v>
      </c>
      <c r="C17" s="3329">
        <f>ROUND(IF(OR(E2="工业",E2="公共服务"),1,IF(AND(E18=0,E19=0),1,IF(AND(E18=J24,E19=G19),0.8,IF(E19=0,1+E17*(-0.2),1+E17*G17*(-0.2))))),4)</f>
        <v>1</v>
      </c>
      <c r="D17" s="3320" t="s">
        <v>3256</v>
      </c>
      <c r="E17" s="3329">
        <f>ROUND(G18/I18,2)</f>
        <v>0</v>
      </c>
      <c r="F17" s="3320" t="s">
        <v>3259</v>
      </c>
      <c r="G17" s="3329" t="e">
        <f>ROUND(E19/G19,2)</f>
        <v>#DIV/0!</v>
      </c>
      <c r="H17" s="3329"/>
      <c r="I17" s="3329"/>
      <c r="J17" s="3330"/>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1"/>
      <c r="B18" s="3007"/>
      <c r="C18" s="3326"/>
      <c r="D18" s="3321" t="s">
        <v>3257</v>
      </c>
      <c r="E18" s="3327"/>
      <c r="F18" s="3322" t="s">
        <v>3260</v>
      </c>
      <c r="G18" s="3326">
        <f>ROUND(1-(1/(POWER(1+G24,E18))),4)</f>
        <v>0</v>
      </c>
      <c r="H18" s="3322" t="s">
        <v>3262</v>
      </c>
      <c r="I18" s="3326">
        <f>ROUND(1-(1/(POWER(1+G24,J24))),4)</f>
        <v>0.93120000000000003</v>
      </c>
      <c r="J18" s="3332"/>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3"/>
      <c r="B19" s="3334"/>
      <c r="C19" s="3335"/>
      <c r="D19" s="3335" t="s">
        <v>3258</v>
      </c>
      <c r="E19" s="3336"/>
      <c r="F19" s="3337" t="s">
        <v>3261</v>
      </c>
      <c r="G19" s="3336"/>
      <c r="H19" s="3335"/>
      <c r="I19" s="3335"/>
      <c r="J19" s="3338"/>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957" t="s">
        <v>3263</v>
      </c>
      <c r="B20" s="165" t="s">
        <v>1994</v>
      </c>
      <c r="C20" s="3323">
        <f>ROUND(IF(F21="与级别开发程度一致",0,(G21-E21)/C21),0)</f>
        <v>-14</v>
      </c>
      <c r="D20" s="3339" t="s">
        <v>1998</v>
      </c>
      <c r="E20" s="3340"/>
      <c r="F20" s="3963" t="s">
        <v>1995</v>
      </c>
      <c r="G20" s="3964"/>
      <c r="H20" s="3324" t="s">
        <v>3385</v>
      </c>
      <c r="I20" s="3324" t="s">
        <v>3386</v>
      </c>
      <c r="J20" s="3325" t="s">
        <v>3387</v>
      </c>
      <c r="K20" s="2044" t="s">
        <v>3389</v>
      </c>
      <c r="L20" s="2044" t="s">
        <v>3388</v>
      </c>
      <c r="M20" s="2044" t="s">
        <v>3390</v>
      </c>
      <c r="N20" s="2044" t="s">
        <v>3391</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958"/>
      <c r="B21" s="2161" t="s">
        <v>1997</v>
      </c>
      <c r="C21" s="2162">
        <f>IF(E3="M4科研用地",SUMPRODUCT((修正!A2:A7=E3)*(修正!B1:M1=G2)*(修正!B2:M7)),SUMPRODUCT((修正!A2:A7=E2)*(修正!B1:M1=G2)*(修正!B2:M7)))</f>
        <v>3.5</v>
      </c>
      <c r="D21" s="185" t="str">
        <f>IF(OR(G2="八级",G2="九级",G2="十级",G2="十一级",G2="十二级"),"五通一平","七通一平")</f>
        <v>七通一平</v>
      </c>
      <c r="E21" s="2152">
        <f>SUMPRODUCT((修正!B1:M1=G2)*(修正!B17:M17))</f>
        <v>375</v>
      </c>
      <c r="F21" s="2153" t="s">
        <v>3384</v>
      </c>
      <c r="G21" s="2154">
        <f>SUM(H21:O21)</f>
        <v>325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60</v>
      </c>
      <c r="N21" s="2162">
        <f>SUMPRODUCT((七通一平=N20)*(修正!B1:M1=G2)*(修正!B8:M16))</f>
        <v>20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7">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1" t="s">
        <v>2002</v>
      </c>
      <c r="E23" s="758">
        <v>44197</v>
      </c>
      <c r="F23" s="2051" t="s">
        <v>2003</v>
      </c>
      <c r="G23" s="759">
        <f>'数据-取费表'!B2</f>
        <v>44937</v>
      </c>
      <c r="H23" s="3341" t="s">
        <v>3264</v>
      </c>
      <c r="I23" s="3342" t="str">
        <f>IF(H23="季度增幅（自定义）",SUMIF(N25:N28,E2,O25:O28),"")</f>
        <v/>
      </c>
      <c r="J23" s="3444" t="s">
        <v>3440</v>
      </c>
      <c r="K23" s="1122"/>
      <c r="L23" s="2052" t="s">
        <v>2004</v>
      </c>
      <c r="M23" s="1325">
        <f>ROUND(SUMIF(地价!B2:G2,E2,地价!B16:G16),0)</f>
        <v>350</v>
      </c>
      <c r="N23" s="2053" t="s">
        <v>2005</v>
      </c>
      <c r="O23" s="760">
        <f>ROUNDDOWN(DATEDIF(E23,G23,"M")/3,0)</f>
        <v>8</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0.72540000000000004</v>
      </c>
      <c r="D24" s="2057" t="s">
        <v>2007</v>
      </c>
      <c r="E24" s="1332">
        <f>存贷款利率!E22/100</f>
        <v>4.3499999999999997E-2</v>
      </c>
      <c r="F24" s="2057" t="s">
        <v>1999</v>
      </c>
      <c r="G24" s="765">
        <f>SUMIF(M30:Q30,E2,M33:Q33)</f>
        <v>5.5E-2</v>
      </c>
      <c r="H24" s="2057" t="s">
        <v>2008</v>
      </c>
      <c r="I24" s="766">
        <f>SUMIF('数据-取费表'!C6:C15,E2,'数据-取费表'!F6:F15)/COUNTIF('数据-取费表'!C6:C15,E2)</f>
        <v>21.02</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3416</v>
      </c>
      <c r="C25" s="768">
        <f>IF(B25="容积率修正",IF(G3&lt;10,D26,J26),C27)</f>
        <v>0.89119999999999999</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3" t="s">
        <v>3265</v>
      </c>
      <c r="D26" s="1349">
        <f>IF(E26=G26,F26,IF(G3&lt;10,ROUND(F26+(H26-F26)*(G3-E26)/(G26-E26),4),"——"))</f>
        <v>0.89119999999999999</v>
      </c>
      <c r="E26" s="749">
        <f>ROUNDDOWN(G3,1)</f>
        <v>9.1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0.8921</v>
      </c>
      <c r="G26" s="749">
        <f>ROUNDUP(G3,1)</f>
        <v>9.1999999999999993</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0.89080000000000004</v>
      </c>
      <c r="I26" s="3343" t="s">
        <v>3266</v>
      </c>
      <c r="J26" s="769"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1.0547</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21736</v>
      </c>
      <c r="D30" s="2080"/>
      <c r="E30" s="2043"/>
      <c r="F30" s="2081"/>
      <c r="G30" s="2043"/>
      <c r="H30" s="2043"/>
      <c r="I30" s="2043"/>
      <c r="J30" s="2082"/>
      <c r="K30" s="1116"/>
      <c r="L30" s="3349" t="s">
        <v>1936</v>
      </c>
      <c r="M30" s="3350" t="s">
        <v>1990</v>
      </c>
      <c r="N30" s="3350" t="s">
        <v>1991</v>
      </c>
      <c r="O30" s="3350" t="s">
        <v>1992</v>
      </c>
      <c r="P30" s="3350" t="s">
        <v>1993</v>
      </c>
      <c r="Q30" s="3353" t="s">
        <v>3270</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330</v>
      </c>
      <c r="D31" s="2084"/>
      <c r="E31" s="2085"/>
      <c r="F31" s="2086"/>
      <c r="G31" s="2085"/>
      <c r="H31" s="2085"/>
      <c r="I31" s="2085"/>
      <c r="J31" s="2087"/>
      <c r="K31" s="1116"/>
      <c r="L31" s="3351" t="s">
        <v>1996</v>
      </c>
      <c r="M31" s="1997">
        <v>0.25</v>
      </c>
      <c r="N31" s="1997">
        <v>0.2</v>
      </c>
      <c r="O31" s="1997">
        <v>0.15</v>
      </c>
      <c r="P31" s="1997">
        <v>0.1</v>
      </c>
      <c r="Q31" s="3346">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2" t="s">
        <v>1999</v>
      </c>
      <c r="M32" s="2567">
        <f>ROUND($E$24*(1+M31),3)</f>
        <v>5.3999999999999999E-2</v>
      </c>
      <c r="N32" s="2567">
        <f>ROUND($E$24*(1+N31),3)</f>
        <v>5.1999999999999998E-2</v>
      </c>
      <c r="O32" s="2567">
        <f>ROUND($E$24*(1+O31),3)</f>
        <v>0.05</v>
      </c>
      <c r="P32" s="2567">
        <f>ROUND($E$24*(1+P31),3)</f>
        <v>4.8000000000000001E-2</v>
      </c>
      <c r="Q32" s="3354">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3">
        <f>ROUND(C5*C22*C23*C24*C25*C28,0)</f>
        <v>20881</v>
      </c>
      <c r="D33" s="2095">
        <f>'数据-汇总表'!F19</f>
        <v>9775.8700000000008</v>
      </c>
      <c r="E33" s="770">
        <f>ROUND(C33*D33/10000,0)</f>
        <v>20413</v>
      </c>
      <c r="F33" s="3344" t="s">
        <v>3268</v>
      </c>
      <c r="G33" s="2096"/>
      <c r="H33" s="2096"/>
      <c r="I33" s="2096"/>
      <c r="J33" s="2097"/>
      <c r="K33" s="1116"/>
      <c r="L33" s="3347" t="s">
        <v>3271</v>
      </c>
      <c r="M33" s="3348">
        <v>5.5E-2</v>
      </c>
      <c r="N33" s="3348">
        <v>5.5E-2</v>
      </c>
      <c r="O33" s="3348">
        <v>0.05</v>
      </c>
      <c r="P33" s="3348">
        <v>0.05</v>
      </c>
      <c r="Q33" s="3348">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5">
        <f>ROUND(IF(E2="工业",C33*M42,IF(B25="楼层修正",SUM(V2:V16)*M41*10000/D34,C33*M41)),0)</f>
        <v>5220</v>
      </c>
      <c r="D34" s="2100"/>
      <c r="E34" s="770">
        <f>ROUND(IF(B25="楼层修正",SUM(V2:V16)*M40,C34*D34/10000),0)</f>
        <v>0</v>
      </c>
      <c r="F34" s="2101" t="s">
        <v>2032</v>
      </c>
      <c r="G34" s="2102"/>
      <c r="H34" s="2102"/>
      <c r="I34" s="2102"/>
      <c r="J34" s="2103"/>
      <c r="K34" s="1116"/>
      <c r="L34" s="3347" t="s">
        <v>3272</v>
      </c>
      <c r="M34" s="3348">
        <v>6.5000000000000002E-2</v>
      </c>
      <c r="N34" s="3348">
        <v>6.5000000000000002E-2</v>
      </c>
      <c r="O34" s="3348">
        <v>0.06</v>
      </c>
      <c r="P34" s="3348">
        <v>0.06</v>
      </c>
      <c r="Q34" s="3348">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5" t="s">
        <v>3269</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55" t="s">
        <v>3273</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961"/>
      <c r="B37" s="2110" t="s">
        <v>2036</v>
      </c>
      <c r="C37" s="173">
        <f>ROUND(D5*C22*C23*C24*C28*F37,0)</f>
        <v>16079</v>
      </c>
      <c r="D37" s="2095"/>
      <c r="E37" s="169">
        <f>ROUND(C37*D37/10000,0)</f>
        <v>0</v>
      </c>
      <c r="F37" s="169">
        <f>SUMIF(修正!A57:A68,G2,修正!B57:B68)</f>
        <v>0.7</v>
      </c>
      <c r="G37" s="169">
        <f>ROUND(IF(E2="工业",C37*$M$42,C37*$M$41),0)</f>
        <v>4020</v>
      </c>
      <c r="H37" s="169">
        <f>D37</f>
        <v>0</v>
      </c>
      <c r="I37" s="169">
        <f>ROUND(G37*H37/10000,0)</f>
        <v>0</v>
      </c>
      <c r="J37" s="3009"/>
      <c r="K37" s="3357" t="s">
        <v>3274</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962"/>
      <c r="B38" s="2038" t="s">
        <v>2037</v>
      </c>
      <c r="C38" s="173">
        <f>ROUND(D5*C22*C23*C24*C28*F38,0)</f>
        <v>9188</v>
      </c>
      <c r="D38" s="2095"/>
      <c r="E38" s="169">
        <f t="shared" ref="E38:E42" si="4">ROUND(C38*D38/10000,0)</f>
        <v>0</v>
      </c>
      <c r="F38" s="169">
        <f>SUMIF(修正!A57:A68,G2,修正!C57:C68)</f>
        <v>0.4</v>
      </c>
      <c r="G38" s="169">
        <f>ROUND(IF(E2="工业",C38*$M$42,C38*$M$41),0)</f>
        <v>2297</v>
      </c>
      <c r="H38" s="169">
        <f t="shared" ref="H38:H42" si="5">D38</f>
        <v>0</v>
      </c>
      <c r="I38" s="169">
        <f t="shared" ref="I38:I42" si="6">ROUND(G38*H38/10000,0)</f>
        <v>0</v>
      </c>
      <c r="J38" s="3008"/>
      <c r="K38" s="3355">
        <v>5.0000000000000001E-3</v>
      </c>
      <c r="L38" s="3355"/>
      <c r="M38" s="3355"/>
      <c r="N38" s="3355"/>
      <c r="O38" s="3355"/>
      <c r="P38" s="3355"/>
      <c r="Q38" s="3355"/>
      <c r="R38" s="1116"/>
      <c r="S38" s="1116"/>
      <c r="T38" s="1116"/>
      <c r="U38" s="1116"/>
      <c r="V38" s="1116"/>
      <c r="W38" s="1116"/>
      <c r="X38" s="1116"/>
      <c r="Y38" s="1116"/>
      <c r="Z38" s="1117"/>
      <c r="AA38" s="1117"/>
      <c r="AB38" s="1117"/>
      <c r="AC38" s="1117"/>
      <c r="AD38" s="1117"/>
    </row>
    <row r="39" spans="1:37" ht="13.5" thickBot="1">
      <c r="A39" s="3962"/>
      <c r="B39" s="2038" t="s">
        <v>3267</v>
      </c>
      <c r="C39" s="173">
        <f>ROUND(D5*C22*C23*C24*C28*F39,0)</f>
        <v>6891</v>
      </c>
      <c r="D39" s="2095"/>
      <c r="E39" s="169">
        <f t="shared" si="4"/>
        <v>0</v>
      </c>
      <c r="F39" s="169">
        <f>SUMIF(修正!A57:A68,G2,修正!D57:D68)</f>
        <v>0.3</v>
      </c>
      <c r="G39" s="169">
        <f>ROUND(IF(E2="工业",C39*$M$42,C39*$M$41),0)</f>
        <v>1723</v>
      </c>
      <c r="H39" s="169">
        <f t="shared" si="5"/>
        <v>0</v>
      </c>
      <c r="I39" s="169">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f>ROUND(D5*C22*C23*C24*C28*F40,0)</f>
        <v>6891</v>
      </c>
      <c r="D40" s="2095">
        <f>面积明细!C9+面积明细!C11</f>
        <v>1306.8499999999999</v>
      </c>
      <c r="E40" s="169">
        <f t="shared" si="4"/>
        <v>901</v>
      </c>
      <c r="F40" s="173">
        <f>SUMIF(修正!A57:A68,G2,修正!E57:E68)</f>
        <v>0.3</v>
      </c>
      <c r="G40" s="169">
        <f>ROUND(IF(E2="工业",C40*$M$42,C40*$M$41),0)</f>
        <v>1723</v>
      </c>
      <c r="H40" s="169">
        <f t="shared" si="5"/>
        <v>1306.8499999999999</v>
      </c>
      <c r="I40" s="169">
        <f t="shared" si="6"/>
        <v>225</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f>ROUND(D5*C22*C23*C44*C28*F41,0)</f>
        <v>6891</v>
      </c>
      <c r="D41" s="2095"/>
      <c r="E41" s="169">
        <f t="shared" si="4"/>
        <v>0</v>
      </c>
      <c r="F41" s="173">
        <f>SUMIF(修正!A57:A68,G2,修正!F57:F68)</f>
        <v>0.3</v>
      </c>
      <c r="G41" s="169">
        <f>ROUND(IF(E2="工业",C41*$M$42,C41*$M$41),0)</f>
        <v>1723</v>
      </c>
      <c r="H41" s="169">
        <f t="shared" si="5"/>
        <v>0</v>
      </c>
      <c r="I41" s="169">
        <f t="shared" si="6"/>
        <v>0</v>
      </c>
      <c r="J41" s="2111"/>
      <c r="L41" s="3358" t="s">
        <v>3275</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5">
        <f>ROUND(D5*C22*C23*C44*C28*F42,0)</f>
        <v>4594</v>
      </c>
      <c r="D42" s="2100">
        <f>面积明细!C10</f>
        <v>917.51</v>
      </c>
      <c r="E42" s="185">
        <f t="shared" si="4"/>
        <v>422</v>
      </c>
      <c r="F42" s="764">
        <f>SUMIF(修正!A57:A68,G2,修正!G57:G68)</f>
        <v>0.2</v>
      </c>
      <c r="G42" s="185">
        <f>ROUND(IF(E2="工业",C42*$M$42,C42*$M$41),0)</f>
        <v>1149</v>
      </c>
      <c r="H42" s="185">
        <f t="shared" si="5"/>
        <v>917.51</v>
      </c>
      <c r="I42" s="185">
        <f t="shared" si="6"/>
        <v>105</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2122</v>
      </c>
      <c r="C44" s="340">
        <f>ROUND(POWER(1+E44,H44-G44)*(POWER(1+E44,G44)-1)/(POWER(1+E44,H44)-1),4)</f>
        <v>0.72540000000000004</v>
      </c>
      <c r="D44" s="169" t="s">
        <v>1999</v>
      </c>
      <c r="E44" s="2150">
        <f>G24</f>
        <v>5.5E-2</v>
      </c>
      <c r="F44" s="169" t="s">
        <v>2008</v>
      </c>
      <c r="G44" s="181">
        <f>项目基本情况!E15</f>
        <v>21.02</v>
      </c>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t="s">
        <v>3392</v>
      </c>
      <c r="D50" s="1062">
        <f t="shared" ref="D50:D58" si="7">SUMIF($J$49:$N$49,C50,J50:N50)</f>
        <v>0</v>
      </c>
      <c r="E50" s="741">
        <f>ROUND(SUM(D50:D58),4)</f>
        <v>0</v>
      </c>
      <c r="F50" s="1811" t="str">
        <f>IF(E2="商业",SUMIF(L1:L12,G2,N1:N12),"——")</f>
        <v>——</v>
      </c>
      <c r="G50" s="1060"/>
      <c r="H50" s="1063" t="str">
        <f t="shared" ref="H50:H58" si="8">IFERROR(ROUNDDOWN($F$50*I50/2,4),"——")</f>
        <v>——</v>
      </c>
      <c r="I50" s="3365">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t="s">
        <v>3392</v>
      </c>
      <c r="D51" s="1062">
        <f t="shared" si="7"/>
        <v>0</v>
      </c>
      <c r="E51" s="742"/>
      <c r="F51" s="1811"/>
      <c r="G51" s="1060"/>
      <c r="H51" s="1063" t="str">
        <f t="shared" si="8"/>
        <v>——</v>
      </c>
      <c r="I51" s="3365">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7" t="s">
        <v>3277</v>
      </c>
      <c r="B52" s="2131">
        <f>估价对象房地状况!C19</f>
        <v>0</v>
      </c>
      <c r="C52" s="2041" t="s">
        <v>3392</v>
      </c>
      <c r="D52" s="1062">
        <f t="shared" si="7"/>
        <v>0</v>
      </c>
      <c r="E52" s="742"/>
      <c r="F52" s="1811"/>
      <c r="G52" s="1060"/>
      <c r="H52" s="1063" t="str">
        <f t="shared" si="8"/>
        <v>——</v>
      </c>
      <c r="I52" s="3365">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t="s">
        <v>3393</v>
      </c>
      <c r="D53" s="1062">
        <f t="shared" si="7"/>
        <v>0</v>
      </c>
      <c r="E53" s="742"/>
      <c r="F53" s="1811"/>
      <c r="G53" s="1060"/>
      <c r="H53" s="1063" t="str">
        <f t="shared" si="8"/>
        <v>——</v>
      </c>
      <c r="I53" s="3365">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t="s">
        <v>3392</v>
      </c>
      <c r="D54" s="1062">
        <f t="shared" si="7"/>
        <v>0</v>
      </c>
      <c r="E54" s="742"/>
      <c r="F54" s="1811"/>
      <c r="G54" s="1060"/>
      <c r="H54" s="1063" t="str">
        <f t="shared" si="8"/>
        <v>——</v>
      </c>
      <c r="I54" s="3365">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t="s">
        <v>3393</v>
      </c>
      <c r="D55" s="1062">
        <f t="shared" si="7"/>
        <v>0</v>
      </c>
      <c r="E55" s="742"/>
      <c r="F55" s="1811"/>
      <c r="G55" s="1060"/>
      <c r="H55" s="1063" t="str">
        <f t="shared" si="8"/>
        <v>——</v>
      </c>
      <c r="I55" s="3365">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t="s">
        <v>3393</v>
      </c>
      <c r="D56" s="1062">
        <f t="shared" si="7"/>
        <v>0</v>
      </c>
      <c r="E56" s="742"/>
      <c r="F56" s="1811"/>
      <c r="G56" s="1060"/>
      <c r="H56" s="1063" t="str">
        <f t="shared" si="8"/>
        <v>——</v>
      </c>
      <c r="I56" s="3365">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t="s">
        <v>3394</v>
      </c>
      <c r="D57" s="1062">
        <f t="shared" si="7"/>
        <v>0</v>
      </c>
      <c r="E57" s="742"/>
      <c r="F57" s="1811"/>
      <c r="G57" s="1060"/>
      <c r="H57" s="1063" t="str">
        <f t="shared" si="8"/>
        <v>——</v>
      </c>
      <c r="I57" s="3365">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t="s">
        <v>3393</v>
      </c>
      <c r="D58" s="1062">
        <f t="shared" si="7"/>
        <v>0</v>
      </c>
      <c r="E58" s="743"/>
      <c r="F58" s="1811"/>
      <c r="G58" s="1060"/>
      <c r="H58" s="1063" t="str">
        <f t="shared" si="8"/>
        <v>——</v>
      </c>
      <c r="I58" s="3366">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1.0547</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t="s">
        <v>3393</v>
      </c>
      <c r="D61" s="1062">
        <f t="shared" ref="D61:D69" si="12">SUMIF($J$60:$N$60,C61,J61:N61)</f>
        <v>1.2E-2</v>
      </c>
      <c r="E61" s="741">
        <f>ROUND(SUM(D61:D69),4)</f>
        <v>5.4699999999999999E-2</v>
      </c>
      <c r="F61" s="1811">
        <f>IF(E2="办公",SUMIF(L1:L12,G2,N1:N12),"——")</f>
        <v>9.6000000000000002E-2</v>
      </c>
      <c r="G61" s="1060">
        <v>1.2E-2</v>
      </c>
      <c r="H61" s="1063">
        <f t="shared" ref="H61:H69" si="13">IFERROR(ROUNDDOWN($F$61*I61/2,4),"——")</f>
        <v>1.2E-2</v>
      </c>
      <c r="I61" s="3365">
        <v>0.25</v>
      </c>
      <c r="J61" s="1061">
        <f t="shared" ref="J61:J69" si="14">K61+$G61</f>
        <v>2.4E-2</v>
      </c>
      <c r="K61" s="1061">
        <f t="shared" ref="K61:K69" si="15">$L61+$G61</f>
        <v>1.2E-2</v>
      </c>
      <c r="L61" s="1061">
        <v>0</v>
      </c>
      <c r="M61" s="1061">
        <f t="shared" ref="M61:N69" si="16">L61-$G61</f>
        <v>-1.2E-2</v>
      </c>
      <c r="N61" s="1061">
        <f t="shared" si="16"/>
        <v>-2.4E-2</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t="s">
        <v>3393</v>
      </c>
      <c r="D62" s="1062">
        <f t="shared" si="12"/>
        <v>1.24E-2</v>
      </c>
      <c r="E62" s="742"/>
      <c r="F62" s="1811"/>
      <c r="G62" s="1060">
        <v>1.24E-2</v>
      </c>
      <c r="H62" s="1063">
        <f t="shared" si="13"/>
        <v>1.24E-2</v>
      </c>
      <c r="I62" s="3365">
        <v>0.26</v>
      </c>
      <c r="J62" s="1061">
        <f t="shared" si="14"/>
        <v>2.4799999999999999E-2</v>
      </c>
      <c r="K62" s="1061">
        <f t="shared" si="15"/>
        <v>1.24E-2</v>
      </c>
      <c r="L62" s="1061">
        <v>0</v>
      </c>
      <c r="M62" s="1061">
        <f t="shared" si="16"/>
        <v>-1.24E-2</v>
      </c>
      <c r="N62" s="1061">
        <f t="shared" si="16"/>
        <v>-2.4799999999999999E-2</v>
      </c>
      <c r="AA62" s="1117"/>
      <c r="AB62" s="1117"/>
      <c r="AC62" s="1117"/>
      <c r="AD62" s="1117"/>
      <c r="AE62" s="1117"/>
      <c r="AF62" s="1117"/>
      <c r="AG62" s="1117"/>
      <c r="AH62" s="1117"/>
      <c r="AI62" s="1117"/>
      <c r="AJ62" s="1117"/>
      <c r="AK62" s="1117"/>
    </row>
    <row r="63" spans="1:37" s="1116" customFormat="1" ht="36">
      <c r="A63" s="3367" t="s">
        <v>3277</v>
      </c>
      <c r="B63" s="2131">
        <f>估价对象房地状况!C19</f>
        <v>0</v>
      </c>
      <c r="C63" s="2041" t="s">
        <v>3393</v>
      </c>
      <c r="D63" s="1062">
        <f t="shared" si="12"/>
        <v>5.1999999999999998E-3</v>
      </c>
      <c r="E63" s="742"/>
      <c r="F63" s="1811"/>
      <c r="G63" s="1060">
        <v>5.1999999999999998E-3</v>
      </c>
      <c r="H63" s="1063">
        <f t="shared" si="13"/>
        <v>5.1999999999999998E-3</v>
      </c>
      <c r="I63" s="3365">
        <v>0.11</v>
      </c>
      <c r="J63" s="1061">
        <f t="shared" si="14"/>
        <v>1.04E-2</v>
      </c>
      <c r="K63" s="1061">
        <f t="shared" si="15"/>
        <v>5.1999999999999998E-3</v>
      </c>
      <c r="L63" s="1061">
        <v>0</v>
      </c>
      <c r="M63" s="1061">
        <f t="shared" si="16"/>
        <v>-5.1999999999999998E-3</v>
      </c>
      <c r="N63" s="1061">
        <f t="shared" si="16"/>
        <v>-1.04E-2</v>
      </c>
      <c r="AA63" s="1117"/>
      <c r="AB63" s="1117"/>
      <c r="AC63" s="1117"/>
      <c r="AD63" s="1117"/>
      <c r="AE63" s="1117"/>
      <c r="AF63" s="1117"/>
      <c r="AG63" s="1117"/>
      <c r="AH63" s="1117"/>
      <c r="AI63" s="1117"/>
      <c r="AJ63" s="1117"/>
      <c r="AK63" s="1117"/>
    </row>
    <row r="64" spans="1:37" s="1116" customFormat="1" ht="36.75">
      <c r="A64" s="2127" t="s">
        <v>2054</v>
      </c>
      <c r="B64" s="2132" t="s">
        <v>2055</v>
      </c>
      <c r="C64" s="2041" t="s">
        <v>3393</v>
      </c>
      <c r="D64" s="1062">
        <f t="shared" si="12"/>
        <v>2.3999999999999998E-3</v>
      </c>
      <c r="E64" s="742"/>
      <c r="F64" s="1811"/>
      <c r="G64" s="1060">
        <v>2.3999999999999998E-3</v>
      </c>
      <c r="H64" s="1063">
        <f t="shared" si="13"/>
        <v>2.3999999999999998E-3</v>
      </c>
      <c r="I64" s="3365">
        <v>0.05</v>
      </c>
      <c r="J64" s="1061">
        <f t="shared" si="14"/>
        <v>4.7999999999999996E-3</v>
      </c>
      <c r="K64" s="1061">
        <f t="shared" si="15"/>
        <v>2.3999999999999998E-3</v>
      </c>
      <c r="L64" s="1061">
        <v>0</v>
      </c>
      <c r="M64" s="1061">
        <f t="shared" si="16"/>
        <v>-2.3999999999999998E-3</v>
      </c>
      <c r="N64" s="1061">
        <f t="shared" si="16"/>
        <v>-4.7999999999999996E-3</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t="s">
        <v>3393</v>
      </c>
      <c r="D65" s="1062">
        <f t="shared" si="12"/>
        <v>2.3999999999999998E-3</v>
      </c>
      <c r="E65" s="742"/>
      <c r="F65" s="1811"/>
      <c r="G65" s="1060">
        <v>2.3999999999999998E-3</v>
      </c>
      <c r="H65" s="1063">
        <f t="shared" si="13"/>
        <v>2.3999999999999998E-3</v>
      </c>
      <c r="I65" s="3365">
        <v>0.05</v>
      </c>
      <c r="J65" s="1061">
        <f t="shared" si="14"/>
        <v>4.7999999999999996E-3</v>
      </c>
      <c r="K65" s="1061">
        <f t="shared" si="15"/>
        <v>2.3999999999999998E-3</v>
      </c>
      <c r="L65" s="1061">
        <v>0</v>
      </c>
      <c r="M65" s="1061">
        <f t="shared" si="16"/>
        <v>-2.3999999999999998E-3</v>
      </c>
      <c r="N65" s="1061">
        <f t="shared" si="16"/>
        <v>-4.7999999999999996E-3</v>
      </c>
      <c r="AA65" s="1117"/>
      <c r="AB65" s="1117"/>
      <c r="AC65" s="1117"/>
      <c r="AD65" s="1117"/>
      <c r="AE65" s="1117"/>
      <c r="AF65" s="1117"/>
      <c r="AG65" s="1117"/>
      <c r="AH65" s="1117"/>
      <c r="AI65" s="1117"/>
      <c r="AJ65" s="1117"/>
      <c r="AK65" s="1117"/>
    </row>
    <row r="66" spans="1:37" s="1116" customFormat="1" ht="24">
      <c r="A66" s="2127" t="s">
        <v>2057</v>
      </c>
      <c r="B66" s="2133" t="s">
        <v>2058</v>
      </c>
      <c r="C66" s="2041" t="s">
        <v>3393</v>
      </c>
      <c r="D66" s="1062">
        <f t="shared" si="12"/>
        <v>2.8E-3</v>
      </c>
      <c r="E66" s="742"/>
      <c r="F66" s="1811"/>
      <c r="G66" s="1060">
        <v>2.8E-3</v>
      </c>
      <c r="H66" s="1063">
        <f t="shared" si="13"/>
        <v>2.8E-3</v>
      </c>
      <c r="I66" s="3365">
        <v>0.06</v>
      </c>
      <c r="J66" s="1061">
        <f t="shared" si="14"/>
        <v>5.5999999999999999E-3</v>
      </c>
      <c r="K66" s="1061">
        <f t="shared" si="15"/>
        <v>2.8E-3</v>
      </c>
      <c r="L66" s="1061">
        <v>0</v>
      </c>
      <c r="M66" s="1061">
        <f t="shared" si="16"/>
        <v>-2.8E-3</v>
      </c>
      <c r="N66" s="1061">
        <f t="shared" si="16"/>
        <v>-5.5999999999999999E-3</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t="s">
        <v>3394</v>
      </c>
      <c r="D67" s="1062">
        <f t="shared" si="12"/>
        <v>5.5999999999999999E-3</v>
      </c>
      <c r="E67" s="742"/>
      <c r="F67" s="1811"/>
      <c r="G67" s="1060">
        <v>2.8E-3</v>
      </c>
      <c r="H67" s="1063">
        <f t="shared" si="13"/>
        <v>2.8E-3</v>
      </c>
      <c r="I67" s="3365">
        <v>0.06</v>
      </c>
      <c r="J67" s="1061">
        <f t="shared" si="14"/>
        <v>5.5999999999999999E-3</v>
      </c>
      <c r="K67" s="1061">
        <f t="shared" si="15"/>
        <v>2.8E-3</v>
      </c>
      <c r="L67" s="1061">
        <v>0</v>
      </c>
      <c r="M67" s="1061">
        <f t="shared" si="16"/>
        <v>-2.8E-3</v>
      </c>
      <c r="N67" s="1061">
        <f t="shared" si="16"/>
        <v>-5.5999999999999999E-3</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t="s">
        <v>3394</v>
      </c>
      <c r="D68" s="1062">
        <f t="shared" si="12"/>
        <v>8.6E-3</v>
      </c>
      <c r="E68" s="742"/>
      <c r="F68" s="1811"/>
      <c r="G68" s="1060">
        <v>4.3E-3</v>
      </c>
      <c r="H68" s="1063">
        <f t="shared" si="13"/>
        <v>4.3E-3</v>
      </c>
      <c r="I68" s="3365">
        <v>0.09</v>
      </c>
      <c r="J68" s="1061">
        <f t="shared" si="14"/>
        <v>8.6E-3</v>
      </c>
      <c r="K68" s="1061">
        <f t="shared" si="15"/>
        <v>4.3E-3</v>
      </c>
      <c r="L68" s="1061">
        <v>0</v>
      </c>
      <c r="M68" s="1061">
        <f t="shared" si="16"/>
        <v>-4.3E-3</v>
      </c>
      <c r="N68" s="1061">
        <f t="shared" si="16"/>
        <v>-8.6E-3</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t="s">
        <v>3393</v>
      </c>
      <c r="D69" s="1062">
        <f t="shared" si="12"/>
        <v>3.3E-3</v>
      </c>
      <c r="E69" s="743"/>
      <c r="F69" s="1811"/>
      <c r="G69" s="1060">
        <v>3.3E-3</v>
      </c>
      <c r="H69" s="1063">
        <f t="shared" si="13"/>
        <v>3.3E-3</v>
      </c>
      <c r="I69" s="3366">
        <v>7.0000000000000007E-2</v>
      </c>
      <c r="J69" s="1061">
        <f t="shared" si="14"/>
        <v>6.6E-3</v>
      </c>
      <c r="K69" s="1061">
        <f t="shared" si="15"/>
        <v>3.3E-3</v>
      </c>
      <c r="L69" s="1061">
        <v>0</v>
      </c>
      <c r="M69" s="1061">
        <f t="shared" si="16"/>
        <v>-3.3E-3</v>
      </c>
      <c r="N69" s="1061">
        <f t="shared" si="16"/>
        <v>-6.6E-3</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5">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5">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7" t="s">
        <v>3277</v>
      </c>
      <c r="B74" s="2131">
        <f>估价对象房地状况!C19</f>
        <v>0</v>
      </c>
      <c r="C74" s="2041"/>
      <c r="D74" s="1062">
        <f t="shared" si="17"/>
        <v>0</v>
      </c>
      <c r="E74" s="744"/>
      <c r="F74" s="1811"/>
      <c r="G74" s="1060"/>
      <c r="H74" s="1063" t="str">
        <f t="shared" si="18"/>
        <v>——</v>
      </c>
      <c r="I74" s="3365">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5">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5">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5">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5">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5">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6">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5">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5">
        <v>0.3</v>
      </c>
      <c r="J84" s="1061">
        <f t="shared" si="24"/>
        <v>0</v>
      </c>
      <c r="K84" s="1061">
        <f t="shared" si="25"/>
        <v>0</v>
      </c>
      <c r="L84" s="1061">
        <v>0</v>
      </c>
      <c r="M84" s="1061">
        <f t="shared" si="26"/>
        <v>0</v>
      </c>
      <c r="N84" s="1061">
        <f t="shared" si="26"/>
        <v>0</v>
      </c>
      <c r="Z84" s="1995"/>
      <c r="AA84" s="2050"/>
      <c r="AG84" s="1118"/>
      <c r="AK84" s="2050"/>
    </row>
    <row r="85" spans="1:37" ht="36">
      <c r="A85" s="3367" t="s">
        <v>3278</v>
      </c>
      <c r="B85" s="2131">
        <f>估价对象房地状况!G17</f>
        <v>0</v>
      </c>
      <c r="C85" s="2041"/>
      <c r="D85" s="1062">
        <f t="shared" si="22"/>
        <v>0</v>
      </c>
      <c r="E85" s="744"/>
      <c r="F85" s="1811"/>
      <c r="G85" s="1060"/>
      <c r="H85" s="1063" t="str">
        <f t="shared" si="23"/>
        <v>——</v>
      </c>
      <c r="I85" s="3365">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5">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5">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5">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5">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6">
        <v>0.05</v>
      </c>
      <c r="J90" s="1061">
        <f t="shared" si="24"/>
        <v>0</v>
      </c>
      <c r="K90" s="1061">
        <f t="shared" si="25"/>
        <v>0</v>
      </c>
      <c r="L90" s="1061">
        <v>0</v>
      </c>
      <c r="M90" s="1061">
        <f t="shared" si="26"/>
        <v>0</v>
      </c>
      <c r="N90" s="1061">
        <f t="shared" si="26"/>
        <v>0</v>
      </c>
    </row>
    <row r="91" spans="1:37" ht="15">
      <c r="A91" s="3375" t="s">
        <v>2615</v>
      </c>
      <c r="B91" s="3376">
        <f>1+E93</f>
        <v>1</v>
      </c>
      <c r="C91" s="3369"/>
      <c r="D91" s="3370"/>
      <c r="E91" s="1811"/>
      <c r="F91" s="1811"/>
      <c r="G91" s="3371"/>
      <c r="H91" s="3372"/>
      <c r="I91" s="3373"/>
      <c r="J91" s="3374"/>
      <c r="K91" s="3374"/>
      <c r="L91" s="3374"/>
      <c r="M91" s="3374"/>
      <c r="N91" s="3374"/>
    </row>
    <row r="92" spans="1:37" ht="24.75">
      <c r="A92" s="3377" t="s">
        <v>3279</v>
      </c>
      <c r="B92" s="3364"/>
      <c r="C92" s="3364" t="s">
        <v>3288</v>
      </c>
      <c r="D92" s="3364" t="s">
        <v>3289</v>
      </c>
      <c r="E92" s="3346" t="s">
        <v>3290</v>
      </c>
      <c r="F92" s="3379" t="s">
        <v>3291</v>
      </c>
      <c r="G92" s="3364" t="s">
        <v>3292</v>
      </c>
      <c r="H92" s="3386" t="s">
        <v>3295</v>
      </c>
      <c r="I92" s="3364" t="s">
        <v>3296</v>
      </c>
      <c r="J92" s="3387" t="s">
        <v>3297</v>
      </c>
      <c r="K92" s="3387" t="s">
        <v>3298</v>
      </c>
      <c r="L92" s="3387" t="s">
        <v>3299</v>
      </c>
      <c r="M92" s="3387" t="s">
        <v>3300</v>
      </c>
      <c r="N92" s="3387" t="s">
        <v>3301</v>
      </c>
    </row>
    <row r="93" spans="1:37" ht="24">
      <c r="A93" s="3367" t="s">
        <v>3280</v>
      </c>
      <c r="B93" s="1303"/>
      <c r="C93" s="2041"/>
      <c r="D93" s="3364">
        <f>SUMIF($J$92:$N$92,C93,J93:N93)</f>
        <v>0</v>
      </c>
      <c r="E93" s="3380">
        <f>ROUND(SUM(D93:D101),4)</f>
        <v>0</v>
      </c>
      <c r="F93" s="1811"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3281</v>
      </c>
      <c r="B94" s="3368" t="str">
        <f>估价对象房地状况!C18</f>
        <v>估价对象周边道路状况、公共交通通达情况、停车便捷程度，综合评价交通便捷度较好</v>
      </c>
      <c r="C94" s="2041"/>
      <c r="D94" s="3364">
        <f t="shared" ref="D94:D101" si="30">SUMIF($J$60:$N$60,C94,J94:N94)</f>
        <v>0</v>
      </c>
      <c r="E94" s="3381"/>
      <c r="F94" s="1811"/>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3277</v>
      </c>
      <c r="B95" s="3368">
        <f>估价对象房地状况!C19</f>
        <v>0</v>
      </c>
      <c r="C95" s="2041"/>
      <c r="D95" s="3364">
        <f t="shared" si="30"/>
        <v>0</v>
      </c>
      <c r="E95" s="3381"/>
      <c r="F95" s="1811"/>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3282</v>
      </c>
      <c r="B96" s="3383" t="s">
        <v>3293</v>
      </c>
      <c r="C96" s="2041"/>
      <c r="D96" s="3364">
        <f t="shared" si="30"/>
        <v>0</v>
      </c>
      <c r="E96" s="3381"/>
      <c r="F96" s="1811"/>
      <c r="G96" s="3371"/>
      <c r="H96" s="3419" t="str">
        <f t="shared" si="31"/>
        <v>——</v>
      </c>
      <c r="I96" s="3365">
        <v>0.05</v>
      </c>
      <c r="J96" s="3343">
        <f t="shared" si="27"/>
        <v>0</v>
      </c>
      <c r="K96" s="3343">
        <f t="shared" si="28"/>
        <v>0</v>
      </c>
      <c r="L96" s="3343">
        <v>0</v>
      </c>
      <c r="M96" s="3343">
        <f t="shared" si="29"/>
        <v>0</v>
      </c>
      <c r="N96" s="3343">
        <f t="shared" si="29"/>
        <v>0</v>
      </c>
    </row>
    <row r="97" spans="1:14" ht="24">
      <c r="A97" s="3377" t="s">
        <v>3283</v>
      </c>
      <c r="B97" s="3368">
        <f>估价对象房地状况!C24</f>
        <v>0</v>
      </c>
      <c r="C97" s="2041"/>
      <c r="D97" s="3364">
        <f t="shared" si="30"/>
        <v>0</v>
      </c>
      <c r="E97" s="3381"/>
      <c r="F97" s="1811"/>
      <c r="G97" s="3371"/>
      <c r="H97" s="3419" t="str">
        <f t="shared" si="31"/>
        <v>——</v>
      </c>
      <c r="I97" s="3365">
        <v>0.05</v>
      </c>
      <c r="J97" s="3343">
        <f t="shared" si="27"/>
        <v>0</v>
      </c>
      <c r="K97" s="3343">
        <f t="shared" si="28"/>
        <v>0</v>
      </c>
      <c r="L97" s="3343">
        <v>0</v>
      </c>
      <c r="M97" s="3343">
        <f t="shared" si="29"/>
        <v>0</v>
      </c>
      <c r="N97" s="3343">
        <f t="shared" si="29"/>
        <v>0</v>
      </c>
    </row>
    <row r="98" spans="1:14" ht="24">
      <c r="A98" s="3377" t="s">
        <v>3284</v>
      </c>
      <c r="B98" s="3384" t="s">
        <v>3294</v>
      </c>
      <c r="C98" s="2041"/>
      <c r="D98" s="3364">
        <f t="shared" si="30"/>
        <v>0</v>
      </c>
      <c r="E98" s="3381"/>
      <c r="F98" s="1811"/>
      <c r="G98" s="3371"/>
      <c r="H98" s="3419" t="str">
        <f t="shared" si="31"/>
        <v>——</v>
      </c>
      <c r="I98" s="3365">
        <v>0.06</v>
      </c>
      <c r="J98" s="3343">
        <f t="shared" si="27"/>
        <v>0</v>
      </c>
      <c r="K98" s="3343">
        <f t="shared" si="28"/>
        <v>0</v>
      </c>
      <c r="L98" s="3343">
        <v>0</v>
      </c>
      <c r="M98" s="3343">
        <f t="shared" si="29"/>
        <v>0</v>
      </c>
      <c r="N98" s="3343">
        <f t="shared" si="29"/>
        <v>0</v>
      </c>
    </row>
    <row r="99" spans="1:14" ht="25.5">
      <c r="A99" s="3377" t="s">
        <v>3285</v>
      </c>
      <c r="B99" s="3368" t="str">
        <f>估价对象房地状况!C21</f>
        <v>估价对象所在区域公共配套设施齐备情况</v>
      </c>
      <c r="C99" s="2041"/>
      <c r="D99" s="3364">
        <f t="shared" si="30"/>
        <v>0</v>
      </c>
      <c r="E99" s="3381"/>
      <c r="F99" s="1811"/>
      <c r="G99" s="3371"/>
      <c r="H99" s="3419" t="str">
        <f t="shared" si="31"/>
        <v>——</v>
      </c>
      <c r="I99" s="3365">
        <v>0.06</v>
      </c>
      <c r="J99" s="3343">
        <f t="shared" si="27"/>
        <v>0</v>
      </c>
      <c r="K99" s="3343">
        <f t="shared" si="28"/>
        <v>0</v>
      </c>
      <c r="L99" s="3343">
        <v>0</v>
      </c>
      <c r="M99" s="3343">
        <f t="shared" si="29"/>
        <v>0</v>
      </c>
      <c r="N99" s="3343">
        <f t="shared" si="29"/>
        <v>0</v>
      </c>
    </row>
    <row r="100" spans="1:14" ht="25.5">
      <c r="A100" s="3377" t="s">
        <v>3286</v>
      </c>
      <c r="B100" s="3368" t="str">
        <f>估价对象房地状况!C22</f>
        <v>估价对象所在区域基础设施水平</v>
      </c>
      <c r="C100" s="2041"/>
      <c r="D100" s="3364">
        <f t="shared" si="30"/>
        <v>0</v>
      </c>
      <c r="E100" s="3381"/>
      <c r="F100" s="1811"/>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3287</v>
      </c>
      <c r="B101" s="3385" t="str">
        <f>估价对象房地状况!C20</f>
        <v>区域自然环境：；人文环境；综合评价环境状况一般</v>
      </c>
      <c r="C101" s="2041"/>
      <c r="D101" s="3364">
        <f t="shared" si="30"/>
        <v>0</v>
      </c>
      <c r="E101" s="3382"/>
      <c r="F101" s="1811"/>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959" t="s">
        <v>3302</v>
      </c>
      <c r="B103" s="3959"/>
      <c r="C103" s="3959"/>
      <c r="D103" s="3959"/>
      <c r="E103" s="3959"/>
      <c r="F103" s="3959"/>
      <c r="G103" s="3959"/>
      <c r="H103" s="3959"/>
      <c r="I103" s="3959"/>
      <c r="J103" s="3959"/>
      <c r="K103" s="3388"/>
      <c r="L103" s="3388"/>
      <c r="M103" s="3388"/>
      <c r="N103" s="3388"/>
    </row>
    <row r="104" spans="1:14">
      <c r="A104" s="3960" t="s">
        <v>3303</v>
      </c>
      <c r="B104" s="3960" t="s">
        <v>3304</v>
      </c>
      <c r="C104" s="3389" t="s">
        <v>3305</v>
      </c>
      <c r="D104" s="3390"/>
      <c r="E104" s="3390"/>
      <c r="F104" s="3390"/>
      <c r="G104" s="3390"/>
      <c r="H104" s="3390"/>
      <c r="I104" s="3390"/>
      <c r="J104" s="3391"/>
      <c r="K104" s="3392"/>
      <c r="L104" s="3392"/>
      <c r="M104" s="3392"/>
      <c r="N104" s="3392"/>
    </row>
    <row r="105" spans="1:14">
      <c r="A105" s="3960"/>
      <c r="B105" s="3960"/>
      <c r="C105" s="3393" t="s">
        <v>3306</v>
      </c>
      <c r="D105" s="3393" t="s">
        <v>3307</v>
      </c>
      <c r="E105" s="3393" t="s">
        <v>3308</v>
      </c>
      <c r="F105" s="3393" t="s">
        <v>3309</v>
      </c>
      <c r="G105" s="3393" t="s">
        <v>3310</v>
      </c>
      <c r="H105" s="3393" t="s">
        <v>3311</v>
      </c>
      <c r="I105" s="3393" t="s">
        <v>3312</v>
      </c>
      <c r="J105" s="3393" t="s">
        <v>3313</v>
      </c>
      <c r="K105" s="3393" t="s">
        <v>3314</v>
      </c>
      <c r="L105" s="3393" t="s">
        <v>3315</v>
      </c>
      <c r="M105" s="3393" t="s">
        <v>3316</v>
      </c>
      <c r="N105" s="3393" t="s">
        <v>3317</v>
      </c>
    </row>
    <row r="106" spans="1:14">
      <c r="A106" s="3946" t="s">
        <v>3318</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94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94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94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94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947"/>
      <c r="B111" s="3393" t="s">
        <v>3276</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94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949" t="s">
        <v>3319</v>
      </c>
      <c r="B113" s="3949"/>
      <c r="C113" s="3949"/>
      <c r="D113" s="3949"/>
      <c r="E113" s="3949"/>
      <c r="F113" s="3949"/>
      <c r="G113" s="3949"/>
      <c r="H113" s="3949"/>
      <c r="I113" s="3949"/>
      <c r="J113" s="394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3320</v>
      </c>
      <c r="B116" s="3414">
        <f>G3</f>
        <v>9.17</v>
      </c>
      <c r="C116" s="3398" t="s">
        <v>3321</v>
      </c>
      <c r="D116" s="3399">
        <f>SUMPRODUCT((A118:A122=F116)*(B117:M117=H116)*B118:M122)</f>
        <v>0.89029999999999998</v>
      </c>
      <c r="E116" s="1997" t="s">
        <v>3322</v>
      </c>
      <c r="F116" s="3400" t="str">
        <f>E2</f>
        <v>办公</v>
      </c>
      <c r="G116" s="1997" t="s">
        <v>3323</v>
      </c>
      <c r="H116" s="3400" t="str">
        <f>G2</f>
        <v>二级</v>
      </c>
      <c r="I116" s="1997"/>
      <c r="J116" s="3401"/>
      <c r="K116" s="3401"/>
      <c r="L116" s="3401"/>
      <c r="M116" s="3401"/>
      <c r="N116" s="3396"/>
    </row>
    <row r="117" spans="1:14">
      <c r="A117" s="3402"/>
      <c r="B117" s="3403" t="s">
        <v>3324</v>
      </c>
      <c r="C117" s="3403" t="s">
        <v>3325</v>
      </c>
      <c r="D117" s="3403" t="s">
        <v>3326</v>
      </c>
      <c r="E117" s="3404" t="s">
        <v>3327</v>
      </c>
      <c r="F117" s="3404" t="s">
        <v>3328</v>
      </c>
      <c r="G117" s="3404" t="s">
        <v>3329</v>
      </c>
      <c r="H117" s="3405" t="s">
        <v>3330</v>
      </c>
      <c r="I117" s="3405" t="s">
        <v>3331</v>
      </c>
      <c r="J117" s="3406" t="s">
        <v>3332</v>
      </c>
      <c r="K117" s="3406" t="s">
        <v>3333</v>
      </c>
      <c r="L117" s="3406" t="s">
        <v>3334</v>
      </c>
      <c r="M117" s="3407" t="s">
        <v>3335</v>
      </c>
      <c r="N117" s="3396"/>
    </row>
    <row r="118" spans="1:14">
      <c r="A118" s="3408" t="s">
        <v>3336</v>
      </c>
      <c r="B118" s="3386">
        <f>ROUND(0.9968-0.011*B116,4)</f>
        <v>0.89590000000000003</v>
      </c>
      <c r="C118" s="3386">
        <f>B118</f>
        <v>0.89590000000000003</v>
      </c>
      <c r="D118" s="3386">
        <f>ROUND(0.949-0.014*B116,4)</f>
        <v>0.8206</v>
      </c>
      <c r="E118" s="3386">
        <f>D118</f>
        <v>0.8206</v>
      </c>
      <c r="F118" s="3386">
        <f>E118</f>
        <v>0.8206</v>
      </c>
      <c r="G118" s="3386">
        <f>F118</f>
        <v>0.8206</v>
      </c>
      <c r="H118" s="3386">
        <f>G118</f>
        <v>0.8206</v>
      </c>
      <c r="I118" s="3386">
        <f>ROUND(0.8486-0.018*B116,4)</f>
        <v>0.6835</v>
      </c>
      <c r="J118" s="3386">
        <f t="shared" ref="J118:M122" si="35">I118</f>
        <v>0.6835</v>
      </c>
      <c r="K118" s="3386">
        <f t="shared" si="35"/>
        <v>0.6835</v>
      </c>
      <c r="L118" s="3386">
        <f t="shared" si="35"/>
        <v>0.6835</v>
      </c>
      <c r="M118" s="3409">
        <f t="shared" si="35"/>
        <v>0.6835</v>
      </c>
      <c r="N118" s="3396"/>
    </row>
    <row r="119" spans="1:14">
      <c r="A119" s="3408" t="s">
        <v>3337</v>
      </c>
      <c r="B119" s="3386">
        <f>ROUND(0.993-0.0112*B116,4)</f>
        <v>0.89029999999999998</v>
      </c>
      <c r="C119" s="3386">
        <f>B119</f>
        <v>0.89029999999999998</v>
      </c>
      <c r="D119" s="3386">
        <f>ROUND(0.9415-0.0142*B116,4)</f>
        <v>0.81130000000000002</v>
      </c>
      <c r="E119" s="3386">
        <f t="shared" ref="E119:H120" si="36">D119</f>
        <v>0.81130000000000002</v>
      </c>
      <c r="F119" s="3386">
        <f t="shared" si="36"/>
        <v>0.81130000000000002</v>
      </c>
      <c r="G119" s="3386">
        <f t="shared" si="36"/>
        <v>0.81130000000000002</v>
      </c>
      <c r="H119" s="3386">
        <f t="shared" si="36"/>
        <v>0.81130000000000002</v>
      </c>
      <c r="I119" s="3386">
        <f>ROUND(0.838-0.0182*B116,4)</f>
        <v>0.67110000000000003</v>
      </c>
      <c r="J119" s="3386">
        <f t="shared" si="35"/>
        <v>0.67110000000000003</v>
      </c>
      <c r="K119" s="3386">
        <f t="shared" si="35"/>
        <v>0.67110000000000003</v>
      </c>
      <c r="L119" s="3386">
        <f t="shared" si="35"/>
        <v>0.67110000000000003</v>
      </c>
      <c r="M119" s="3409">
        <f t="shared" si="35"/>
        <v>0.67110000000000003</v>
      </c>
      <c r="N119" s="3396"/>
    </row>
    <row r="120" spans="1:14">
      <c r="A120" s="3408" t="s">
        <v>3338</v>
      </c>
      <c r="B120" s="3386">
        <f>ROUND(0.9448-0.0115*B116,4)</f>
        <v>0.83930000000000005</v>
      </c>
      <c r="C120" s="3386">
        <f>B120</f>
        <v>0.83930000000000005</v>
      </c>
      <c r="D120" s="3386">
        <f>ROUND(0.937-0.0145*B116,4)</f>
        <v>0.80400000000000005</v>
      </c>
      <c r="E120" s="3386">
        <f t="shared" si="36"/>
        <v>0.80400000000000005</v>
      </c>
      <c r="F120" s="3386">
        <f t="shared" si="36"/>
        <v>0.80400000000000005</v>
      </c>
      <c r="G120" s="3386">
        <f t="shared" si="36"/>
        <v>0.80400000000000005</v>
      </c>
      <c r="H120" s="3386">
        <f t="shared" si="36"/>
        <v>0.80400000000000005</v>
      </c>
      <c r="I120" s="3386">
        <f>ROUND(0.7965-0.0185*B116,4)</f>
        <v>0.62690000000000001</v>
      </c>
      <c r="J120" s="3386">
        <f t="shared" si="35"/>
        <v>0.62690000000000001</v>
      </c>
      <c r="K120" s="3386">
        <f t="shared" si="35"/>
        <v>0.62690000000000001</v>
      </c>
      <c r="L120" s="3386">
        <f t="shared" si="35"/>
        <v>0.62690000000000001</v>
      </c>
      <c r="M120" s="3409">
        <f t="shared" si="35"/>
        <v>0.62690000000000001</v>
      </c>
      <c r="N120" s="3396"/>
    </row>
    <row r="121" spans="1:14" ht="13.5" thickBot="1">
      <c r="A121" s="3410" t="s">
        <v>3339</v>
      </c>
      <c r="B121" s="3411">
        <f>ROUND(0.7836-0.012*B116,4)</f>
        <v>0.67359999999999998</v>
      </c>
      <c r="C121" s="3411">
        <f>B121</f>
        <v>0.67359999999999998</v>
      </c>
      <c r="D121" s="3411">
        <f>ROUND(0.753-0.015*B116,4)</f>
        <v>0.61550000000000005</v>
      </c>
      <c r="E121" s="3411">
        <f>D121</f>
        <v>0.61550000000000005</v>
      </c>
      <c r="F121" s="3411">
        <f>E121</f>
        <v>0.61550000000000005</v>
      </c>
      <c r="G121" s="3411">
        <f>ROUND(0.6612-0.018*B116,4)</f>
        <v>0.49609999999999999</v>
      </c>
      <c r="H121" s="3411">
        <f>G121</f>
        <v>0.49609999999999999</v>
      </c>
      <c r="I121" s="3411">
        <f>ROUND(0.5905-0.019*B116,4)</f>
        <v>0.4163</v>
      </c>
      <c r="J121" s="3411">
        <f t="shared" si="35"/>
        <v>0.4163</v>
      </c>
      <c r="K121" s="3411">
        <f t="shared" si="35"/>
        <v>0.4163</v>
      </c>
      <c r="L121" s="3411">
        <f t="shared" si="35"/>
        <v>0.4163</v>
      </c>
      <c r="M121" s="3412">
        <f t="shared" si="35"/>
        <v>0.4163</v>
      </c>
      <c r="N121" s="3396"/>
    </row>
    <row r="122" spans="1:14">
      <c r="A122" s="3413" t="s">
        <v>2615</v>
      </c>
      <c r="B122" s="3386">
        <f>ROUND(0.9404-0.0106*B116,4)</f>
        <v>0.84319999999999995</v>
      </c>
      <c r="C122" s="3386">
        <f>B122</f>
        <v>0.84319999999999995</v>
      </c>
      <c r="D122" s="3386">
        <f>ROUND(0.8955-0.0135*B116,4)</f>
        <v>0.77170000000000005</v>
      </c>
      <c r="E122" s="3386">
        <f t="shared" ref="E122:H122" si="37">D122</f>
        <v>0.77170000000000005</v>
      </c>
      <c r="F122" s="3386">
        <f t="shared" si="37"/>
        <v>0.77170000000000005</v>
      </c>
      <c r="G122" s="3386">
        <f t="shared" si="37"/>
        <v>0.77170000000000005</v>
      </c>
      <c r="H122" s="3386">
        <f t="shared" si="37"/>
        <v>0.77170000000000005</v>
      </c>
      <c r="I122" s="3386">
        <f>ROUND(0.7632-0.0166*B116,4)</f>
        <v>0.61099999999999999</v>
      </c>
      <c r="J122" s="3386">
        <f t="shared" si="35"/>
        <v>0.61099999999999999</v>
      </c>
      <c r="K122" s="3386">
        <f t="shared" si="35"/>
        <v>0.61099999999999999</v>
      </c>
      <c r="L122" s="3386">
        <f t="shared" si="35"/>
        <v>0.61099999999999999</v>
      </c>
      <c r="M122" s="3409">
        <f t="shared" si="35"/>
        <v>0.61099999999999999</v>
      </c>
      <c r="N122" s="3396"/>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70" zoomScaleNormal="70" workbookViewId="0">
      <selection activeCell="H34" sqref="H34"/>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974" t="s">
        <v>2610</v>
      </c>
      <c r="B20" s="3969" t="s">
        <v>2631</v>
      </c>
      <c r="C20" s="3100" t="s">
        <v>2442</v>
      </c>
      <c r="D20" s="3101"/>
      <c r="E20" s="3102">
        <v>1</v>
      </c>
      <c r="F20" s="3103" t="s">
        <v>2443</v>
      </c>
      <c r="G20" s="3103"/>
    </row>
    <row r="21" spans="1:13" ht="19.5" customHeight="1">
      <c r="A21" s="3975"/>
      <c r="B21" s="3968"/>
      <c r="C21" s="3104" t="s">
        <v>2444</v>
      </c>
      <c r="D21" s="3105"/>
      <c r="E21" s="3106">
        <v>1</v>
      </c>
      <c r="F21" s="3103" t="s">
        <v>2445</v>
      </c>
      <c r="G21" s="3103"/>
    </row>
    <row r="22" spans="1:13" ht="19.5" customHeight="1">
      <c r="A22" s="3975"/>
      <c r="B22" s="3968"/>
      <c r="C22" s="3104" t="s">
        <v>2446</v>
      </c>
      <c r="D22" s="3105"/>
      <c r="E22" s="3106">
        <v>0.9</v>
      </c>
      <c r="F22" s="3103" t="s">
        <v>2447</v>
      </c>
      <c r="G22" s="3103"/>
    </row>
    <row r="23" spans="1:13" ht="19.5" customHeight="1">
      <c r="A23" s="3975"/>
      <c r="B23" s="3968"/>
      <c r="C23" s="3104" t="s">
        <v>2448</v>
      </c>
      <c r="D23" s="3105"/>
      <c r="E23" s="3106">
        <v>0.9</v>
      </c>
      <c r="F23" s="3103" t="s">
        <v>2449</v>
      </c>
      <c r="G23" s="3103"/>
    </row>
    <row r="24" spans="1:13" ht="19.5" customHeight="1">
      <c r="A24" s="3975"/>
      <c r="B24" s="3968"/>
      <c r="C24" s="3104" t="s">
        <v>2450</v>
      </c>
      <c r="D24" s="3105"/>
      <c r="E24" s="3106">
        <v>0.8</v>
      </c>
      <c r="F24" s="3103" t="s">
        <v>2451</v>
      </c>
      <c r="G24" s="3103"/>
    </row>
    <row r="25" spans="1:13" ht="19.5" customHeight="1" thickBot="1">
      <c r="A25" s="3976"/>
      <c r="B25" s="3970"/>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971" t="s">
        <v>2634</v>
      </c>
      <c r="B27" s="3969" t="s">
        <v>2615</v>
      </c>
      <c r="C27" s="3100" t="s">
        <v>2455</v>
      </c>
      <c r="D27" s="3101"/>
      <c r="E27" s="3102">
        <v>1</v>
      </c>
      <c r="F27" s="3103" t="s">
        <v>2456</v>
      </c>
      <c r="G27" s="3103"/>
    </row>
    <row r="28" spans="1:13" ht="19.5" customHeight="1">
      <c r="A28" s="3972"/>
      <c r="B28" s="3968"/>
      <c r="C28" s="3104" t="s">
        <v>2457</v>
      </c>
      <c r="D28" s="3105"/>
      <c r="E28" s="3106">
        <v>1</v>
      </c>
      <c r="F28" s="3103" t="s">
        <v>2458</v>
      </c>
      <c r="G28" s="3103"/>
    </row>
    <row r="29" spans="1:13" ht="19.5" customHeight="1">
      <c r="A29" s="3972"/>
      <c r="B29" s="3968"/>
      <c r="C29" s="3104" t="s">
        <v>2459</v>
      </c>
      <c r="D29" s="3105"/>
      <c r="E29" s="3106">
        <v>0.8</v>
      </c>
      <c r="F29" s="3103" t="s">
        <v>2460</v>
      </c>
      <c r="G29" s="3103"/>
    </row>
    <row r="30" spans="1:13" ht="19.5" customHeight="1">
      <c r="A30" s="3972"/>
      <c r="B30" s="3968"/>
      <c r="C30" s="3104" t="s">
        <v>2461</v>
      </c>
      <c r="D30" s="3105"/>
      <c r="E30" s="3106">
        <v>0.8</v>
      </c>
      <c r="F30" s="3103" t="s">
        <v>2462</v>
      </c>
      <c r="G30" s="3103"/>
    </row>
    <row r="31" spans="1:13" ht="19.5" customHeight="1">
      <c r="A31" s="3972"/>
      <c r="B31" s="3968"/>
      <c r="C31" s="3104" t="s">
        <v>2463</v>
      </c>
      <c r="D31" s="3105"/>
      <c r="E31" s="3106">
        <v>0.8</v>
      </c>
      <c r="F31" s="3103" t="s">
        <v>2464</v>
      </c>
      <c r="G31" s="3103"/>
    </row>
    <row r="32" spans="1:13" ht="19.5" customHeight="1">
      <c r="A32" s="3972"/>
      <c r="B32" s="3968"/>
      <c r="C32" s="3104" t="s">
        <v>2465</v>
      </c>
      <c r="D32" s="3105"/>
      <c r="E32" s="3106">
        <v>0.7</v>
      </c>
      <c r="F32" s="3103" t="s">
        <v>2466</v>
      </c>
      <c r="G32" s="3103"/>
    </row>
    <row r="33" spans="1:7" ht="19.5" customHeight="1">
      <c r="A33" s="3972"/>
      <c r="B33" s="3968"/>
      <c r="C33" s="3104" t="s">
        <v>2467</v>
      </c>
      <c r="D33" s="3105"/>
      <c r="E33" s="3106">
        <v>0.8</v>
      </c>
      <c r="F33" s="3103" t="s">
        <v>2468</v>
      </c>
      <c r="G33" s="3103"/>
    </row>
    <row r="34" spans="1:7" ht="19.5" customHeight="1">
      <c r="A34" s="3972"/>
      <c r="B34" s="3968"/>
      <c r="C34" s="3104" t="s">
        <v>2469</v>
      </c>
      <c r="D34" s="3105"/>
      <c r="E34" s="3106">
        <v>0.6</v>
      </c>
      <c r="F34" s="3103" t="s">
        <v>2470</v>
      </c>
      <c r="G34" s="3103"/>
    </row>
    <row r="35" spans="1:7" ht="19.5" customHeight="1">
      <c r="A35" s="3972"/>
      <c r="B35" s="3968"/>
      <c r="C35" s="3104" t="s">
        <v>2471</v>
      </c>
      <c r="D35" s="3105"/>
      <c r="E35" s="3106">
        <v>0.2</v>
      </c>
      <c r="F35" s="3103" t="s">
        <v>2472</v>
      </c>
      <c r="G35" s="3103"/>
    </row>
    <row r="36" spans="1:7" ht="19.5" customHeight="1">
      <c r="A36" s="3972"/>
      <c r="B36" s="3968"/>
      <c r="C36" s="3104" t="s">
        <v>2473</v>
      </c>
      <c r="D36" s="3105"/>
      <c r="E36" s="3106">
        <v>0.2</v>
      </c>
      <c r="F36" s="3103" t="s">
        <v>2474</v>
      </c>
      <c r="G36" s="3103"/>
    </row>
    <row r="37" spans="1:7" ht="19.5" customHeight="1">
      <c r="A37" s="3972"/>
      <c r="B37" s="3966" t="s">
        <v>2635</v>
      </c>
      <c r="C37" s="3104" t="s">
        <v>2475</v>
      </c>
      <c r="D37" s="3105"/>
      <c r="E37" s="3106">
        <v>0.6</v>
      </c>
      <c r="F37" s="3103" t="s">
        <v>2476</v>
      </c>
      <c r="G37" s="3103"/>
    </row>
    <row r="38" spans="1:7" ht="19.5" customHeight="1">
      <c r="A38" s="3972"/>
      <c r="B38" s="3968"/>
      <c r="C38" s="3104" t="s">
        <v>2477</v>
      </c>
      <c r="D38" s="3105"/>
      <c r="E38" s="3106">
        <v>0.6</v>
      </c>
      <c r="F38" s="3103" t="s">
        <v>2478</v>
      </c>
      <c r="G38" s="3103"/>
    </row>
    <row r="39" spans="1:7" ht="19.5" customHeight="1" thickBot="1">
      <c r="A39" s="3973"/>
      <c r="B39" s="3970"/>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974" t="s">
        <v>2613</v>
      </c>
      <c r="B41" s="3969" t="s">
        <v>2637</v>
      </c>
      <c r="C41" s="3100" t="s">
        <v>2482</v>
      </c>
      <c r="D41" s="3101"/>
      <c r="E41" s="3102">
        <v>1</v>
      </c>
      <c r="F41" s="3103" t="s">
        <v>2483</v>
      </c>
      <c r="G41" s="3103"/>
    </row>
    <row r="42" spans="1:7" ht="19.5" customHeight="1">
      <c r="A42" s="3975"/>
      <c r="B42" s="3968"/>
      <c r="C42" s="3104" t="s">
        <v>2484</v>
      </c>
      <c r="D42" s="3105"/>
      <c r="E42" s="3106">
        <v>1</v>
      </c>
      <c r="F42" s="3103" t="s">
        <v>2485</v>
      </c>
      <c r="G42" s="3103"/>
    </row>
    <row r="43" spans="1:7" ht="19.5" customHeight="1">
      <c r="A43" s="3975"/>
      <c r="B43" s="3967"/>
      <c r="C43" s="3104" t="s">
        <v>2486</v>
      </c>
      <c r="D43" s="3105"/>
      <c r="E43" s="3106">
        <v>1.5</v>
      </c>
      <c r="F43" s="3103" t="s">
        <v>2487</v>
      </c>
      <c r="G43" s="3103"/>
    </row>
    <row r="44" spans="1:7" ht="19.5" customHeight="1">
      <c r="A44" s="3975"/>
      <c r="B44" s="3115" t="s">
        <v>2638</v>
      </c>
      <c r="C44" s="3104" t="s">
        <v>2639</v>
      </c>
      <c r="D44" s="3105"/>
      <c r="E44" s="3106">
        <v>2</v>
      </c>
      <c r="F44" s="3103" t="s">
        <v>2488</v>
      </c>
      <c r="G44" s="3103"/>
    </row>
    <row r="45" spans="1:7" ht="19.5" customHeight="1">
      <c r="A45" s="3975"/>
      <c r="B45" s="3966" t="s">
        <v>2640</v>
      </c>
      <c r="C45" s="3104" t="s">
        <v>2489</v>
      </c>
      <c r="D45" s="3105"/>
      <c r="E45" s="3106">
        <v>1</v>
      </c>
      <c r="F45" s="3103" t="s">
        <v>2490</v>
      </c>
      <c r="G45" s="3103"/>
    </row>
    <row r="46" spans="1:7" ht="19.5" customHeight="1">
      <c r="A46" s="3975"/>
      <c r="B46" s="3968"/>
      <c r="C46" s="3104" t="s">
        <v>2491</v>
      </c>
      <c r="D46" s="3105"/>
      <c r="E46" s="3106">
        <v>1</v>
      </c>
      <c r="F46" s="3103" t="s">
        <v>2492</v>
      </c>
      <c r="G46" s="3103"/>
    </row>
    <row r="47" spans="1:7" ht="19.5" customHeight="1">
      <c r="A47" s="3975"/>
      <c r="B47" s="3968"/>
      <c r="C47" s="3104" t="s">
        <v>2493</v>
      </c>
      <c r="D47" s="3105"/>
      <c r="E47" s="3106">
        <v>1</v>
      </c>
      <c r="F47" s="3103" t="s">
        <v>2494</v>
      </c>
      <c r="G47" s="3103"/>
    </row>
    <row r="48" spans="1:7" ht="19.5" customHeight="1">
      <c r="A48" s="3975"/>
      <c r="B48" s="3968"/>
      <c r="C48" s="3104" t="s">
        <v>2495</v>
      </c>
      <c r="D48" s="3105"/>
      <c r="E48" s="3106">
        <v>1</v>
      </c>
      <c r="F48" s="3103" t="s">
        <v>2496</v>
      </c>
      <c r="G48" s="3103"/>
    </row>
    <row r="49" spans="1:7" ht="19.5" customHeight="1">
      <c r="A49" s="3975"/>
      <c r="B49" s="3968"/>
      <c r="C49" s="3104" t="s">
        <v>2497</v>
      </c>
      <c r="D49" s="3105"/>
      <c r="E49" s="3106">
        <v>1</v>
      </c>
      <c r="F49" s="3103" t="s">
        <v>2498</v>
      </c>
      <c r="G49" s="3103"/>
    </row>
    <row r="50" spans="1:7" ht="19.5" customHeight="1">
      <c r="A50" s="3975"/>
      <c r="B50" s="3968"/>
      <c r="C50" s="3104" t="s">
        <v>2499</v>
      </c>
      <c r="D50" s="3105"/>
      <c r="E50" s="3106">
        <v>1</v>
      </c>
      <c r="F50" s="3103" t="s">
        <v>2500</v>
      </c>
      <c r="G50" s="3103"/>
    </row>
    <row r="51" spans="1:7" ht="19.5" customHeight="1" thickBot="1">
      <c r="A51" s="3976"/>
      <c r="B51" s="3970"/>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966" t="s">
        <v>2654</v>
      </c>
      <c r="C73" s="3089" t="s">
        <v>2655</v>
      </c>
      <c r="D73" s="3089" t="s">
        <v>2656</v>
      </c>
      <c r="E73" s="3115">
        <v>0.2</v>
      </c>
      <c r="F73" s="3115">
        <v>25</v>
      </c>
    </row>
    <row r="74" spans="1:7" ht="24">
      <c r="A74" s="3115">
        <v>2</v>
      </c>
      <c r="B74" s="3968"/>
      <c r="C74" s="3089" t="s">
        <v>2657</v>
      </c>
      <c r="D74" s="3089" t="s">
        <v>2658</v>
      </c>
      <c r="E74" s="3115">
        <v>0.2</v>
      </c>
      <c r="F74" s="3115">
        <v>25</v>
      </c>
    </row>
    <row r="75" spans="1:7" ht="24">
      <c r="A75" s="3115">
        <v>3</v>
      </c>
      <c r="B75" s="3968"/>
      <c r="C75" s="3089" t="s">
        <v>2659</v>
      </c>
      <c r="D75" s="3089" t="s">
        <v>2660</v>
      </c>
      <c r="E75" s="3115">
        <v>0.2</v>
      </c>
      <c r="F75" s="3115">
        <v>25</v>
      </c>
    </row>
    <row r="76" spans="1:7" ht="13.5">
      <c r="A76" s="3115">
        <v>4</v>
      </c>
      <c r="B76" s="3968"/>
      <c r="C76" s="3089" t="s">
        <v>2661</v>
      </c>
      <c r="D76" s="3089" t="s">
        <v>2662</v>
      </c>
      <c r="E76" s="3115">
        <v>0.15</v>
      </c>
      <c r="F76" s="3115">
        <v>20</v>
      </c>
    </row>
    <row r="77" spans="1:7" ht="24">
      <c r="A77" s="3115">
        <v>5</v>
      </c>
      <c r="B77" s="3968"/>
      <c r="C77" s="3089" t="s">
        <v>2663</v>
      </c>
      <c r="D77" s="3089" t="s">
        <v>2664</v>
      </c>
      <c r="E77" s="3115">
        <v>0.15</v>
      </c>
      <c r="F77" s="3115">
        <v>20</v>
      </c>
    </row>
    <row r="78" spans="1:7" ht="24">
      <c r="A78" s="3115">
        <v>6</v>
      </c>
      <c r="B78" s="3968"/>
      <c r="C78" s="3089" t="s">
        <v>2665</v>
      </c>
      <c r="D78" s="3089" t="s">
        <v>2666</v>
      </c>
      <c r="E78" s="3115">
        <v>0.15</v>
      </c>
      <c r="F78" s="3115">
        <v>20</v>
      </c>
    </row>
    <row r="79" spans="1:7" ht="24">
      <c r="A79" s="3115">
        <v>7</v>
      </c>
      <c r="B79" s="3968"/>
      <c r="C79" s="3089" t="s">
        <v>2667</v>
      </c>
      <c r="D79" s="3089" t="s">
        <v>2668</v>
      </c>
      <c r="E79" s="3115">
        <v>0.15</v>
      </c>
      <c r="F79" s="3115">
        <v>20</v>
      </c>
    </row>
    <row r="80" spans="1:7" ht="24">
      <c r="A80" s="3115">
        <v>8</v>
      </c>
      <c r="B80" s="3968"/>
      <c r="C80" s="3089" t="s">
        <v>2669</v>
      </c>
      <c r="D80" s="3089" t="s">
        <v>2670</v>
      </c>
      <c r="E80" s="3115">
        <v>0.1</v>
      </c>
      <c r="F80" s="3115">
        <v>15</v>
      </c>
    </row>
    <row r="81" spans="1:6" ht="24">
      <c r="A81" s="3115">
        <v>9</v>
      </c>
      <c r="B81" s="3968"/>
      <c r="C81" s="3089" t="s">
        <v>2671</v>
      </c>
      <c r="D81" s="3089" t="s">
        <v>2672</v>
      </c>
      <c r="E81" s="3115">
        <v>0.1</v>
      </c>
      <c r="F81" s="3115">
        <v>15</v>
      </c>
    </row>
    <row r="82" spans="1:6" ht="24">
      <c r="A82" s="3115">
        <v>10</v>
      </c>
      <c r="B82" s="3968"/>
      <c r="C82" s="3089" t="s">
        <v>2673</v>
      </c>
      <c r="D82" s="3089" t="s">
        <v>2674</v>
      </c>
      <c r="E82" s="3115">
        <v>0.1</v>
      </c>
      <c r="F82" s="3115">
        <v>15</v>
      </c>
    </row>
    <row r="83" spans="1:6" ht="24">
      <c r="A83" s="3115">
        <v>11</v>
      </c>
      <c r="B83" s="3968"/>
      <c r="C83" s="3089" t="s">
        <v>2675</v>
      </c>
      <c r="D83" s="3089" t="s">
        <v>2676</v>
      </c>
      <c r="E83" s="3115">
        <v>0.1</v>
      </c>
      <c r="F83" s="3115">
        <v>15</v>
      </c>
    </row>
    <row r="84" spans="1:6" ht="24">
      <c r="A84" s="3115">
        <v>12</v>
      </c>
      <c r="B84" s="3968"/>
      <c r="C84" s="3089" t="s">
        <v>2677</v>
      </c>
      <c r="D84" s="3089" t="s">
        <v>2678</v>
      </c>
      <c r="E84" s="3115">
        <v>0.1</v>
      </c>
      <c r="F84" s="3115">
        <v>15</v>
      </c>
    </row>
    <row r="85" spans="1:6" ht="13.5">
      <c r="A85" s="3115">
        <v>13</v>
      </c>
      <c r="B85" s="3968"/>
      <c r="C85" s="3089" t="s">
        <v>2679</v>
      </c>
      <c r="D85" s="3089" t="s">
        <v>2680</v>
      </c>
      <c r="E85" s="3115">
        <v>0.1</v>
      </c>
      <c r="F85" s="3115">
        <v>15</v>
      </c>
    </row>
    <row r="86" spans="1:6" ht="13.5">
      <c r="A86" s="3115">
        <v>14</v>
      </c>
      <c r="B86" s="3968"/>
      <c r="C86" s="3089" t="s">
        <v>2681</v>
      </c>
      <c r="D86" s="3089" t="s">
        <v>2682</v>
      </c>
      <c r="E86" s="3115">
        <v>0.1</v>
      </c>
      <c r="F86" s="3115">
        <v>15</v>
      </c>
    </row>
    <row r="87" spans="1:6" ht="13.5">
      <c r="A87" s="3115">
        <v>15</v>
      </c>
      <c r="B87" s="3968"/>
      <c r="C87" s="3089" t="s">
        <v>2683</v>
      </c>
      <c r="D87" s="3089" t="s">
        <v>2684</v>
      </c>
      <c r="E87" s="3115">
        <v>0.1</v>
      </c>
      <c r="F87" s="3115">
        <v>15</v>
      </c>
    </row>
    <row r="88" spans="1:6" ht="24">
      <c r="A88" s="3115">
        <v>16</v>
      </c>
      <c r="B88" s="3968"/>
      <c r="C88" s="3089" t="s">
        <v>2685</v>
      </c>
      <c r="D88" s="3089" t="s">
        <v>2686</v>
      </c>
      <c r="E88" s="3115">
        <v>0.1</v>
      </c>
      <c r="F88" s="3115">
        <v>15</v>
      </c>
    </row>
    <row r="89" spans="1:6" ht="24">
      <c r="A89" s="3115">
        <v>17</v>
      </c>
      <c r="B89" s="3967"/>
      <c r="C89" s="3089" t="s">
        <v>2687</v>
      </c>
      <c r="D89" s="3089" t="s">
        <v>2688</v>
      </c>
      <c r="E89" s="3115">
        <v>0.1</v>
      </c>
      <c r="F89" s="3115">
        <v>15</v>
      </c>
    </row>
    <row r="90" spans="1:6" ht="13.5">
      <c r="A90" s="3115">
        <v>18</v>
      </c>
      <c r="B90" s="3966" t="s">
        <v>2689</v>
      </c>
      <c r="C90" s="3089" t="s">
        <v>2690</v>
      </c>
      <c r="D90" s="3089" t="s">
        <v>2691</v>
      </c>
      <c r="E90" s="3115">
        <v>0.2</v>
      </c>
      <c r="F90" s="3115">
        <v>25</v>
      </c>
    </row>
    <row r="91" spans="1:6" ht="24">
      <c r="A91" s="3115">
        <v>19</v>
      </c>
      <c r="B91" s="3968"/>
      <c r="C91" s="3089" t="s">
        <v>2692</v>
      </c>
      <c r="D91" s="3089" t="s">
        <v>2693</v>
      </c>
      <c r="E91" s="3115">
        <v>0.2</v>
      </c>
      <c r="F91" s="3115">
        <v>25</v>
      </c>
    </row>
    <row r="92" spans="1:6" ht="13.5">
      <c r="A92" s="3115">
        <v>20</v>
      </c>
      <c r="B92" s="3968"/>
      <c r="C92" s="3089" t="s">
        <v>2694</v>
      </c>
      <c r="D92" s="3089" t="s">
        <v>2695</v>
      </c>
      <c r="E92" s="3115">
        <v>0.15</v>
      </c>
      <c r="F92" s="3115">
        <v>20</v>
      </c>
    </row>
    <row r="93" spans="1:6" ht="13.5">
      <c r="A93" s="3115">
        <v>21</v>
      </c>
      <c r="B93" s="3968"/>
      <c r="C93" s="3089" t="s">
        <v>2696</v>
      </c>
      <c r="D93" s="3089" t="s">
        <v>2697</v>
      </c>
      <c r="E93" s="3115">
        <v>0.15</v>
      </c>
      <c r="F93" s="3115">
        <v>20</v>
      </c>
    </row>
    <row r="94" spans="1:6" ht="13.5">
      <c r="A94" s="3115">
        <v>22</v>
      </c>
      <c r="B94" s="3968"/>
      <c r="C94" s="3089" t="s">
        <v>2698</v>
      </c>
      <c r="D94" s="3089" t="s">
        <v>2699</v>
      </c>
      <c r="E94" s="3115">
        <v>0.15</v>
      </c>
      <c r="F94" s="3115">
        <v>20</v>
      </c>
    </row>
    <row r="95" spans="1:6" ht="36">
      <c r="A95" s="3115">
        <v>23</v>
      </c>
      <c r="B95" s="3968"/>
      <c r="C95" s="3089" t="s">
        <v>2700</v>
      </c>
      <c r="D95" s="3089" t="s">
        <v>2701</v>
      </c>
      <c r="E95" s="3115">
        <v>0.15</v>
      </c>
      <c r="F95" s="3115">
        <v>20</v>
      </c>
    </row>
    <row r="96" spans="1:6" ht="13.5">
      <c r="A96" s="3115">
        <v>24</v>
      </c>
      <c r="B96" s="3968"/>
      <c r="C96" s="3089" t="s">
        <v>2702</v>
      </c>
      <c r="D96" s="3089" t="s">
        <v>2703</v>
      </c>
      <c r="E96" s="3115">
        <v>0.1</v>
      </c>
      <c r="F96" s="3115">
        <v>15</v>
      </c>
    </row>
    <row r="97" spans="1:6" ht="13.5">
      <c r="A97" s="3115">
        <v>25</v>
      </c>
      <c r="B97" s="3968"/>
      <c r="C97" s="3089" t="s">
        <v>2704</v>
      </c>
      <c r="D97" s="3089" t="s">
        <v>2705</v>
      </c>
      <c r="E97" s="3115">
        <v>0.1</v>
      </c>
      <c r="F97" s="3115">
        <v>15</v>
      </c>
    </row>
    <row r="98" spans="1:6" ht="24">
      <c r="A98" s="3115">
        <v>26</v>
      </c>
      <c r="B98" s="3968"/>
      <c r="C98" s="3089" t="s">
        <v>2706</v>
      </c>
      <c r="D98" s="3089" t="s">
        <v>2707</v>
      </c>
      <c r="E98" s="3115">
        <v>0.1</v>
      </c>
      <c r="F98" s="3115">
        <v>15</v>
      </c>
    </row>
    <row r="99" spans="1:6" ht="24">
      <c r="A99" s="3115">
        <v>27</v>
      </c>
      <c r="B99" s="3968"/>
      <c r="C99" s="3089" t="s">
        <v>2708</v>
      </c>
      <c r="D99" s="3089" t="s">
        <v>2709</v>
      </c>
      <c r="E99" s="3115">
        <v>0.1</v>
      </c>
      <c r="F99" s="3115">
        <v>15</v>
      </c>
    </row>
    <row r="100" spans="1:6" ht="13.5">
      <c r="A100" s="3115">
        <v>28</v>
      </c>
      <c r="B100" s="3968"/>
      <c r="C100" s="3089" t="s">
        <v>2710</v>
      </c>
      <c r="D100" s="3089" t="s">
        <v>2711</v>
      </c>
      <c r="E100" s="3115">
        <v>0.1</v>
      </c>
      <c r="F100" s="3115">
        <v>15</v>
      </c>
    </row>
    <row r="101" spans="1:6" ht="13.5">
      <c r="A101" s="3115">
        <v>29</v>
      </c>
      <c r="B101" s="3968"/>
      <c r="C101" s="3089" t="s">
        <v>2712</v>
      </c>
      <c r="D101" s="3089" t="s">
        <v>2713</v>
      </c>
      <c r="E101" s="3115">
        <v>0.1</v>
      </c>
      <c r="F101" s="3115">
        <v>15</v>
      </c>
    </row>
    <row r="102" spans="1:6" ht="13.5">
      <c r="A102" s="3115">
        <v>30</v>
      </c>
      <c r="B102" s="3968"/>
      <c r="C102" s="3089" t="s">
        <v>2714</v>
      </c>
      <c r="D102" s="3089" t="s">
        <v>2715</v>
      </c>
      <c r="E102" s="3115">
        <v>0.1</v>
      </c>
      <c r="F102" s="3115">
        <v>15</v>
      </c>
    </row>
    <row r="103" spans="1:6" ht="24">
      <c r="A103" s="3115">
        <v>31</v>
      </c>
      <c r="B103" s="3968"/>
      <c r="C103" s="3089" t="s">
        <v>2716</v>
      </c>
      <c r="D103" s="3089" t="s">
        <v>2717</v>
      </c>
      <c r="E103" s="3115">
        <v>0.1</v>
      </c>
      <c r="F103" s="3115">
        <v>15</v>
      </c>
    </row>
    <row r="104" spans="1:6" ht="24">
      <c r="A104" s="3115">
        <v>32</v>
      </c>
      <c r="B104" s="3968"/>
      <c r="C104" s="3089" t="s">
        <v>2718</v>
      </c>
      <c r="D104" s="3089" t="s">
        <v>2719</v>
      </c>
      <c r="E104" s="3115">
        <v>0.1</v>
      </c>
      <c r="F104" s="3115">
        <v>15</v>
      </c>
    </row>
    <row r="105" spans="1:6" ht="24">
      <c r="A105" s="3115">
        <v>33</v>
      </c>
      <c r="B105" s="3968"/>
      <c r="C105" s="3089" t="s">
        <v>2720</v>
      </c>
      <c r="D105" s="3089" t="s">
        <v>2721</v>
      </c>
      <c r="E105" s="3115">
        <v>0.1</v>
      </c>
      <c r="F105" s="3115">
        <v>15</v>
      </c>
    </row>
    <row r="106" spans="1:6" ht="24">
      <c r="A106" s="3115">
        <v>34</v>
      </c>
      <c r="B106" s="3967"/>
      <c r="C106" s="3089" t="s">
        <v>2722</v>
      </c>
      <c r="D106" s="3089" t="s">
        <v>2723</v>
      </c>
      <c r="E106" s="3115">
        <v>0.1</v>
      </c>
      <c r="F106" s="3115">
        <v>15</v>
      </c>
    </row>
    <row r="107" spans="1:6" ht="24">
      <c r="A107" s="3115">
        <v>35</v>
      </c>
      <c r="B107" s="3966" t="s">
        <v>2724</v>
      </c>
      <c r="C107" s="3115" t="s">
        <v>2725</v>
      </c>
      <c r="D107" s="3089" t="s">
        <v>2726</v>
      </c>
      <c r="E107" s="3115">
        <v>0.15</v>
      </c>
      <c r="F107" s="3115">
        <v>20</v>
      </c>
    </row>
    <row r="108" spans="1:6" ht="13.5">
      <c r="A108" s="3115">
        <v>36</v>
      </c>
      <c r="B108" s="3968"/>
      <c r="C108" s="3115" t="s">
        <v>2727</v>
      </c>
      <c r="D108" s="3089" t="s">
        <v>2728</v>
      </c>
      <c r="E108" s="3115">
        <v>0.15</v>
      </c>
      <c r="F108" s="3115">
        <v>20</v>
      </c>
    </row>
    <row r="109" spans="1:6" ht="13.5">
      <c r="A109" s="3115">
        <v>37</v>
      </c>
      <c r="B109" s="3968"/>
      <c r="C109" s="3115" t="s">
        <v>2729</v>
      </c>
      <c r="D109" s="3089" t="s">
        <v>2730</v>
      </c>
      <c r="E109" s="3115">
        <v>0.15</v>
      </c>
      <c r="F109" s="3115">
        <v>20</v>
      </c>
    </row>
    <row r="110" spans="1:6" ht="13.5">
      <c r="A110" s="3115">
        <v>38</v>
      </c>
      <c r="B110" s="3968"/>
      <c r="C110" s="3115" t="s">
        <v>2731</v>
      </c>
      <c r="D110" s="3089" t="s">
        <v>2732</v>
      </c>
      <c r="E110" s="3115">
        <v>0.1</v>
      </c>
      <c r="F110" s="3115">
        <v>15</v>
      </c>
    </row>
    <row r="111" spans="1:6" ht="24">
      <c r="A111" s="3115">
        <v>39</v>
      </c>
      <c r="B111" s="3968"/>
      <c r="C111" s="3115" t="s">
        <v>2733</v>
      </c>
      <c r="D111" s="3089" t="s">
        <v>2734</v>
      </c>
      <c r="E111" s="3115">
        <v>0.1</v>
      </c>
      <c r="F111" s="3115">
        <v>15</v>
      </c>
    </row>
    <row r="112" spans="1:6" ht="24">
      <c r="A112" s="3115">
        <v>40</v>
      </c>
      <c r="B112" s="3967"/>
      <c r="C112" s="3115" t="s">
        <v>2735</v>
      </c>
      <c r="D112" s="3089" t="s">
        <v>2736</v>
      </c>
      <c r="E112" s="3115">
        <v>0.1</v>
      </c>
      <c r="F112" s="3115">
        <v>15</v>
      </c>
    </row>
    <row r="113" spans="1:6" ht="13.5">
      <c r="A113" s="3115">
        <v>41</v>
      </c>
      <c r="B113" s="3965" t="s">
        <v>2737</v>
      </c>
      <c r="C113" s="3115" t="s">
        <v>2738</v>
      </c>
      <c r="D113" s="3089" t="s">
        <v>2739</v>
      </c>
      <c r="E113" s="3115">
        <v>0.1</v>
      </c>
      <c r="F113" s="3115">
        <v>15</v>
      </c>
    </row>
    <row r="114" spans="1:6" ht="13.5">
      <c r="A114" s="3115">
        <v>42</v>
      </c>
      <c r="B114" s="3965"/>
      <c r="C114" s="3115" t="s">
        <v>2740</v>
      </c>
      <c r="D114" s="3089" t="s">
        <v>2741</v>
      </c>
      <c r="E114" s="3115">
        <v>0.1</v>
      </c>
      <c r="F114" s="3115">
        <v>15</v>
      </c>
    </row>
    <row r="115" spans="1:6" ht="24">
      <c r="A115" s="3115">
        <v>43</v>
      </c>
      <c r="B115" s="3965"/>
      <c r="C115" s="3115" t="s">
        <v>2742</v>
      </c>
      <c r="D115" s="3089" t="s">
        <v>2743</v>
      </c>
      <c r="E115" s="3115">
        <v>0.1</v>
      </c>
      <c r="F115" s="3115">
        <v>15</v>
      </c>
    </row>
    <row r="116" spans="1:6" ht="13.5">
      <c r="A116" s="3115">
        <v>44</v>
      </c>
      <c r="B116" s="3966" t="s">
        <v>2744</v>
      </c>
      <c r="C116" s="3115" t="s">
        <v>2745</v>
      </c>
      <c r="D116" s="3089" t="s">
        <v>2746</v>
      </c>
      <c r="E116" s="3115">
        <v>0.1</v>
      </c>
      <c r="F116" s="3115">
        <v>15</v>
      </c>
    </row>
    <row r="117" spans="1:6" ht="24">
      <c r="A117" s="3115">
        <v>45</v>
      </c>
      <c r="B117" s="3967"/>
      <c r="C117" s="3089" t="s">
        <v>2747</v>
      </c>
      <c r="D117" s="3089" t="s">
        <v>2748</v>
      </c>
      <c r="E117" s="3115">
        <v>0.1</v>
      </c>
      <c r="F117" s="3115">
        <v>15</v>
      </c>
    </row>
    <row r="118" spans="1:6" ht="24">
      <c r="A118" s="3115">
        <v>46</v>
      </c>
      <c r="B118" s="3966" t="s">
        <v>2749</v>
      </c>
      <c r="C118" s="3115" t="s">
        <v>2750</v>
      </c>
      <c r="D118" s="3089" t="s">
        <v>2751</v>
      </c>
      <c r="E118" s="3115">
        <v>0.1</v>
      </c>
      <c r="F118" s="3115">
        <v>15</v>
      </c>
    </row>
    <row r="119" spans="1:6" ht="24">
      <c r="A119" s="3115">
        <v>47</v>
      </c>
      <c r="B119" s="3967"/>
      <c r="C119" s="3115" t="s">
        <v>2752</v>
      </c>
      <c r="D119" s="3089" t="s">
        <v>2753</v>
      </c>
      <c r="E119" s="3115">
        <v>0.1</v>
      </c>
      <c r="F119" s="3115">
        <v>15</v>
      </c>
    </row>
    <row r="120" spans="1:6" ht="13.5">
      <c r="A120" s="3115">
        <v>48</v>
      </c>
      <c r="B120" s="3966" t="s">
        <v>2754</v>
      </c>
      <c r="C120" s="3115" t="s">
        <v>2755</v>
      </c>
      <c r="D120" s="3089" t="s">
        <v>2756</v>
      </c>
      <c r="E120" s="3115">
        <v>0.1</v>
      </c>
      <c r="F120" s="3115">
        <v>15</v>
      </c>
    </row>
    <row r="121" spans="1:6" ht="13.5">
      <c r="A121" s="3115">
        <v>49</v>
      </c>
      <c r="B121" s="3967"/>
      <c r="C121" s="3115" t="s">
        <v>2757</v>
      </c>
      <c r="D121" s="3089" t="s">
        <v>2758</v>
      </c>
      <c r="E121" s="3115">
        <v>0.1</v>
      </c>
      <c r="F121" s="3115">
        <v>15</v>
      </c>
    </row>
    <row r="122" spans="1:6" ht="24">
      <c r="A122" s="3115">
        <v>50</v>
      </c>
      <c r="B122" s="3965" t="s">
        <v>2759</v>
      </c>
      <c r="C122" s="3115" t="s">
        <v>2760</v>
      </c>
      <c r="D122" s="3089" t="s">
        <v>2761</v>
      </c>
      <c r="E122" s="3115">
        <v>0.1</v>
      </c>
      <c r="F122" s="3115">
        <v>15</v>
      </c>
    </row>
    <row r="123" spans="1:6" ht="24">
      <c r="A123" s="3115">
        <v>51</v>
      </c>
      <c r="B123" s="3965"/>
      <c r="C123" s="3115" t="s">
        <v>2762</v>
      </c>
      <c r="D123" s="3089" t="s">
        <v>2763</v>
      </c>
      <c r="E123" s="3115">
        <v>0.1</v>
      </c>
      <c r="F123" s="3115">
        <v>15</v>
      </c>
    </row>
    <row r="124" spans="1:6" ht="24">
      <c r="A124" s="3115">
        <v>52</v>
      </c>
      <c r="B124" s="3965" t="s">
        <v>2764</v>
      </c>
      <c r="C124" s="3115" t="s">
        <v>2765</v>
      </c>
      <c r="D124" s="3089" t="s">
        <v>2766</v>
      </c>
      <c r="E124" s="3115">
        <v>0.1</v>
      </c>
      <c r="F124" s="3115">
        <v>15</v>
      </c>
    </row>
    <row r="125" spans="1:6" ht="24">
      <c r="A125" s="3115">
        <v>53</v>
      </c>
      <c r="B125" s="3965"/>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965" t="s">
        <v>2772</v>
      </c>
      <c r="C127" s="3115" t="s">
        <v>2773</v>
      </c>
      <c r="D127" s="3089" t="s">
        <v>2774</v>
      </c>
      <c r="E127" s="3115">
        <v>0.1</v>
      </c>
      <c r="F127" s="3115">
        <v>15</v>
      </c>
    </row>
    <row r="128" spans="1:6" ht="13.5">
      <c r="A128" s="3115">
        <v>56</v>
      </c>
      <c r="B128" s="3965"/>
      <c r="C128" s="3115" t="s">
        <v>2775</v>
      </c>
      <c r="D128" s="3089" t="s">
        <v>2776</v>
      </c>
      <c r="E128" s="3115">
        <v>0.1</v>
      </c>
      <c r="F128" s="3115">
        <v>15</v>
      </c>
    </row>
    <row r="129" spans="1:6" ht="24">
      <c r="A129" s="3115">
        <v>57</v>
      </c>
      <c r="B129" s="3965"/>
      <c r="C129" s="3115" t="s">
        <v>2777</v>
      </c>
      <c r="D129" s="3089" t="s">
        <v>2778</v>
      </c>
      <c r="E129" s="3115">
        <v>0.1</v>
      </c>
      <c r="F129" s="3115">
        <v>15</v>
      </c>
    </row>
    <row r="130" spans="1:6" ht="24">
      <c r="A130" s="3115">
        <v>58</v>
      </c>
      <c r="B130" s="3965" t="s">
        <v>2779</v>
      </c>
      <c r="C130" s="3115" t="s">
        <v>2780</v>
      </c>
      <c r="D130" s="3089" t="s">
        <v>2781</v>
      </c>
      <c r="E130" s="3115">
        <v>0.1</v>
      </c>
      <c r="F130" s="3115">
        <v>15</v>
      </c>
    </row>
    <row r="131" spans="1:6" ht="13.5">
      <c r="A131" s="3115">
        <v>59</v>
      </c>
      <c r="B131" s="3965"/>
      <c r="C131" s="3115" t="s">
        <v>2782</v>
      </c>
      <c r="D131" s="3089" t="s">
        <v>2783</v>
      </c>
      <c r="E131" s="3115">
        <v>0.1</v>
      </c>
      <c r="F131" s="3115">
        <v>15</v>
      </c>
    </row>
    <row r="132" spans="1:6" ht="13.5">
      <c r="A132" s="3115">
        <v>60</v>
      </c>
      <c r="B132" s="3966" t="s">
        <v>2784</v>
      </c>
      <c r="C132" s="3115" t="s">
        <v>2785</v>
      </c>
      <c r="D132" s="3089" t="s">
        <v>2786</v>
      </c>
      <c r="E132" s="3115">
        <v>0.1</v>
      </c>
      <c r="F132" s="3115">
        <v>15</v>
      </c>
    </row>
    <row r="133" spans="1:6" ht="13.5">
      <c r="A133" s="3115">
        <v>61</v>
      </c>
      <c r="B133" s="3967"/>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965" t="s">
        <v>2792</v>
      </c>
      <c r="C135" s="3115" t="s">
        <v>2793</v>
      </c>
      <c r="D135" s="3089" t="s">
        <v>2794</v>
      </c>
      <c r="E135" s="3115">
        <v>0.1</v>
      </c>
      <c r="F135" s="3115">
        <v>15</v>
      </c>
    </row>
    <row r="136" spans="1:6" ht="13.5">
      <c r="A136" s="3115">
        <v>64</v>
      </c>
      <c r="B136" s="3965"/>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2801</v>
      </c>
      <c r="B1" s="3124"/>
      <c r="C1" s="3124"/>
      <c r="D1" s="3124"/>
      <c r="E1" s="3124"/>
      <c r="F1" s="3124"/>
      <c r="G1" s="3124"/>
      <c r="H1" s="3124"/>
      <c r="I1" s="3124"/>
      <c r="J1" s="3124"/>
      <c r="K1" s="3124"/>
      <c r="L1" s="3124"/>
      <c r="M1" s="3124"/>
      <c r="N1" s="746"/>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7">
        <f>SUMPRODUCT((A95:A184=ROUNDDOWN(基准地价修正!G3,1))*(B94:M94=基准地价修正!G2)*(B95:M184))</f>
        <v>0.8921</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7">
        <f>SUMPRODUCT((A371:A460=ROUNDDOWN(基准地价修正!G3,1))*(B370:M370=基准地价修正!G2)*(B371:M460))</f>
        <v>0.84499999999999997</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37440</v>
      </c>
      <c r="C2" s="2" t="s">
        <v>106</v>
      </c>
      <c r="D2" s="197"/>
      <c r="E2" s="197"/>
      <c r="F2" s="197"/>
      <c r="G2" s="197"/>
    </row>
    <row r="3" spans="1:7" s="198" customFormat="1" ht="18" customHeight="1" thickBot="1">
      <c r="A3" s="201" t="s">
        <v>58</v>
      </c>
      <c r="B3" s="202">
        <f ca="1">ROUND(B2*10000/'数据-汇总表'!E3,0)</f>
        <v>31199</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0</v>
      </c>
      <c r="D9" s="842">
        <f>'数据-汇总表'!E5</f>
        <v>0</v>
      </c>
      <c r="E9" s="223">
        <f>'数据-取费表'!B27</f>
        <v>0</v>
      </c>
      <c r="F9" s="219"/>
      <c r="G9" s="224"/>
    </row>
    <row r="10" spans="1:7" s="212" customFormat="1" ht="13.5" customHeight="1">
      <c r="A10" s="776" t="s">
        <v>356</v>
      </c>
      <c r="B10" s="222" t="s">
        <v>67</v>
      </c>
      <c r="C10" s="223">
        <f>ROUND(D10*E10/10000,0)</f>
        <v>240</v>
      </c>
      <c r="D10" s="842">
        <f>'数据-汇总表'!E6</f>
        <v>12000.23</v>
      </c>
      <c r="E10" s="223">
        <f>'数据-取费表'!B28</f>
        <v>200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240</v>
      </c>
      <c r="D19" s="846">
        <f>'数据-汇总表'!E3</f>
        <v>12000.23</v>
      </c>
      <c r="E19" s="209">
        <f>'数据-取费表'!B31</f>
        <v>200</v>
      </c>
      <c r="F19" s="229"/>
      <c r="G19" s="1" t="s">
        <v>436</v>
      </c>
    </row>
    <row r="20" spans="1:7" s="212" customFormat="1" ht="13.5" customHeight="1">
      <c r="A20" s="774" t="s">
        <v>419</v>
      </c>
      <c r="B20" s="208" t="s">
        <v>77</v>
      </c>
      <c r="C20" s="230">
        <f>ROUND((C5+C19)*F20,0)</f>
        <v>626</v>
      </c>
      <c r="D20" s="230"/>
      <c r="E20" s="230"/>
      <c r="F20" s="231">
        <f>'数据-取费表'!B37</f>
        <v>0.03</v>
      </c>
      <c r="G20" s="1064" t="s">
        <v>430</v>
      </c>
    </row>
    <row r="21" spans="1:7" s="212" customFormat="1" ht="13.5" customHeight="1">
      <c r="A21" s="774" t="s">
        <v>421</v>
      </c>
      <c r="B21" s="208" t="s">
        <v>78</v>
      </c>
      <c r="C21" s="233">
        <f>F21</f>
        <v>0.03</v>
      </c>
      <c r="D21" s="234" t="s">
        <v>99</v>
      </c>
      <c r="E21" s="230"/>
      <c r="F21" s="231">
        <f>'数据-取费表'!B38</f>
        <v>0.03</v>
      </c>
      <c r="G21" s="232" t="s">
        <v>79</v>
      </c>
    </row>
    <row r="22" spans="1:7" s="212" customFormat="1" ht="13.5" customHeight="1">
      <c r="A22" s="774" t="s">
        <v>341</v>
      </c>
      <c r="B22" s="208" t="s">
        <v>80</v>
      </c>
      <c r="C22" s="1101">
        <f ca="1">ROUND(SUM(C23:C25),0)</f>
        <v>2264</v>
      </c>
      <c r="D22" s="233">
        <f ca="1">C26</f>
        <v>1.6000000000000001E-3</v>
      </c>
      <c r="E22" s="234" t="s">
        <v>99</v>
      </c>
      <c r="F22" s="235">
        <f ca="1">'数据-取费表'!B40</f>
        <v>4.1499999999999995E-2</v>
      </c>
      <c r="G22" s="1064" t="str">
        <f>IF('数据-取费表'!B22&lt;=1,"单利计息","复利计息")</f>
        <v>复利计息</v>
      </c>
    </row>
    <row r="23" spans="1:7" s="212" customFormat="1" ht="13.5" customHeight="1">
      <c r="A23" s="777" t="s">
        <v>349</v>
      </c>
      <c r="B23" s="213" t="s">
        <v>423</v>
      </c>
      <c r="C23" s="1102">
        <f ca="1">ROUND(IF('数据-取费表'!B22&lt;=1,C5*F22*'数据-取费表'!B23,C5*(POWER((1+F22),'数据-取费表'!B23)-1)),0)</f>
        <v>2205</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26</v>
      </c>
      <c r="D24" s="236"/>
      <c r="E24" s="236"/>
      <c r="F24" s="237"/>
      <c r="G24" s="238" t="s">
        <v>82</v>
      </c>
    </row>
    <row r="25" spans="1:7" s="212" customFormat="1" ht="24">
      <c r="A25" s="777" t="s">
        <v>348</v>
      </c>
      <c r="B25" s="213" t="s">
        <v>420</v>
      </c>
      <c r="C25" s="1102">
        <f ca="1">ROUND(IF('数据-取费表'!B22&lt;=1,C20*F22*'数据-取费表'!B23/2,C20*(POWER((1+F22),'数据-取费表'!B23/2)-1)),0)</f>
        <v>33</v>
      </c>
      <c r="D25" s="236"/>
      <c r="E25" s="239"/>
      <c r="F25" s="237"/>
      <c r="G25" s="240" t="s">
        <v>83</v>
      </c>
    </row>
    <row r="26" spans="1:7" s="212" customFormat="1">
      <c r="A26" s="777" t="s">
        <v>350</v>
      </c>
      <c r="B26" s="213" t="s">
        <v>422</v>
      </c>
      <c r="C26" s="236">
        <f ca="1">ROUND(IF('数据-取费表'!B22&lt;=1,F21*F22*'数据-取费表'!B23/2,F21*(POWER((1+F22),'数据-取费表'!B23/2)-1)),4)</f>
        <v>1.6000000000000001E-3</v>
      </c>
      <c r="D26" s="236"/>
      <c r="E26" s="239"/>
      <c r="F26" s="237"/>
      <c r="G26" s="241"/>
    </row>
    <row r="27" spans="1:7" s="212" customFormat="1" ht="24.75">
      <c r="A27" s="774" t="s">
        <v>342</v>
      </c>
      <c r="B27" s="242" t="s">
        <v>85</v>
      </c>
      <c r="C27" s="243">
        <f>C28</f>
        <v>4295</v>
      </c>
      <c r="D27" s="233">
        <f>C29</f>
        <v>6.0000000000000001E-3</v>
      </c>
      <c r="E27" s="234" t="s">
        <v>99</v>
      </c>
      <c r="F27" s="244">
        <f>'数据-取费表'!Q16</f>
        <v>0.2</v>
      </c>
      <c r="G27" s="245" t="s">
        <v>431</v>
      </c>
    </row>
    <row r="28" spans="1:7" s="212" customFormat="1" ht="13.5" customHeight="1">
      <c r="A28" s="777" t="s">
        <v>349</v>
      </c>
      <c r="B28" s="246" t="s">
        <v>424</v>
      </c>
      <c r="C28" s="247">
        <f>ROUND((C5+C19+C20)*F27*'数据-取费表'!B21/'数据-取费表'!B20,0)</f>
        <v>4295</v>
      </c>
      <c r="D28" s="233"/>
      <c r="E28" s="234"/>
      <c r="F28" s="244"/>
      <c r="G28" s="245"/>
    </row>
    <row r="29" spans="1:7" s="212" customFormat="1" ht="13.5" customHeight="1">
      <c r="A29" s="777" t="s">
        <v>347</v>
      </c>
      <c r="B29" s="246" t="s">
        <v>425</v>
      </c>
      <c r="C29" s="236">
        <f>ROUND(C21*F27*'数据-取费表'!B21/'数据-取费表'!B20,4)</f>
        <v>6.0000000000000001E-3</v>
      </c>
      <c r="D29" s="233"/>
      <c r="E29" s="234"/>
      <c r="F29" s="244"/>
      <c r="G29" s="245"/>
    </row>
    <row r="30" spans="1:7" s="212" customFormat="1" ht="13.5" customHeight="1">
      <c r="A30" s="774"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30839</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6374</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5760</v>
      </c>
      <c r="D34" s="215"/>
      <c r="E34" s="218"/>
      <c r="F34" s="255">
        <f>IF('数据-取费表'!B24=0,1,'数据-取费表'!N16)</f>
        <v>1</v>
      </c>
      <c r="G34" s="217" t="s">
        <v>89</v>
      </c>
    </row>
    <row r="35" spans="1:7" ht="13.5" customHeight="1">
      <c r="A35" s="777" t="s">
        <v>351</v>
      </c>
      <c r="B35" s="213" t="s">
        <v>33</v>
      </c>
      <c r="C35" s="218">
        <f>ROUND(C34*F35,0)</f>
        <v>288</v>
      </c>
      <c r="D35" s="218"/>
      <c r="E35" s="218"/>
      <c r="F35" s="257">
        <f>'数据-取费表'!B33</f>
        <v>0.05</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240</v>
      </c>
      <c r="D37" s="215">
        <f>'数据-汇总表'!E3</f>
        <v>12000.23</v>
      </c>
      <c r="E37" s="247">
        <f>'数据-取费表'!B35</f>
        <v>200</v>
      </c>
      <c r="F37" s="257"/>
      <c r="G37" s="259" t="s">
        <v>92</v>
      </c>
    </row>
    <row r="38" spans="1:7" ht="13.5" customHeight="1">
      <c r="A38" s="777" t="s">
        <v>354</v>
      </c>
      <c r="B38" s="213" t="s">
        <v>36</v>
      </c>
      <c r="C38" s="218">
        <f>ROUND(C34*F38,0)</f>
        <v>86</v>
      </c>
      <c r="D38" s="218"/>
      <c r="E38" s="218"/>
      <c r="F38" s="257">
        <f>'数据-取费表'!B36</f>
        <v>1.4999999999999999E-2</v>
      </c>
      <c r="G38" s="217" t="s">
        <v>90</v>
      </c>
    </row>
    <row r="39" spans="1:7" s="212" customFormat="1" ht="13.5" customHeight="1">
      <c r="A39" s="774" t="s">
        <v>338</v>
      </c>
      <c r="B39" s="208" t="s">
        <v>77</v>
      </c>
      <c r="C39" s="230">
        <f>ROUND(C33*F20,0)</f>
        <v>191</v>
      </c>
      <c r="D39" s="230"/>
      <c r="E39" s="230"/>
      <c r="F39" s="231"/>
      <c r="G39" s="1064" t="s">
        <v>433</v>
      </c>
    </row>
    <row r="40" spans="1:7" s="212" customFormat="1" ht="13.5" customHeight="1">
      <c r="A40" s="774" t="s">
        <v>339</v>
      </c>
      <c r="B40" s="208" t="s">
        <v>78</v>
      </c>
      <c r="C40" s="260">
        <f>F21</f>
        <v>0.03</v>
      </c>
      <c r="D40" s="234" t="s">
        <v>102</v>
      </c>
      <c r="E40" s="230"/>
      <c r="F40" s="231"/>
      <c r="G40" s="232" t="s">
        <v>93</v>
      </c>
    </row>
    <row r="41" spans="1:7" s="212" customFormat="1" ht="13.5" customHeight="1">
      <c r="A41" s="774" t="s">
        <v>340</v>
      </c>
      <c r="B41" s="208" t="s">
        <v>80</v>
      </c>
      <c r="C41" s="230">
        <f ca="1">ROUND(SUM(C42:C43),0)</f>
        <v>342</v>
      </c>
      <c r="D41" s="233">
        <f ca="1">C44</f>
        <v>1.6000000000000001E-3</v>
      </c>
      <c r="E41" s="234" t="s">
        <v>102</v>
      </c>
      <c r="F41" s="235"/>
      <c r="G41" s="1064" t="str">
        <f>IF('数据-取费表'!B22&lt;=1,"单利计息","复利计息")</f>
        <v>复利计息</v>
      </c>
    </row>
    <row r="42" spans="1:7" ht="13.5" customHeight="1">
      <c r="A42" s="777" t="s">
        <v>349</v>
      </c>
      <c r="B42" s="213" t="s">
        <v>423</v>
      </c>
      <c r="C42" s="236">
        <f ca="1">ROUND(IF('数据-取费表'!B22&lt;=1,C33*F22*'数据-取费表'!B21/2,C33*(POWER((1+F22),'数据-取费表'!B21/2)-1)),0)</f>
        <v>332</v>
      </c>
      <c r="D42" s="236"/>
      <c r="E42" s="236"/>
      <c r="F42" s="237"/>
      <c r="G42" s="3839" t="s">
        <v>94</v>
      </c>
    </row>
    <row r="43" spans="1:7" ht="13.5" customHeight="1">
      <c r="A43" s="777" t="s">
        <v>347</v>
      </c>
      <c r="B43" s="213" t="s">
        <v>426</v>
      </c>
      <c r="C43" s="236">
        <f ca="1">ROUND(IF('数据-取费表'!B22&lt;=1,C39*F22*'数据-取费表'!B21/2,C39*(POWER((1+F22),'数据-取费表'!B21/2)-1)),0)</f>
        <v>10</v>
      </c>
      <c r="D43" s="236"/>
      <c r="E43" s="236"/>
      <c r="F43" s="237"/>
      <c r="G43" s="3840"/>
    </row>
    <row r="44" spans="1:7" ht="13.5" customHeight="1">
      <c r="A44" s="777" t="s">
        <v>348</v>
      </c>
      <c r="B44" s="213" t="s">
        <v>428</v>
      </c>
      <c r="C44" s="236">
        <f ca="1">ROUND(IF('数据-取费表'!B22&lt;=1,C40*F22*'数据-取费表'!B21/2,C40*(POWER((1+F22),'数据-取费表'!B21/2)-1)),4)</f>
        <v>1.6000000000000001E-3</v>
      </c>
      <c r="D44" s="236"/>
      <c r="E44" s="236"/>
      <c r="F44" s="237"/>
      <c r="G44" s="3841"/>
    </row>
    <row r="45" spans="1:7" s="212" customFormat="1" ht="13.5" customHeight="1">
      <c r="A45" s="774" t="s">
        <v>341</v>
      </c>
      <c r="B45" s="242" t="s">
        <v>85</v>
      </c>
      <c r="C45" s="243">
        <f>C46</f>
        <v>1313</v>
      </c>
      <c r="D45" s="233">
        <f>C47</f>
        <v>6.0000000000000001E-3</v>
      </c>
      <c r="E45" s="234" t="s">
        <v>102</v>
      </c>
      <c r="F45" s="244"/>
      <c r="G45" s="245" t="s">
        <v>434</v>
      </c>
    </row>
    <row r="46" spans="1:7" s="212" customFormat="1" ht="13.5" customHeight="1">
      <c r="A46" s="777" t="s">
        <v>349</v>
      </c>
      <c r="B46" s="246" t="s">
        <v>427</v>
      </c>
      <c r="C46" s="247">
        <f>ROUND((C33+C39)*F27,0)</f>
        <v>1313</v>
      </c>
      <c r="D46" s="261"/>
      <c r="E46" s="234"/>
      <c r="F46" s="244"/>
      <c r="G46" s="245"/>
    </row>
    <row r="47" spans="1:7" s="212" customFormat="1" ht="13.5" customHeight="1">
      <c r="A47" s="777" t="s">
        <v>347</v>
      </c>
      <c r="B47" s="246" t="s">
        <v>429</v>
      </c>
      <c r="C47" s="236">
        <f>ROUND(C40*F27,4)</f>
        <v>6.0000000000000001E-3</v>
      </c>
      <c r="D47" s="261"/>
      <c r="E47" s="234"/>
      <c r="F47" s="244"/>
      <c r="G47" s="245"/>
    </row>
    <row r="48" spans="1:7" s="212" customFormat="1" ht="13.5" customHeight="1">
      <c r="A48" s="774" t="s">
        <v>342</v>
      </c>
      <c r="B48" s="208" t="s">
        <v>95</v>
      </c>
      <c r="C48" s="260">
        <f>F30</f>
        <v>5.6000000000000001E-2</v>
      </c>
      <c r="D48" s="234" t="s">
        <v>103</v>
      </c>
      <c r="E48" s="230"/>
      <c r="F48" s="235"/>
      <c r="G48" s="232" t="s">
        <v>96</v>
      </c>
    </row>
    <row r="49" spans="1:7" ht="16.5" customHeight="1">
      <c r="A49" s="774" t="s">
        <v>343</v>
      </c>
      <c r="B49" s="208" t="s">
        <v>104</v>
      </c>
      <c r="C49" s="230">
        <f ca="1">ROUND((C33+C39+C41+C45)/(1-C40-D41-D45-C48/(1+'数据-取费表'!B42)),0)</f>
        <v>9042</v>
      </c>
      <c r="D49" s="230"/>
      <c r="E49" s="230"/>
      <c r="F49" s="262"/>
      <c r="G49" s="232" t="s">
        <v>435</v>
      </c>
    </row>
    <row r="50" spans="1:7" s="256" customFormat="1" ht="24">
      <c r="A50" s="774" t="s">
        <v>344</v>
      </c>
      <c r="B50" s="208" t="s">
        <v>97</v>
      </c>
      <c r="C50" s="230"/>
      <c r="D50" s="230"/>
      <c r="E50" s="230"/>
      <c r="F50" s="262">
        <f>IF('数据-取费表'!B24=0,'数据-取费表'!N16,1)</f>
        <v>0.73</v>
      </c>
      <c r="G50" s="245" t="s">
        <v>98</v>
      </c>
    </row>
    <row r="51" spans="1:7" ht="16.5" customHeight="1">
      <c r="A51" s="774" t="s">
        <v>345</v>
      </c>
      <c r="B51" s="208" t="s">
        <v>105</v>
      </c>
      <c r="C51" s="230">
        <f ca="1">ROUND(C49*F50,0)</f>
        <v>6601</v>
      </c>
      <c r="D51" s="230"/>
      <c r="E51" s="230"/>
      <c r="F51" s="262"/>
      <c r="G51" s="232" t="s">
        <v>37</v>
      </c>
    </row>
    <row r="52" spans="1:7" s="206" customFormat="1" ht="16.5" thickBot="1">
      <c r="A52" s="263" t="s">
        <v>38</v>
      </c>
      <c r="B52" s="264"/>
      <c r="C52" s="265">
        <f ca="1">C31+C51</f>
        <v>37440</v>
      </c>
      <c r="D52" s="264"/>
      <c r="E52" s="264"/>
      <c r="F52" s="264"/>
      <c r="G52" s="266"/>
    </row>
    <row r="55" spans="1:7" ht="15">
      <c r="B55" s="268" t="s">
        <v>39</v>
      </c>
      <c r="C55" s="269"/>
    </row>
    <row r="56" spans="1:7">
      <c r="B56" s="271" t="s">
        <v>40</v>
      </c>
      <c r="C56" s="272">
        <f ca="1">ROUND(C51/C52,3)</f>
        <v>0.17599999999999999</v>
      </c>
    </row>
    <row r="57" spans="1:7">
      <c r="B57" s="271" t="s">
        <v>41</v>
      </c>
      <c r="C57" s="273">
        <f ca="1">1-C56</f>
        <v>0.82400000000000007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spans="1:5" ht="18">
      <c r="A3" s="3662" t="str">
        <f>IF(项目基本情况!B9="房地产市场价值","估价结果一览表（市场价值不需“结果表-1”）","估价结果一览表")</f>
        <v>估价结果一览表</v>
      </c>
      <c r="B3" s="3662"/>
      <c r="C3" s="3662"/>
      <c r="D3" s="3662"/>
      <c r="E3" s="3662"/>
    </row>
    <row r="4" spans="1:5" ht="19.5" thickBot="1">
      <c r="A4" s="1490"/>
      <c r="B4" s="3660" t="s">
        <v>917</v>
      </c>
      <c r="C4" s="3660"/>
      <c r="D4" s="3660"/>
      <c r="E4" s="1490"/>
    </row>
    <row r="5" spans="1:5" ht="16.5" thickTop="1">
      <c r="A5" s="1488"/>
      <c r="B5" s="3658" t="s">
        <v>909</v>
      </c>
      <c r="C5" s="1491" t="s">
        <v>910</v>
      </c>
      <c r="D5" s="847">
        <f ca="1">结果表!H101</f>
        <v>44307</v>
      </c>
      <c r="E5" s="1488"/>
    </row>
    <row r="6" spans="1:5" ht="15.75">
      <c r="A6" s="1488"/>
      <c r="B6" s="3658"/>
      <c r="C6" s="1491" t="s">
        <v>911</v>
      </c>
      <c r="D6" s="847" t="str">
        <f ca="1">NUMBERSTRING(INT(D5*10000),2)&amp;"元整"</f>
        <v>肆亿肆仟叁佰零柒万元整</v>
      </c>
      <c r="E6" s="1488"/>
    </row>
    <row r="7" spans="1:5" ht="15.75">
      <c r="A7" s="1488"/>
      <c r="B7" s="3663"/>
      <c r="C7" s="1492" t="s">
        <v>912</v>
      </c>
      <c r="D7" s="848">
        <f ca="1">结果表!H102</f>
        <v>36922</v>
      </c>
      <c r="E7" s="1488"/>
    </row>
    <row r="8" spans="1:5" ht="15.75">
      <c r="A8" s="1488"/>
      <c r="B8" s="3664" t="str">
        <f>结果表!E103</f>
        <v>2.估价师知悉的法定优先受偿款</v>
      </c>
      <c r="C8" s="1493" t="s">
        <v>913</v>
      </c>
      <c r="D8" s="848">
        <f>结果表!H103</f>
        <v>0</v>
      </c>
      <c r="E8" s="1488"/>
    </row>
    <row r="9" spans="1:5" ht="15.75">
      <c r="A9" s="1488"/>
      <c r="B9" s="3666"/>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657" t="str">
        <f>结果表!E107</f>
        <v>3.房地产抵押价值</v>
      </c>
      <c r="C13" s="1496" t="s">
        <v>910</v>
      </c>
      <c r="D13" s="850">
        <f ca="1">结果表!H107</f>
        <v>44307</v>
      </c>
      <c r="E13" s="1488"/>
    </row>
    <row r="14" spans="1:5" ht="15.75">
      <c r="A14" s="1488"/>
      <c r="B14" s="3658"/>
      <c r="C14" s="1491" t="s">
        <v>911</v>
      </c>
      <c r="D14" s="847" t="str">
        <f ca="1">NUMBERSTRING(INT(D13*10000),2)&amp;"元整"</f>
        <v>肆亿肆仟叁佰零柒万元整</v>
      </c>
      <c r="E14" s="1488"/>
    </row>
    <row r="15" spans="1:5" ht="15">
      <c r="A15" s="1488"/>
      <c r="B15" s="3663"/>
      <c r="C15" s="1492" t="s">
        <v>921</v>
      </c>
      <c r="D15" s="856">
        <f ca="1">结果表!H108</f>
        <v>36922</v>
      </c>
      <c r="E15" s="1488"/>
    </row>
    <row r="16" spans="1:5" ht="15">
      <c r="A16" s="1488"/>
      <c r="B16" s="3664" t="str">
        <f>结果表!E109</f>
        <v>——</v>
      </c>
      <c r="C16" s="1496" t="s">
        <v>922</v>
      </c>
      <c r="D16" s="1497" t="str">
        <f>结果表!H109</f>
        <v>——</v>
      </c>
      <c r="E16" s="1488"/>
    </row>
    <row r="17" spans="1:5" ht="15.75">
      <c r="A17" s="1488"/>
      <c r="B17" s="3665"/>
      <c r="C17" s="1491" t="s">
        <v>923</v>
      </c>
      <c r="D17" s="847" t="e">
        <f>NUMBERSTRING(INT(D16*10000),2)&amp;"元整"</f>
        <v>#VALUE!</v>
      </c>
      <c r="E17" s="1488"/>
    </row>
    <row r="18" spans="1:5" ht="15">
      <c r="A18" s="1488"/>
      <c r="B18" s="3666"/>
      <c r="C18" s="1492" t="s">
        <v>912</v>
      </c>
      <c r="D18" s="856" t="str">
        <f>结果表!H110</f>
        <v>——</v>
      </c>
      <c r="E18" s="1488"/>
    </row>
    <row r="19" spans="1:5" ht="15.75">
      <c r="A19" s="1488"/>
      <c r="B19" s="3657" t="str">
        <f>结果表!E111</f>
        <v>——</v>
      </c>
      <c r="C19" s="1496" t="s">
        <v>910</v>
      </c>
      <c r="D19" s="848" t="str">
        <f>结果表!H111</f>
        <v>——</v>
      </c>
      <c r="E19" s="1488"/>
    </row>
    <row r="20" spans="1:5" ht="15.75">
      <c r="A20" s="1488"/>
      <c r="B20" s="3658"/>
      <c r="C20" s="1491" t="s">
        <v>923</v>
      </c>
      <c r="D20" s="847" t="e">
        <f>NUMBERSTRING(INT(D19*10000),2)&amp;"元整"</f>
        <v>#VALUE!</v>
      </c>
      <c r="E20" s="1488"/>
    </row>
    <row r="21" spans="1:5" ht="15.75" thickBot="1">
      <c r="A21" s="1488"/>
      <c r="B21" s="3659"/>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979" t="s">
        <v>2848</v>
      </c>
      <c r="B1" s="3979"/>
      <c r="C1" s="3979"/>
      <c r="D1" s="3979"/>
      <c r="E1" s="3979"/>
      <c r="F1" s="3979"/>
      <c r="G1" s="3980"/>
      <c r="I1" s="3221" t="s">
        <v>2849</v>
      </c>
      <c r="J1" s="3222" t="s">
        <v>2850</v>
      </c>
      <c r="K1" s="3222" t="s">
        <v>2851</v>
      </c>
      <c r="L1" s="3222" t="s">
        <v>2852</v>
      </c>
      <c r="M1" s="3222" t="s">
        <v>2853</v>
      </c>
      <c r="N1" s="3222" t="s">
        <v>2854</v>
      </c>
      <c r="O1" s="3222" t="s">
        <v>2855</v>
      </c>
      <c r="P1" s="3222" t="s">
        <v>2856</v>
      </c>
      <c r="Q1" s="3222" t="s">
        <v>2857</v>
      </c>
      <c r="R1" s="3222" t="s">
        <v>2858</v>
      </c>
      <c r="S1" s="3222" t="s">
        <v>2859</v>
      </c>
      <c r="T1" s="3223" t="s">
        <v>2860</v>
      </c>
    </row>
    <row r="2" spans="1:20" ht="12" thickBot="1">
      <c r="A2" s="3225" t="s">
        <v>2861</v>
      </c>
      <c r="B2" s="3225"/>
      <c r="C2" s="3225"/>
      <c r="D2" s="3225"/>
      <c r="E2" s="3225"/>
      <c r="F2" s="3225"/>
      <c r="G2" s="3226" t="s">
        <v>2862</v>
      </c>
      <c r="I2" s="3227" t="s">
        <v>2863</v>
      </c>
      <c r="J2" s="3227" t="s">
        <v>2864</v>
      </c>
      <c r="K2" s="3227" t="s">
        <v>2865</v>
      </c>
      <c r="L2" s="3227" t="s">
        <v>2866</v>
      </c>
      <c r="M2" s="3227" t="s">
        <v>2867</v>
      </c>
      <c r="N2" s="3227" t="s">
        <v>2868</v>
      </c>
      <c r="O2" s="3227" t="s">
        <v>2869</v>
      </c>
      <c r="P2" s="3227" t="s">
        <v>2870</v>
      </c>
      <c r="Q2" s="3227" t="s">
        <v>2871</v>
      </c>
      <c r="R2" s="3227" t="s">
        <v>2872</v>
      </c>
      <c r="S2" s="3227" t="s">
        <v>2873</v>
      </c>
      <c r="T2" s="3227" t="s">
        <v>2874</v>
      </c>
    </row>
    <row r="3" spans="1:20" s="3233" customFormat="1">
      <c r="A3" s="3977" t="s">
        <v>2875</v>
      </c>
      <c r="B3" s="3228"/>
      <c r="C3" s="3229" t="s">
        <v>2814</v>
      </c>
      <c r="D3" s="3229" t="s">
        <v>2876</v>
      </c>
      <c r="E3" s="3229" t="s">
        <v>2816</v>
      </c>
      <c r="F3" s="3229" t="s">
        <v>2877</v>
      </c>
      <c r="G3" s="3229" t="s">
        <v>2634</v>
      </c>
      <c r="H3" s="3230"/>
      <c r="I3" s="3231" t="s">
        <v>2878</v>
      </c>
      <c r="J3" s="3232" t="s">
        <v>128</v>
      </c>
      <c r="K3" s="3232" t="s">
        <v>129</v>
      </c>
      <c r="L3" s="3231" t="s">
        <v>130</v>
      </c>
      <c r="M3" s="3231" t="s">
        <v>131</v>
      </c>
      <c r="N3" s="3231" t="s">
        <v>132</v>
      </c>
      <c r="O3" s="3231" t="s">
        <v>133</v>
      </c>
      <c r="P3" s="3231" t="s">
        <v>134</v>
      </c>
      <c r="Q3" s="3231" t="s">
        <v>135</v>
      </c>
      <c r="R3" s="3231" t="s">
        <v>136</v>
      </c>
      <c r="S3" s="3231" t="s">
        <v>2879</v>
      </c>
      <c r="T3" s="3231" t="s">
        <v>2880</v>
      </c>
    </row>
    <row r="4" spans="1:20" s="3233" customFormat="1" ht="12" thickBot="1">
      <c r="A4" s="3978"/>
      <c r="B4" s="3234" t="s">
        <v>2881</v>
      </c>
      <c r="C4" s="3234" t="s">
        <v>2882</v>
      </c>
      <c r="D4" s="3234" t="s">
        <v>2882</v>
      </c>
      <c r="E4" s="3234" t="s">
        <v>2882</v>
      </c>
      <c r="F4" s="3235" t="s">
        <v>2882</v>
      </c>
      <c r="G4" s="3235" t="s">
        <v>2882</v>
      </c>
      <c r="H4" s="3230"/>
      <c r="I4" s="3232" t="s">
        <v>137</v>
      </c>
      <c r="J4" s="3232" t="s">
        <v>111</v>
      </c>
      <c r="K4" s="3232" t="s">
        <v>138</v>
      </c>
      <c r="L4" s="3231" t="s">
        <v>139</v>
      </c>
      <c r="M4" s="3231" t="s">
        <v>140</v>
      </c>
      <c r="N4" s="3231" t="s">
        <v>141</v>
      </c>
      <c r="O4" s="3231" t="s">
        <v>142</v>
      </c>
      <c r="P4" s="3231" t="s">
        <v>143</v>
      </c>
      <c r="Q4" s="3231" t="s">
        <v>2883</v>
      </c>
      <c r="R4" s="3231" t="s">
        <v>2884</v>
      </c>
      <c r="S4" s="3231" t="s">
        <v>2885</v>
      </c>
      <c r="T4" s="3231" t="s">
        <v>2886</v>
      </c>
    </row>
    <row r="5" spans="1:20">
      <c r="A5" s="3236" t="s">
        <v>2849</v>
      </c>
      <c r="B5" s="3227" t="s">
        <v>2863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2887</v>
      </c>
      <c r="R5" s="3231" t="s">
        <v>2888</v>
      </c>
      <c r="S5" s="3231" t="s">
        <v>153</v>
      </c>
      <c r="T5" s="3231" t="s">
        <v>2889</v>
      </c>
    </row>
    <row r="6" spans="1:20" ht="12" thickBot="1">
      <c r="A6" s="3231" t="s">
        <v>144</v>
      </c>
      <c r="B6" s="3231" t="s">
        <v>2878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2890</v>
      </c>
      <c r="Q6" s="3231" t="s">
        <v>2891</v>
      </c>
      <c r="R6" s="3231" t="s">
        <v>161</v>
      </c>
      <c r="S6" s="3231" t="s">
        <v>2892</v>
      </c>
      <c r="T6" s="3231" t="s">
        <v>2893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2894</v>
      </c>
      <c r="Q7" s="3231" t="s">
        <v>2895</v>
      </c>
      <c r="R7" s="3231" t="s">
        <v>2896</v>
      </c>
      <c r="S7" s="3231" t="s">
        <v>2897</v>
      </c>
      <c r="T7" s="3231" t="s">
        <v>2898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2899</v>
      </c>
      <c r="Q8" s="3231" t="s">
        <v>174</v>
      </c>
      <c r="R8" s="3231" t="s">
        <v>2900</v>
      </c>
      <c r="S8" s="3231" t="s">
        <v>2901</v>
      </c>
      <c r="T8" s="3238" t="s">
        <v>2902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2903</v>
      </c>
      <c r="Q9" s="3231" t="s">
        <v>182</v>
      </c>
      <c r="R9" s="3231" t="s">
        <v>183</v>
      </c>
      <c r="S9" s="3231" t="s">
        <v>200</v>
      </c>
    </row>
    <row r="10" spans="1:20">
      <c r="A10" s="3236" t="s">
        <v>184</v>
      </c>
      <c r="B10" s="3227" t="s">
        <v>2864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2905</v>
      </c>
      <c r="P11" s="3231" t="s">
        <v>191</v>
      </c>
      <c r="Q11" s="3231" t="s">
        <v>199</v>
      </c>
      <c r="R11" s="3231" t="s">
        <v>2906</v>
      </c>
      <c r="S11" s="3231" t="s">
        <v>2907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2908</v>
      </c>
      <c r="P12" s="3231" t="s">
        <v>2909</v>
      </c>
      <c r="Q12" s="3231" t="s">
        <v>2910</v>
      </c>
      <c r="R12" s="3231" t="s">
        <v>2911</v>
      </c>
      <c r="S12" s="3231" t="s">
        <v>2912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2914</v>
      </c>
      <c r="K14" s="3232" t="s">
        <v>215</v>
      </c>
      <c r="L14" s="3231" t="s">
        <v>216</v>
      </c>
      <c r="M14" s="3231" t="s">
        <v>217</v>
      </c>
      <c r="N14" s="3231" t="s">
        <v>218</v>
      </c>
      <c r="O14" s="3231" t="s">
        <v>240</v>
      </c>
      <c r="P14" s="3231" t="s">
        <v>213</v>
      </c>
      <c r="Q14" s="3231" t="s">
        <v>2915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2916</v>
      </c>
      <c r="P15" s="3231" t="s">
        <v>2917</v>
      </c>
      <c r="Q15" s="3231" t="s">
        <v>242</v>
      </c>
      <c r="R15" s="3231" t="s">
        <v>2918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2919</v>
      </c>
      <c r="P16" s="3231" t="s">
        <v>227</v>
      </c>
      <c r="Q16" s="3231" t="s">
        <v>250</v>
      </c>
      <c r="R16" s="3231" t="s">
        <v>207</v>
      </c>
      <c r="S16" s="3231" t="s">
        <v>2920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2921</v>
      </c>
      <c r="P17" s="3231" t="s">
        <v>2922</v>
      </c>
      <c r="Q17" s="3231" t="s">
        <v>256</v>
      </c>
      <c r="R17" s="3231" t="s">
        <v>2923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2924</v>
      </c>
      <c r="P18" s="3231" t="s">
        <v>241</v>
      </c>
      <c r="Q18" s="3231" t="s">
        <v>2925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2926</v>
      </c>
      <c r="P19" s="3231" t="s">
        <v>249</v>
      </c>
      <c r="Q19" s="3231" t="s">
        <v>2927</v>
      </c>
      <c r="R19" s="3231" t="s">
        <v>265</v>
      </c>
      <c r="S19" s="3231" t="s">
        <v>2928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2929</v>
      </c>
      <c r="P20" s="3231" t="s">
        <v>2930</v>
      </c>
      <c r="Q20" s="3231" t="s">
        <v>290</v>
      </c>
      <c r="R20" s="3231" t="s">
        <v>2931</v>
      </c>
      <c r="S20" s="3231" t="s">
        <v>277</v>
      </c>
    </row>
    <row r="21" spans="1:19" ht="14.25" customHeight="1" thickBot="1">
      <c r="A21" s="3231" t="s">
        <v>184</v>
      </c>
      <c r="B21" s="3232" t="s">
        <v>208</v>
      </c>
      <c r="C21" s="3231">
        <v>32370</v>
      </c>
      <c r="D21" s="3231">
        <v>26730</v>
      </c>
      <c r="E21" s="3231">
        <v>26640</v>
      </c>
      <c r="F21" s="3231"/>
      <c r="G21" s="3231">
        <v>19440</v>
      </c>
      <c r="J21" s="3238" t="s">
        <v>2932</v>
      </c>
      <c r="K21" s="3232" t="s">
        <v>267</v>
      </c>
      <c r="L21" s="3231" t="s">
        <v>268</v>
      </c>
      <c r="M21" s="3231" t="s">
        <v>269</v>
      </c>
      <c r="N21" s="3231" t="s">
        <v>270</v>
      </c>
      <c r="O21" s="3231" t="s">
        <v>264</v>
      </c>
      <c r="P21" s="3231" t="s">
        <v>283</v>
      </c>
      <c r="Q21" s="3231" t="s">
        <v>293</v>
      </c>
      <c r="R21" s="3231" t="s">
        <v>2933</v>
      </c>
      <c r="S21" s="3238" t="s">
        <v>2934</v>
      </c>
    </row>
    <row r="22" spans="1:19" ht="14.25" customHeight="1">
      <c r="A22" s="3231" t="s">
        <v>184</v>
      </c>
      <c r="B22" s="3232" t="s">
        <v>2914</v>
      </c>
      <c r="C22" s="3231">
        <v>29830</v>
      </c>
      <c r="D22" s="3231">
        <v>27600</v>
      </c>
      <c r="E22" s="3231">
        <v>28150</v>
      </c>
      <c r="F22" s="3231"/>
      <c r="G22" s="3231">
        <v>20080</v>
      </c>
      <c r="K22" s="3232" t="s">
        <v>2935</v>
      </c>
      <c r="L22" s="3231" t="s">
        <v>272</v>
      </c>
      <c r="M22" s="3231" t="s">
        <v>273</v>
      </c>
      <c r="N22" s="3231" t="s">
        <v>274</v>
      </c>
      <c r="O22" s="3231" t="s">
        <v>2936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2937</v>
      </c>
      <c r="L23" s="3231" t="s">
        <v>278</v>
      </c>
      <c r="M23" s="3231" t="s">
        <v>279</v>
      </c>
      <c r="N23" s="3231" t="s">
        <v>2938</v>
      </c>
      <c r="O23" s="3231" t="s">
        <v>2939</v>
      </c>
      <c r="P23" s="3231" t="s">
        <v>289</v>
      </c>
      <c r="Q23" s="3231" t="s">
        <v>298</v>
      </c>
      <c r="R23" s="3231" t="s">
        <v>2940</v>
      </c>
    </row>
    <row r="24" spans="1:19" ht="14.25" customHeight="1">
      <c r="A24" s="3231" t="s">
        <v>184</v>
      </c>
      <c r="B24" s="3232" t="s">
        <v>230</v>
      </c>
      <c r="C24" s="3231">
        <v>27930</v>
      </c>
      <c r="D24" s="3231">
        <v>32260</v>
      </c>
      <c r="E24" s="3231">
        <v>32120</v>
      </c>
      <c r="F24" s="3231"/>
      <c r="G24" s="3231">
        <v>23470</v>
      </c>
      <c r="K24" s="3232" t="s">
        <v>2941</v>
      </c>
      <c r="L24" s="3231" t="s">
        <v>281</v>
      </c>
      <c r="M24" s="3231" t="s">
        <v>282</v>
      </c>
      <c r="N24" s="3231" t="s">
        <v>2942</v>
      </c>
      <c r="O24" s="3231" t="s">
        <v>285</v>
      </c>
      <c r="P24" s="3231" t="s">
        <v>2943</v>
      </c>
      <c r="Q24" s="3240" t="s">
        <v>2944</v>
      </c>
      <c r="R24" s="3231" t="s">
        <v>2945</v>
      </c>
    </row>
    <row r="25" spans="1:19" ht="14.25" customHeight="1">
      <c r="A25" s="3231" t="s">
        <v>184</v>
      </c>
      <c r="B25" s="3232" t="s">
        <v>235</v>
      </c>
      <c r="C25" s="3231">
        <v>32230</v>
      </c>
      <c r="D25" s="3231">
        <v>29640</v>
      </c>
      <c r="E25" s="3231">
        <v>29510</v>
      </c>
      <c r="F25" s="3231"/>
      <c r="G25" s="3231">
        <v>21560</v>
      </c>
      <c r="K25" s="3232" t="s">
        <v>2946</v>
      </c>
      <c r="L25" s="3231" t="s">
        <v>2947</v>
      </c>
      <c r="M25" s="3231" t="s">
        <v>284</v>
      </c>
      <c r="N25" s="3231" t="s">
        <v>292</v>
      </c>
      <c r="O25" s="3231" t="s">
        <v>288</v>
      </c>
      <c r="P25" s="3231" t="s">
        <v>275</v>
      </c>
      <c r="Q25" s="3240" t="s">
        <v>271</v>
      </c>
      <c r="R25" s="3231" t="s">
        <v>2948</v>
      </c>
    </row>
    <row r="26" spans="1:19" ht="14.25" customHeight="1" thickBot="1">
      <c r="A26" s="3231" t="s">
        <v>184</v>
      </c>
      <c r="B26" s="3232" t="s">
        <v>244</v>
      </c>
      <c r="C26" s="3231">
        <v>31690</v>
      </c>
      <c r="D26" s="3231">
        <v>27650</v>
      </c>
      <c r="E26" s="3231">
        <v>28200</v>
      </c>
      <c r="F26" s="3231"/>
      <c r="G26" s="3231">
        <v>20110</v>
      </c>
      <c r="K26" s="3237" t="s">
        <v>2949</v>
      </c>
      <c r="L26" s="3231" t="s">
        <v>2950</v>
      </c>
      <c r="M26" s="3231" t="s">
        <v>287</v>
      </c>
      <c r="N26" s="3231" t="s">
        <v>294</v>
      </c>
      <c r="O26" s="3231" t="s">
        <v>2951</v>
      </c>
      <c r="P26" s="3231" t="s">
        <v>2952</v>
      </c>
      <c r="Q26" s="3240" t="s">
        <v>276</v>
      </c>
      <c r="R26" s="3231" t="s">
        <v>2953</v>
      </c>
    </row>
    <row r="27" spans="1:19" ht="14.25" customHeight="1">
      <c r="A27" s="3231" t="s">
        <v>184</v>
      </c>
      <c r="B27" s="3232" t="s">
        <v>251</v>
      </c>
      <c r="C27" s="3231">
        <v>29610</v>
      </c>
      <c r="D27" s="3231">
        <v>27770</v>
      </c>
      <c r="E27" s="3231">
        <v>28300</v>
      </c>
      <c r="F27" s="3231"/>
      <c r="G27" s="3231">
        <v>20210</v>
      </c>
      <c r="L27" s="3231" t="s">
        <v>2954</v>
      </c>
      <c r="M27" s="3231" t="s">
        <v>291</v>
      </c>
      <c r="N27" s="3231" t="s">
        <v>297</v>
      </c>
      <c r="O27" s="3231" t="s">
        <v>2955</v>
      </c>
      <c r="P27" s="3231" t="s">
        <v>2956</v>
      </c>
      <c r="Q27" s="3231" t="s">
        <v>2957</v>
      </c>
      <c r="R27" s="3231" t="s">
        <v>2958</v>
      </c>
    </row>
    <row r="28" spans="1:19" ht="14.25" customHeight="1">
      <c r="A28" s="3231" t="s">
        <v>184</v>
      </c>
      <c r="B28" s="3232" t="s">
        <v>259</v>
      </c>
      <c r="C28" s="3231"/>
      <c r="D28" s="3231">
        <v>31520</v>
      </c>
      <c r="E28" s="3231">
        <v>31410</v>
      </c>
      <c r="F28" s="3231"/>
      <c r="G28" s="3231">
        <v>22940</v>
      </c>
      <c r="L28" s="3231" t="s">
        <v>2959</v>
      </c>
      <c r="M28" s="3231" t="s">
        <v>2960</v>
      </c>
      <c r="N28" s="3231" t="s">
        <v>2961</v>
      </c>
      <c r="O28" s="3231" t="s">
        <v>2962</v>
      </c>
      <c r="P28" s="3231" t="s">
        <v>2963</v>
      </c>
      <c r="Q28" s="3231" t="s">
        <v>2964</v>
      </c>
      <c r="R28" s="3231" t="s">
        <v>2965</v>
      </c>
    </row>
    <row r="29" spans="1:19" ht="14.25" customHeight="1" thickBot="1">
      <c r="A29" s="3239" t="s">
        <v>184</v>
      </c>
      <c r="B29" s="3241" t="s">
        <v>2932</v>
      </c>
      <c r="C29" s="3242"/>
      <c r="D29" s="3242">
        <v>29460</v>
      </c>
      <c r="E29" s="3242">
        <v>28640</v>
      </c>
      <c r="F29" s="3242"/>
      <c r="G29" s="3242">
        <v>21430</v>
      </c>
      <c r="L29" s="3231" t="s">
        <v>2966</v>
      </c>
      <c r="M29" s="3231" t="s">
        <v>2967</v>
      </c>
      <c r="N29" s="3231" t="s">
        <v>2968</v>
      </c>
      <c r="O29" s="3231" t="s">
        <v>2969</v>
      </c>
      <c r="P29" s="3231" t="s">
        <v>2970</v>
      </c>
      <c r="Q29" s="3231" t="s">
        <v>2971</v>
      </c>
      <c r="R29" s="3231" t="s">
        <v>280</v>
      </c>
    </row>
    <row r="30" spans="1:19" ht="14.25" customHeight="1">
      <c r="A30" s="3236" t="s">
        <v>296</v>
      </c>
      <c r="B30" s="3227" t="s">
        <v>2865</v>
      </c>
      <c r="C30" s="3227">
        <v>26890</v>
      </c>
      <c r="D30" s="3227">
        <v>26770</v>
      </c>
      <c r="E30" s="3227">
        <v>25700</v>
      </c>
      <c r="F30" s="3227">
        <v>8180</v>
      </c>
      <c r="G30" s="3243">
        <v>18740</v>
      </c>
      <c r="L30" s="3231" t="s">
        <v>2972</v>
      </c>
      <c r="M30" s="3231" t="s">
        <v>2973</v>
      </c>
      <c r="N30" s="3231" t="s">
        <v>2974</v>
      </c>
      <c r="O30" s="3231" t="s">
        <v>2975</v>
      </c>
      <c r="P30" s="3231" t="s">
        <v>2976</v>
      </c>
      <c r="Q30" s="3231" t="s">
        <v>2977</v>
      </c>
      <c r="R30" s="3231" t="s">
        <v>2978</v>
      </c>
    </row>
    <row r="31" spans="1:19" ht="14.25" customHeight="1">
      <c r="A31" s="3231" t="s">
        <v>296</v>
      </c>
      <c r="B31" s="3232" t="s">
        <v>129</v>
      </c>
      <c r="C31" s="3231">
        <v>24550</v>
      </c>
      <c r="D31" s="3231">
        <v>23990</v>
      </c>
      <c r="E31" s="3231">
        <v>22930</v>
      </c>
      <c r="F31" s="3231">
        <v>7470</v>
      </c>
      <c r="G31" s="3244">
        <v>16790</v>
      </c>
      <c r="L31" s="3231" t="s">
        <v>2979</v>
      </c>
      <c r="M31" s="3231" t="s">
        <v>2980</v>
      </c>
      <c r="N31" s="3231" t="s">
        <v>2981</v>
      </c>
      <c r="O31" s="3231" t="s">
        <v>2982</v>
      </c>
      <c r="P31" s="3231" t="s">
        <v>2983</v>
      </c>
      <c r="Q31" s="3231" t="s">
        <v>2984</v>
      </c>
      <c r="R31" s="3231" t="s">
        <v>2985</v>
      </c>
    </row>
    <row r="32" spans="1:19" ht="14.25" customHeight="1" thickBot="1">
      <c r="A32" s="3231" t="s">
        <v>296</v>
      </c>
      <c r="B32" s="3232" t="s">
        <v>138</v>
      </c>
      <c r="C32" s="3231">
        <v>27210</v>
      </c>
      <c r="D32" s="3231">
        <v>23240</v>
      </c>
      <c r="E32" s="3231">
        <v>23260</v>
      </c>
      <c r="F32" s="3231">
        <v>7130</v>
      </c>
      <c r="G32" s="3244">
        <v>16270</v>
      </c>
      <c r="L32" s="3231" t="s">
        <v>2986</v>
      </c>
      <c r="M32" s="3231" t="s">
        <v>2987</v>
      </c>
      <c r="N32" s="3231" t="s">
        <v>300</v>
      </c>
      <c r="O32" s="3231" t="s">
        <v>2988</v>
      </c>
      <c r="P32" s="3231" t="s">
        <v>299</v>
      </c>
      <c r="Q32" s="3231" t="s">
        <v>2989</v>
      </c>
      <c r="R32" s="3238" t="s">
        <v>2990</v>
      </c>
    </row>
    <row r="33" spans="1:17" ht="14.25" customHeight="1" thickBot="1">
      <c r="A33" s="3231" t="s">
        <v>296</v>
      </c>
      <c r="B33" s="3232" t="s">
        <v>147</v>
      </c>
      <c r="C33" s="3231">
        <v>27300</v>
      </c>
      <c r="D33" s="3231">
        <v>22980</v>
      </c>
      <c r="E33" s="3231">
        <v>24260</v>
      </c>
      <c r="F33" s="3231">
        <v>5860</v>
      </c>
      <c r="G33" s="3244">
        <v>16090</v>
      </c>
      <c r="L33" s="3238" t="s">
        <v>2991</v>
      </c>
      <c r="M33" s="3231" t="s">
        <v>2992</v>
      </c>
      <c r="N33" s="3231" t="s">
        <v>301</v>
      </c>
      <c r="O33" s="3231" t="s">
        <v>2993</v>
      </c>
      <c r="P33" s="3231" t="s">
        <v>2994</v>
      </c>
      <c r="Q33" s="3231" t="s">
        <v>2995</v>
      </c>
    </row>
    <row r="34" spans="1:17" ht="14.25" customHeight="1">
      <c r="A34" s="3231" t="s">
        <v>296</v>
      </c>
      <c r="B34" s="3232" t="s">
        <v>156</v>
      </c>
      <c r="C34" s="3231">
        <v>23090</v>
      </c>
      <c r="D34" s="3231">
        <v>23390</v>
      </c>
      <c r="E34" s="3231">
        <v>23510</v>
      </c>
      <c r="F34" s="3231">
        <v>6700</v>
      </c>
      <c r="G34" s="3244">
        <v>16370</v>
      </c>
      <c r="M34" s="3231" t="s">
        <v>2996</v>
      </c>
      <c r="N34" s="3231" t="s">
        <v>302</v>
      </c>
      <c r="O34" s="3231" t="s">
        <v>2997</v>
      </c>
      <c r="P34" s="3231" t="s">
        <v>2998</v>
      </c>
      <c r="Q34" s="3231" t="s">
        <v>2999</v>
      </c>
    </row>
    <row r="35" spans="1:17" ht="14.25" customHeight="1">
      <c r="A35" s="3231" t="s">
        <v>296</v>
      </c>
      <c r="B35" s="3232" t="s">
        <v>163</v>
      </c>
      <c r="C35" s="3231">
        <v>27270</v>
      </c>
      <c r="D35" s="3231">
        <v>24270</v>
      </c>
      <c r="E35" s="3231">
        <v>24950</v>
      </c>
      <c r="F35" s="3231">
        <v>6600</v>
      </c>
      <c r="G35" s="3244">
        <v>16990</v>
      </c>
      <c r="M35" s="3231" t="s">
        <v>3000</v>
      </c>
      <c r="N35" s="3231" t="s">
        <v>3001</v>
      </c>
      <c r="O35" s="3231" t="s">
        <v>3002</v>
      </c>
      <c r="P35" s="3231" t="s">
        <v>3003</v>
      </c>
      <c r="Q35" s="3231" t="s">
        <v>3004</v>
      </c>
    </row>
    <row r="36" spans="1:17" ht="14.25" customHeight="1">
      <c r="A36" s="3231" t="s">
        <v>296</v>
      </c>
      <c r="B36" s="3232" t="s">
        <v>169</v>
      </c>
      <c r="C36" s="3231">
        <v>23490</v>
      </c>
      <c r="D36" s="3231">
        <v>23020</v>
      </c>
      <c r="E36" s="3231">
        <v>25230</v>
      </c>
      <c r="F36" s="3231">
        <v>6780</v>
      </c>
      <c r="G36" s="3244">
        <v>16120</v>
      </c>
      <c r="M36" s="3231" t="s">
        <v>3005</v>
      </c>
      <c r="N36" s="3231" t="s">
        <v>3006</v>
      </c>
      <c r="O36" s="3231" t="s">
        <v>3007</v>
      </c>
      <c r="P36" s="3231" t="s">
        <v>3008</v>
      </c>
      <c r="Q36" s="3231" t="s">
        <v>3009</v>
      </c>
    </row>
    <row r="37" spans="1:17" ht="14.25" customHeight="1">
      <c r="A37" s="3231" t="s">
        <v>296</v>
      </c>
      <c r="B37" s="3232" t="s">
        <v>176</v>
      </c>
      <c r="C37" s="3231">
        <v>24380</v>
      </c>
      <c r="D37" s="3231">
        <v>22240</v>
      </c>
      <c r="E37" s="3231">
        <v>25980</v>
      </c>
      <c r="F37" s="3231">
        <v>8160</v>
      </c>
      <c r="G37" s="3244">
        <v>15570</v>
      </c>
      <c r="M37" s="3231" t="s">
        <v>3010</v>
      </c>
      <c r="N37" s="3231" t="s">
        <v>3011</v>
      </c>
      <c r="O37" s="3231" t="s">
        <v>3012</v>
      </c>
      <c r="P37" s="3231" t="s">
        <v>3013</v>
      </c>
      <c r="Q37" s="3231" t="s">
        <v>3014</v>
      </c>
    </row>
    <row r="38" spans="1:17" ht="14.25" customHeight="1">
      <c r="A38" s="3231" t="s">
        <v>296</v>
      </c>
      <c r="B38" s="3232" t="s">
        <v>186</v>
      </c>
      <c r="C38" s="3231">
        <v>23120</v>
      </c>
      <c r="D38" s="3231">
        <v>24630</v>
      </c>
      <c r="E38" s="3231">
        <v>25030</v>
      </c>
      <c r="F38" s="3231">
        <v>7710</v>
      </c>
      <c r="G38" s="3244">
        <v>17240</v>
      </c>
      <c r="M38" s="3231" t="s">
        <v>3015</v>
      </c>
      <c r="N38" s="3231" t="s">
        <v>3016</v>
      </c>
      <c r="O38" s="3231" t="s">
        <v>3017</v>
      </c>
      <c r="P38" s="3231" t="s">
        <v>3018</v>
      </c>
      <c r="Q38" s="3231" t="s">
        <v>3019</v>
      </c>
    </row>
    <row r="39" spans="1:17" ht="14.25" customHeight="1">
      <c r="A39" s="3231" t="s">
        <v>296</v>
      </c>
      <c r="B39" s="3232" t="s">
        <v>195</v>
      </c>
      <c r="C39" s="3231">
        <v>22330</v>
      </c>
      <c r="D39" s="3231">
        <v>21140</v>
      </c>
      <c r="E39" s="3231">
        <v>23970</v>
      </c>
      <c r="F39" s="3231">
        <v>7940</v>
      </c>
      <c r="G39" s="3244">
        <v>14790</v>
      </c>
      <c r="M39" s="3231" t="s">
        <v>3020</v>
      </c>
      <c r="N39" s="3231" t="s">
        <v>3021</v>
      </c>
      <c r="O39" s="3231" t="s">
        <v>3022</v>
      </c>
      <c r="P39" s="3231" t="s">
        <v>3023</v>
      </c>
      <c r="Q39" s="3231" t="s">
        <v>3024</v>
      </c>
    </row>
    <row r="40" spans="1:17" ht="14.25" customHeight="1">
      <c r="A40" s="3231" t="s">
        <v>296</v>
      </c>
      <c r="B40" s="3232" t="s">
        <v>202</v>
      </c>
      <c r="C40" s="3231">
        <v>24740</v>
      </c>
      <c r="D40" s="3231">
        <v>24690</v>
      </c>
      <c r="E40" s="3231">
        <v>22610</v>
      </c>
      <c r="F40" s="3231"/>
      <c r="G40" s="3244">
        <v>17280</v>
      </c>
      <c r="M40" s="3231" t="s">
        <v>3025</v>
      </c>
      <c r="N40" s="3231" t="s">
        <v>3026</v>
      </c>
      <c r="O40" s="3231" t="s">
        <v>3027</v>
      </c>
      <c r="P40" s="3231" t="s">
        <v>3028</v>
      </c>
      <c r="Q40" s="3231" t="s">
        <v>3029</v>
      </c>
    </row>
    <row r="41" spans="1:17" ht="14.25" customHeight="1" thickBot="1">
      <c r="A41" s="3231" t="s">
        <v>296</v>
      </c>
      <c r="B41" s="3232" t="s">
        <v>209</v>
      </c>
      <c r="C41" s="3231">
        <v>21220</v>
      </c>
      <c r="D41" s="3231">
        <v>21120</v>
      </c>
      <c r="E41" s="3231">
        <v>22590</v>
      </c>
      <c r="F41" s="3231"/>
      <c r="G41" s="3244">
        <v>14780</v>
      </c>
      <c r="M41" s="3238" t="s">
        <v>3030</v>
      </c>
      <c r="N41" s="3231" t="s">
        <v>3031</v>
      </c>
      <c r="O41" s="3231" t="s">
        <v>3032</v>
      </c>
      <c r="P41" s="3231" t="s">
        <v>3033</v>
      </c>
      <c r="Q41" s="3231" t="s">
        <v>3034</v>
      </c>
    </row>
    <row r="42" spans="1:17" ht="14.25" customHeight="1">
      <c r="A42" s="3231" t="s">
        <v>296</v>
      </c>
      <c r="B42" s="3232" t="s">
        <v>215</v>
      </c>
      <c r="C42" s="3231">
        <v>24800</v>
      </c>
      <c r="D42" s="3231">
        <v>22280</v>
      </c>
      <c r="E42" s="3231">
        <v>24350</v>
      </c>
      <c r="F42" s="3231"/>
      <c r="G42" s="3244">
        <v>15590</v>
      </c>
      <c r="N42" s="3231" t="s">
        <v>3035</v>
      </c>
      <c r="O42" s="3231" t="s">
        <v>3036</v>
      </c>
      <c r="P42" s="3231" t="s">
        <v>3037</v>
      </c>
      <c r="Q42" s="3231" t="s">
        <v>3038</v>
      </c>
    </row>
    <row r="43" spans="1:17" ht="14.25" customHeight="1">
      <c r="A43" s="3231" t="s">
        <v>3039</v>
      </c>
      <c r="B43" s="3232" t="s">
        <v>223</v>
      </c>
      <c r="C43" s="3231">
        <v>21210</v>
      </c>
      <c r="D43" s="3231">
        <v>21160</v>
      </c>
      <c r="E43" s="3231">
        <v>22650</v>
      </c>
      <c r="F43" s="3231"/>
      <c r="G43" s="3244">
        <v>14800</v>
      </c>
      <c r="N43" s="3231" t="s">
        <v>3040</v>
      </c>
      <c r="O43" s="3231" t="s">
        <v>3041</v>
      </c>
      <c r="P43" s="3231" t="s">
        <v>3042</v>
      </c>
      <c r="Q43" s="3231" t="s">
        <v>3043</v>
      </c>
    </row>
    <row r="44" spans="1:17" ht="14.25" customHeight="1" thickBot="1">
      <c r="A44" s="3231" t="s">
        <v>296</v>
      </c>
      <c r="B44" s="3232" t="s">
        <v>231</v>
      </c>
      <c r="C44" s="3231">
        <v>22370</v>
      </c>
      <c r="D44" s="3231">
        <v>23140</v>
      </c>
      <c r="E44" s="3231">
        <v>25090</v>
      </c>
      <c r="F44" s="3231"/>
      <c r="G44" s="3244">
        <v>16190</v>
      </c>
      <c r="N44" s="3231" t="s">
        <v>3044</v>
      </c>
      <c r="O44" s="3231" t="s">
        <v>3045</v>
      </c>
      <c r="P44" s="3238" t="s">
        <v>3046</v>
      </c>
      <c r="Q44" s="3231" t="s">
        <v>3047</v>
      </c>
    </row>
    <row r="45" spans="1:17" ht="14.25" customHeight="1" thickBot="1">
      <c r="A45" s="3231" t="s">
        <v>296</v>
      </c>
      <c r="B45" s="3232" t="s">
        <v>236</v>
      </c>
      <c r="C45" s="3231">
        <v>21240</v>
      </c>
      <c r="D45" s="3231">
        <v>27050</v>
      </c>
      <c r="E45" s="3231">
        <v>28000</v>
      </c>
      <c r="F45" s="3231"/>
      <c r="G45" s="3244">
        <v>18940</v>
      </c>
      <c r="N45" s="3231" t="s">
        <v>3048</v>
      </c>
      <c r="O45" s="3238" t="s">
        <v>3049</v>
      </c>
      <c r="Q45" s="3231" t="s">
        <v>3050</v>
      </c>
    </row>
    <row r="46" spans="1:17" ht="14.25" customHeight="1">
      <c r="A46" s="3231" t="s">
        <v>296</v>
      </c>
      <c r="B46" s="3232" t="s">
        <v>245</v>
      </c>
      <c r="C46" s="3231">
        <v>23240</v>
      </c>
      <c r="D46" s="3231">
        <v>23000</v>
      </c>
      <c r="E46" s="3231">
        <v>24980</v>
      </c>
      <c r="F46" s="3231"/>
      <c r="G46" s="3244">
        <v>16100</v>
      </c>
      <c r="N46" s="3231" t="s">
        <v>3051</v>
      </c>
      <c r="Q46" s="3231" t="s">
        <v>3052</v>
      </c>
    </row>
    <row r="47" spans="1:17" ht="14.25" customHeight="1">
      <c r="A47" s="3231" t="s">
        <v>296</v>
      </c>
      <c r="B47" s="3232" t="s">
        <v>252</v>
      </c>
      <c r="C47" s="3231">
        <v>27150</v>
      </c>
      <c r="D47" s="3231">
        <v>23310</v>
      </c>
      <c r="E47" s="3231">
        <v>25150</v>
      </c>
      <c r="F47" s="3231"/>
      <c r="G47" s="3244">
        <v>16310</v>
      </c>
      <c r="N47" s="3231" t="s">
        <v>3053</v>
      </c>
      <c r="Q47" s="3231" t="s">
        <v>3054</v>
      </c>
    </row>
    <row r="48" spans="1:17" ht="14.25" customHeight="1">
      <c r="A48" s="3231" t="s">
        <v>296</v>
      </c>
      <c r="B48" s="3232" t="s">
        <v>260</v>
      </c>
      <c r="C48" s="3231">
        <v>23100</v>
      </c>
      <c r="D48" s="3231">
        <v>21110</v>
      </c>
      <c r="E48" s="3231">
        <v>23080</v>
      </c>
      <c r="F48" s="3231"/>
      <c r="G48" s="3244">
        <v>14780</v>
      </c>
      <c r="N48" s="3231" t="s">
        <v>3055</v>
      </c>
      <c r="Q48" s="3231" t="s">
        <v>3056</v>
      </c>
    </row>
    <row r="49" spans="1:17" ht="14.25" customHeight="1">
      <c r="A49" s="3231" t="s">
        <v>296</v>
      </c>
      <c r="B49" s="3232" t="s">
        <v>267</v>
      </c>
      <c r="C49" s="3231">
        <v>23400</v>
      </c>
      <c r="D49" s="3231">
        <v>22920</v>
      </c>
      <c r="E49" s="3231">
        <v>24900</v>
      </c>
      <c r="F49" s="3231"/>
      <c r="G49" s="3244">
        <v>16040</v>
      </c>
      <c r="N49" s="3231" t="s">
        <v>3057</v>
      </c>
      <c r="Q49" s="3231" t="s">
        <v>3058</v>
      </c>
    </row>
    <row r="50" spans="1:17" ht="14.25" customHeight="1">
      <c r="A50" s="3231" t="s">
        <v>296</v>
      </c>
      <c r="B50" s="3232" t="s">
        <v>2935</v>
      </c>
      <c r="C50" s="3231">
        <v>21200</v>
      </c>
      <c r="D50" s="3231">
        <v>26540</v>
      </c>
      <c r="E50" s="3231">
        <v>23200</v>
      </c>
      <c r="F50" s="3231"/>
      <c r="G50" s="3244">
        <v>18580</v>
      </c>
      <c r="N50" s="3231" t="s">
        <v>3059</v>
      </c>
      <c r="Q50" s="3232" t="s">
        <v>3060</v>
      </c>
    </row>
    <row r="51" spans="1:17" ht="14.25" customHeight="1" thickBot="1">
      <c r="A51" s="3231" t="s">
        <v>296</v>
      </c>
      <c r="B51" s="3232" t="s">
        <v>2937</v>
      </c>
      <c r="C51" s="3231">
        <v>23000</v>
      </c>
      <c r="D51" s="3231">
        <v>23460</v>
      </c>
      <c r="E51" s="3231">
        <v>25290</v>
      </c>
      <c r="F51" s="3231"/>
      <c r="G51" s="3244">
        <v>16420</v>
      </c>
      <c r="N51" s="3231" t="s">
        <v>3061</v>
      </c>
      <c r="Q51" s="3238" t="s">
        <v>3062</v>
      </c>
    </row>
    <row r="52" spans="1:17" ht="14.25" customHeight="1">
      <c r="A52" s="3231" t="s">
        <v>296</v>
      </c>
      <c r="B52" s="3232" t="s">
        <v>2941</v>
      </c>
      <c r="C52" s="3231">
        <v>26660</v>
      </c>
      <c r="D52" s="3231">
        <v>22350</v>
      </c>
      <c r="E52" s="3231">
        <v>22920</v>
      </c>
      <c r="F52" s="3231"/>
      <c r="G52" s="3244">
        <v>15640</v>
      </c>
      <c r="N52" s="3231" t="s">
        <v>3063</v>
      </c>
    </row>
    <row r="53" spans="1:17" ht="14.25" customHeight="1">
      <c r="A53" s="3231" t="s">
        <v>296</v>
      </c>
      <c r="B53" s="3232" t="s">
        <v>2946</v>
      </c>
      <c r="C53" s="3231">
        <v>23580</v>
      </c>
      <c r="D53" s="3231"/>
      <c r="E53" s="3231">
        <v>24280</v>
      </c>
      <c r="F53" s="3231"/>
      <c r="G53" s="3244"/>
      <c r="N53" s="3231" t="s">
        <v>3064</v>
      </c>
    </row>
    <row r="54" spans="1:17" ht="14.25" customHeight="1" thickBot="1">
      <c r="A54" s="3245" t="s">
        <v>296</v>
      </c>
      <c r="B54" s="3237" t="s">
        <v>2949</v>
      </c>
      <c r="C54" s="3238">
        <v>22460</v>
      </c>
      <c r="D54" s="3238"/>
      <c r="E54" s="3238"/>
      <c r="F54" s="3238"/>
      <c r="G54" s="3246"/>
      <c r="N54" s="3231" t="s">
        <v>3065</v>
      </c>
    </row>
    <row r="55" spans="1:17" ht="14.25" customHeight="1">
      <c r="A55" s="3236" t="s">
        <v>110</v>
      </c>
      <c r="B55" s="3227" t="s">
        <v>3066</v>
      </c>
      <c r="C55" s="3231">
        <v>21970</v>
      </c>
      <c r="D55" s="3231">
        <v>20370</v>
      </c>
      <c r="E55" s="3231">
        <v>20180</v>
      </c>
      <c r="F55" s="3231">
        <v>5730</v>
      </c>
      <c r="G55" s="3231">
        <v>13820</v>
      </c>
      <c r="N55" s="3231" t="s">
        <v>3067</v>
      </c>
    </row>
    <row r="56" spans="1:17" ht="14.25" customHeight="1">
      <c r="A56" s="3231" t="s">
        <v>110</v>
      </c>
      <c r="B56" s="3231" t="s">
        <v>130</v>
      </c>
      <c r="C56" s="3231">
        <v>20470</v>
      </c>
      <c r="D56" s="3231">
        <v>20700</v>
      </c>
      <c r="E56" s="3231">
        <v>20380</v>
      </c>
      <c r="F56" s="3231">
        <v>4760</v>
      </c>
      <c r="G56" s="3231">
        <v>14050</v>
      </c>
      <c r="N56" s="3231" t="s">
        <v>3068</v>
      </c>
    </row>
    <row r="57" spans="1:17" ht="14.25" customHeight="1">
      <c r="A57" s="3231" t="s">
        <v>110</v>
      </c>
      <c r="B57" s="3231" t="s">
        <v>139</v>
      </c>
      <c r="C57" s="3231">
        <v>20790</v>
      </c>
      <c r="D57" s="3231">
        <v>21370</v>
      </c>
      <c r="E57" s="3231">
        <v>20890</v>
      </c>
      <c r="F57" s="3231">
        <v>4910</v>
      </c>
      <c r="G57" s="3231">
        <v>14510</v>
      </c>
      <c r="N57" s="3231" t="s">
        <v>3069</v>
      </c>
    </row>
    <row r="58" spans="1:17" ht="14.25" customHeight="1">
      <c r="A58" s="3231" t="s">
        <v>110</v>
      </c>
      <c r="B58" s="3231" t="s">
        <v>148</v>
      </c>
      <c r="C58" s="3231">
        <v>21460</v>
      </c>
      <c r="D58" s="3231">
        <v>20920</v>
      </c>
      <c r="E58" s="3231">
        <v>23410</v>
      </c>
      <c r="F58" s="3231">
        <v>5100</v>
      </c>
      <c r="G58" s="3231">
        <v>14200</v>
      </c>
      <c r="N58" s="3231" t="s">
        <v>3070</v>
      </c>
    </row>
    <row r="59" spans="1:17" ht="14.25" customHeight="1">
      <c r="A59" s="3231" t="s">
        <v>110</v>
      </c>
      <c r="B59" s="3231" t="s">
        <v>157</v>
      </c>
      <c r="C59" s="3231">
        <v>21000</v>
      </c>
      <c r="D59" s="3231">
        <v>21550</v>
      </c>
      <c r="E59" s="3231">
        <v>21150</v>
      </c>
      <c r="F59" s="3231">
        <v>5250</v>
      </c>
      <c r="G59" s="3231">
        <v>14630</v>
      </c>
      <c r="N59" s="3231" t="s">
        <v>3071</v>
      </c>
    </row>
    <row r="60" spans="1:17" ht="14.25" customHeight="1">
      <c r="A60" s="3231" t="s">
        <v>110</v>
      </c>
      <c r="B60" s="3231" t="s">
        <v>164</v>
      </c>
      <c r="C60" s="3231">
        <v>21640</v>
      </c>
      <c r="D60" s="3231">
        <v>21260</v>
      </c>
      <c r="E60" s="3231">
        <v>24040</v>
      </c>
      <c r="F60" s="3231">
        <v>4470</v>
      </c>
      <c r="G60" s="3231">
        <v>14430</v>
      </c>
      <c r="N60" s="3231" t="s">
        <v>3072</v>
      </c>
    </row>
    <row r="61" spans="1:17" ht="14.25" customHeight="1">
      <c r="A61" s="3231" t="s">
        <v>110</v>
      </c>
      <c r="B61" s="3231" t="s">
        <v>170</v>
      </c>
      <c r="C61" s="3231">
        <v>21330</v>
      </c>
      <c r="D61" s="3231">
        <v>18640</v>
      </c>
      <c r="E61" s="3231">
        <v>21190</v>
      </c>
      <c r="F61" s="3231">
        <v>4180</v>
      </c>
      <c r="G61" s="3231">
        <v>12650</v>
      </c>
      <c r="N61" s="3231" t="s">
        <v>3073</v>
      </c>
    </row>
    <row r="62" spans="1:17" ht="14.25" customHeight="1">
      <c r="A62" s="3231" t="s">
        <v>110</v>
      </c>
      <c r="B62" s="3231" t="s">
        <v>177</v>
      </c>
      <c r="C62" s="3231">
        <v>18710</v>
      </c>
      <c r="D62" s="3231">
        <v>19400</v>
      </c>
      <c r="E62" s="3231">
        <v>23750</v>
      </c>
      <c r="F62" s="3231">
        <v>4860</v>
      </c>
      <c r="G62" s="3231">
        <v>13170</v>
      </c>
      <c r="N62" s="3231" t="s">
        <v>3074</v>
      </c>
    </row>
    <row r="63" spans="1:17" ht="14.25" customHeight="1">
      <c r="A63" s="3231" t="s">
        <v>110</v>
      </c>
      <c r="B63" s="3231" t="s">
        <v>187</v>
      </c>
      <c r="C63" s="3231">
        <v>19480</v>
      </c>
      <c r="D63" s="3231">
        <v>16830</v>
      </c>
      <c r="E63" s="3231">
        <v>21590</v>
      </c>
      <c r="F63" s="3231">
        <v>4560</v>
      </c>
      <c r="G63" s="3231">
        <v>11420</v>
      </c>
      <c r="N63" s="3231" t="s">
        <v>3075</v>
      </c>
    </row>
    <row r="64" spans="1:17" ht="14.25" customHeight="1" thickBot="1">
      <c r="A64" s="3231" t="s">
        <v>110</v>
      </c>
      <c r="B64" s="3231" t="s">
        <v>196</v>
      </c>
      <c r="C64" s="3231">
        <v>16920</v>
      </c>
      <c r="D64" s="3231">
        <v>19190</v>
      </c>
      <c r="E64" s="3231">
        <v>22200</v>
      </c>
      <c r="F64" s="3231">
        <v>4390</v>
      </c>
      <c r="G64" s="3231">
        <v>13030</v>
      </c>
      <c r="N64" s="3238" t="s">
        <v>3076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2947</v>
      </c>
      <c r="C78" s="3231">
        <v>19820</v>
      </c>
      <c r="D78" s="3231">
        <v>19780</v>
      </c>
      <c r="E78" s="3231">
        <v>18560</v>
      </c>
      <c r="F78" s="3231"/>
      <c r="G78" s="3231">
        <v>13430</v>
      </c>
    </row>
    <row r="79" spans="1:7" s="3220" customFormat="1" ht="14.25" customHeight="1">
      <c r="A79" s="3231" t="s">
        <v>110</v>
      </c>
      <c r="B79" s="3231" t="s">
        <v>2950</v>
      </c>
      <c r="C79" s="3231">
        <v>21660</v>
      </c>
      <c r="D79" s="3231">
        <v>18000</v>
      </c>
      <c r="E79" s="3231">
        <v>22570</v>
      </c>
      <c r="F79" s="3231"/>
      <c r="G79" s="3231">
        <v>12220</v>
      </c>
    </row>
    <row r="80" spans="1:7" s="3220" customFormat="1" ht="14.25" customHeight="1">
      <c r="A80" s="3231" t="s">
        <v>110</v>
      </c>
      <c r="B80" s="3231" t="s">
        <v>2954</v>
      </c>
      <c r="C80" s="3231">
        <v>19850</v>
      </c>
      <c r="D80" s="3231"/>
      <c r="E80" s="3231">
        <v>21700</v>
      </c>
      <c r="F80" s="3231"/>
      <c r="G80" s="3231"/>
    </row>
    <row r="81" spans="1:7" s="3220" customFormat="1" ht="14.25" customHeight="1">
      <c r="A81" s="3231" t="s">
        <v>110</v>
      </c>
      <c r="B81" s="3231" t="s">
        <v>2959</v>
      </c>
      <c r="C81" s="3231">
        <v>18080</v>
      </c>
      <c r="D81" s="3231"/>
      <c r="E81" s="3231">
        <v>20900</v>
      </c>
      <c r="F81" s="3231"/>
      <c r="G81" s="3231"/>
    </row>
    <row r="82" spans="1:7" s="3220" customFormat="1" ht="14.25" customHeight="1">
      <c r="A82" s="3231" t="s">
        <v>110</v>
      </c>
      <c r="B82" s="3231" t="s">
        <v>2966</v>
      </c>
      <c r="C82" s="3231"/>
      <c r="D82" s="3231"/>
      <c r="E82" s="3231">
        <v>20840</v>
      </c>
      <c r="F82" s="3231"/>
      <c r="G82" s="3231"/>
    </row>
    <row r="83" spans="1:7" s="3220" customFormat="1" ht="14.25" customHeight="1">
      <c r="A83" s="3231" t="s">
        <v>110</v>
      </c>
      <c r="B83" s="3231" t="s">
        <v>3077</v>
      </c>
      <c r="C83" s="3231"/>
      <c r="D83" s="3231"/>
      <c r="E83" s="3231"/>
      <c r="F83" s="3231">
        <v>4770</v>
      </c>
      <c r="G83" s="3231"/>
    </row>
    <row r="84" spans="1:7" s="3220" customFormat="1" ht="14.25" customHeight="1">
      <c r="A84" s="3231" t="s">
        <v>110</v>
      </c>
      <c r="B84" s="3231" t="s">
        <v>3078</v>
      </c>
      <c r="C84" s="3231"/>
      <c r="D84" s="3231"/>
      <c r="E84" s="3231"/>
      <c r="F84" s="3231">
        <v>4600</v>
      </c>
      <c r="G84" s="3231"/>
    </row>
    <row r="85" spans="1:7" s="3220" customFormat="1" ht="14.25" customHeight="1">
      <c r="A85" s="3231" t="s">
        <v>110</v>
      </c>
      <c r="B85" s="3231" t="s">
        <v>3079</v>
      </c>
      <c r="C85" s="3231"/>
      <c r="D85" s="3231"/>
      <c r="E85" s="3231"/>
      <c r="F85" s="3231">
        <v>4680</v>
      </c>
      <c r="G85" s="3231"/>
    </row>
    <row r="86" spans="1:7" s="3220" customFormat="1" ht="14.25" customHeight="1" thickBot="1">
      <c r="A86" s="3239" t="s">
        <v>110</v>
      </c>
      <c r="B86" s="3241" t="s">
        <v>3080</v>
      </c>
      <c r="C86" s="3242">
        <v>16610</v>
      </c>
      <c r="D86" s="3242">
        <v>16540</v>
      </c>
      <c r="E86" s="3242">
        <v>18850</v>
      </c>
      <c r="F86" s="3242"/>
      <c r="G86" s="3242">
        <v>11220</v>
      </c>
    </row>
    <row r="87" spans="1:7" s="3220" customFormat="1" ht="14.25" customHeight="1">
      <c r="A87" s="3236" t="s">
        <v>303</v>
      </c>
      <c r="B87" s="3227" t="s">
        <v>3081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2960</v>
      </c>
      <c r="C113" s="3231">
        <v>15520</v>
      </c>
      <c r="D113" s="3231">
        <v>15450</v>
      </c>
      <c r="E113" s="3231"/>
      <c r="F113" s="3231"/>
      <c r="G113" s="3244">
        <v>10210</v>
      </c>
    </row>
    <row r="114" spans="1:7" s="3220" customFormat="1" ht="14.25" customHeight="1">
      <c r="A114" s="3231" t="s">
        <v>303</v>
      </c>
      <c r="B114" s="3231" t="s">
        <v>2967</v>
      </c>
      <c r="C114" s="3231">
        <v>13110</v>
      </c>
      <c r="D114" s="3231">
        <v>13050</v>
      </c>
      <c r="E114" s="3231"/>
      <c r="F114" s="3231"/>
      <c r="G114" s="3244">
        <v>8620</v>
      </c>
    </row>
    <row r="115" spans="1:7" s="3220" customFormat="1" ht="14.25" customHeight="1">
      <c r="A115" s="3231" t="s">
        <v>303</v>
      </c>
      <c r="B115" s="3231" t="s">
        <v>2973</v>
      </c>
      <c r="C115" s="3231">
        <v>12460</v>
      </c>
      <c r="D115" s="3231">
        <v>12390</v>
      </c>
      <c r="E115" s="3231"/>
      <c r="F115" s="3231"/>
      <c r="G115" s="3244">
        <v>8190</v>
      </c>
    </row>
    <row r="116" spans="1:7" s="3220" customFormat="1" ht="14.25" customHeight="1">
      <c r="A116" s="3231" t="s">
        <v>303</v>
      </c>
      <c r="B116" s="3231" t="s">
        <v>2980</v>
      </c>
      <c r="C116" s="3231">
        <v>13580</v>
      </c>
      <c r="D116" s="3231">
        <v>13520</v>
      </c>
      <c r="E116" s="3231"/>
      <c r="F116" s="3231"/>
      <c r="G116" s="3244">
        <v>8930</v>
      </c>
    </row>
    <row r="117" spans="1:7" s="3220" customFormat="1" ht="14.25" customHeight="1">
      <c r="A117" s="3231" t="s">
        <v>303</v>
      </c>
      <c r="B117" s="3231" t="s">
        <v>2987</v>
      </c>
      <c r="C117" s="3231">
        <v>17120</v>
      </c>
      <c r="D117" s="3231">
        <v>17040</v>
      </c>
      <c r="E117" s="3231"/>
      <c r="F117" s="3231"/>
      <c r="G117" s="3244">
        <v>11260</v>
      </c>
    </row>
    <row r="118" spans="1:7" s="3220" customFormat="1" ht="14.25" customHeight="1">
      <c r="A118" s="3231" t="s">
        <v>303</v>
      </c>
      <c r="B118" s="3231" t="s">
        <v>2992</v>
      </c>
      <c r="C118" s="3231">
        <v>14860</v>
      </c>
      <c r="D118" s="3231">
        <v>14790</v>
      </c>
      <c r="E118" s="3231"/>
      <c r="F118" s="3231"/>
      <c r="G118" s="3244">
        <v>9780</v>
      </c>
    </row>
    <row r="119" spans="1:7" s="3220" customFormat="1" ht="14.25" customHeight="1">
      <c r="A119" s="3231" t="s">
        <v>303</v>
      </c>
      <c r="B119" s="3231" t="s">
        <v>2996</v>
      </c>
      <c r="C119" s="3231">
        <v>16470</v>
      </c>
      <c r="D119" s="3231">
        <v>16400</v>
      </c>
      <c r="E119" s="3231"/>
      <c r="F119" s="3231"/>
      <c r="G119" s="3244">
        <v>10840</v>
      </c>
    </row>
    <row r="120" spans="1:7" s="3220" customFormat="1" ht="14.25" customHeight="1">
      <c r="A120" s="3231" t="s">
        <v>303</v>
      </c>
      <c r="B120" s="3231" t="s">
        <v>3082</v>
      </c>
      <c r="C120" s="3231"/>
      <c r="D120" s="3231"/>
      <c r="E120" s="3231"/>
      <c r="F120" s="3231">
        <v>4160</v>
      </c>
      <c r="G120" s="3244"/>
    </row>
    <row r="121" spans="1:7" s="3220" customFormat="1" ht="14.25" customHeight="1">
      <c r="A121" s="3231" t="s">
        <v>303</v>
      </c>
      <c r="B121" s="3231" t="s">
        <v>3083</v>
      </c>
      <c r="C121" s="3231"/>
      <c r="D121" s="3231"/>
      <c r="E121" s="3231"/>
      <c r="F121" s="3231">
        <v>3880</v>
      </c>
      <c r="G121" s="3244"/>
    </row>
    <row r="122" spans="1:7" s="3220" customFormat="1" ht="14.25" customHeight="1">
      <c r="A122" s="3231" t="s">
        <v>303</v>
      </c>
      <c r="B122" s="3231" t="s">
        <v>3084</v>
      </c>
      <c r="C122" s="3231">
        <v>13750</v>
      </c>
      <c r="D122" s="3231">
        <v>13680</v>
      </c>
      <c r="E122" s="3231">
        <v>16460</v>
      </c>
      <c r="F122" s="3231">
        <v>2880</v>
      </c>
      <c r="G122" s="3244">
        <v>9040</v>
      </c>
    </row>
    <row r="123" spans="1:7" s="3220" customFormat="1" ht="14.25" customHeight="1">
      <c r="A123" s="3231" t="s">
        <v>303</v>
      </c>
      <c r="B123" s="3231" t="s">
        <v>3015</v>
      </c>
      <c r="C123" s="3231">
        <v>13590</v>
      </c>
      <c r="D123" s="3231">
        <v>13520</v>
      </c>
      <c r="E123" s="3231">
        <v>16290</v>
      </c>
      <c r="F123" s="3231">
        <v>2790</v>
      </c>
      <c r="G123" s="3244">
        <v>8930</v>
      </c>
    </row>
    <row r="124" spans="1:7" s="3220" customFormat="1" ht="14.25" customHeight="1">
      <c r="A124" s="3231" t="s">
        <v>303</v>
      </c>
      <c r="B124" s="3231" t="s">
        <v>3020</v>
      </c>
      <c r="C124" s="3231">
        <v>13400</v>
      </c>
      <c r="D124" s="3231">
        <v>13320</v>
      </c>
      <c r="E124" s="3231">
        <v>16100</v>
      </c>
      <c r="F124" s="3231">
        <v>2320</v>
      </c>
      <c r="G124" s="3244">
        <v>8800</v>
      </c>
    </row>
    <row r="125" spans="1:7" s="3220" customFormat="1" ht="14.25" customHeight="1">
      <c r="A125" s="3231" t="s">
        <v>303</v>
      </c>
      <c r="B125" s="3231" t="s">
        <v>3025</v>
      </c>
      <c r="C125" s="3231">
        <v>12860</v>
      </c>
      <c r="D125" s="3231">
        <v>12790</v>
      </c>
      <c r="E125" s="3231">
        <v>15370</v>
      </c>
      <c r="F125" s="3231">
        <v>2280</v>
      </c>
      <c r="G125" s="3244">
        <v>8450</v>
      </c>
    </row>
    <row r="126" spans="1:7" s="3220" customFormat="1" ht="14.25" customHeight="1" thickBot="1">
      <c r="A126" s="3245" t="s">
        <v>303</v>
      </c>
      <c r="B126" s="3238" t="s">
        <v>3030</v>
      </c>
      <c r="C126" s="3238">
        <v>12960</v>
      </c>
      <c r="D126" s="3238">
        <v>12890</v>
      </c>
      <c r="E126" s="3238">
        <v>15530</v>
      </c>
      <c r="F126" s="3238">
        <v>2910</v>
      </c>
      <c r="G126" s="3246">
        <v>8520</v>
      </c>
    </row>
    <row r="127" spans="1:7" s="3220" customFormat="1" ht="14.25" customHeight="1">
      <c r="A127" s="3236" t="s">
        <v>29</v>
      </c>
      <c r="B127" s="3227" t="s">
        <v>3085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3086</v>
      </c>
      <c r="C148" s="3231">
        <v>10370</v>
      </c>
      <c r="D148" s="3231">
        <v>10310</v>
      </c>
      <c r="E148" s="3231">
        <v>12970</v>
      </c>
      <c r="F148" s="3231"/>
      <c r="G148" s="3231">
        <v>6630</v>
      </c>
    </row>
    <row r="149" spans="1:7" s="3220" customFormat="1" ht="14.25" customHeight="1">
      <c r="A149" s="3231" t="s">
        <v>29</v>
      </c>
      <c r="B149" s="3231" t="s">
        <v>3087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2961</v>
      </c>
      <c r="C153" s="3231">
        <v>10880</v>
      </c>
      <c r="D153" s="3231">
        <v>10820</v>
      </c>
      <c r="E153" s="3231">
        <v>13660</v>
      </c>
      <c r="F153" s="3231">
        <v>2260</v>
      </c>
      <c r="G153" s="3231">
        <v>6970</v>
      </c>
    </row>
    <row r="154" spans="1:7" s="3220" customFormat="1" ht="14.25" customHeight="1">
      <c r="A154" s="3231" t="s">
        <v>29</v>
      </c>
      <c r="B154" s="3231" t="s">
        <v>3088</v>
      </c>
      <c r="C154" s="3231">
        <v>11220</v>
      </c>
      <c r="D154" s="3231">
        <v>11160</v>
      </c>
      <c r="E154" s="3231">
        <v>14130</v>
      </c>
      <c r="F154" s="3231">
        <v>2230</v>
      </c>
      <c r="G154" s="3231">
        <v>7180</v>
      </c>
    </row>
    <row r="155" spans="1:7" s="3220" customFormat="1" ht="14.25" customHeight="1">
      <c r="A155" s="3231" t="s">
        <v>29</v>
      </c>
      <c r="B155" s="3231" t="s">
        <v>2974</v>
      </c>
      <c r="C155" s="3231">
        <v>10430</v>
      </c>
      <c r="D155" s="3231">
        <v>10380</v>
      </c>
      <c r="E155" s="3231">
        <v>13140</v>
      </c>
      <c r="F155" s="3231">
        <v>2080</v>
      </c>
      <c r="G155" s="3231">
        <v>6650</v>
      </c>
    </row>
    <row r="156" spans="1:7" s="3220" customFormat="1" ht="14.25" customHeight="1">
      <c r="A156" s="3231" t="s">
        <v>29</v>
      </c>
      <c r="B156" s="3231" t="s">
        <v>3089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3090</v>
      </c>
      <c r="C160" s="3231">
        <v>11180</v>
      </c>
      <c r="D160" s="3231">
        <v>11140</v>
      </c>
      <c r="E160" s="3231">
        <v>14050</v>
      </c>
      <c r="F160" s="3231">
        <v>2270</v>
      </c>
      <c r="G160" s="3231">
        <v>7170</v>
      </c>
    </row>
    <row r="161" spans="1:7" s="3220" customFormat="1" ht="14.25" customHeight="1">
      <c r="A161" s="3231" t="s">
        <v>29</v>
      </c>
      <c r="B161" s="3231" t="s">
        <v>3006</v>
      </c>
      <c r="C161" s="3231">
        <v>11160</v>
      </c>
      <c r="D161" s="3231">
        <v>11120</v>
      </c>
      <c r="E161" s="3231">
        <v>14020</v>
      </c>
      <c r="F161" s="3231">
        <v>2150</v>
      </c>
      <c r="G161" s="3231">
        <v>7160</v>
      </c>
    </row>
    <row r="162" spans="1:7" s="3220" customFormat="1" ht="14.25" customHeight="1">
      <c r="A162" s="3231" t="s">
        <v>29</v>
      </c>
      <c r="B162" s="3231" t="s">
        <v>3011</v>
      </c>
      <c r="C162" s="3231">
        <v>9620</v>
      </c>
      <c r="D162" s="3231">
        <v>9570</v>
      </c>
      <c r="E162" s="3231">
        <v>12320</v>
      </c>
      <c r="F162" s="3231">
        <v>2010</v>
      </c>
      <c r="G162" s="3231">
        <v>6160</v>
      </c>
    </row>
    <row r="163" spans="1:7" s="3220" customFormat="1" ht="14.25" customHeight="1">
      <c r="A163" s="3231" t="s">
        <v>29</v>
      </c>
      <c r="B163" s="3231" t="s">
        <v>3016</v>
      </c>
      <c r="C163" s="3231">
        <v>9320</v>
      </c>
      <c r="D163" s="3231">
        <v>9270</v>
      </c>
      <c r="E163" s="3231">
        <v>11790</v>
      </c>
      <c r="F163" s="3231">
        <v>1920</v>
      </c>
      <c r="G163" s="3231">
        <v>5960</v>
      </c>
    </row>
    <row r="164" spans="1:7" s="3220" customFormat="1" ht="14.25" customHeight="1">
      <c r="A164" s="3231" t="s">
        <v>29</v>
      </c>
      <c r="B164" s="3231" t="s">
        <v>3021</v>
      </c>
      <c r="C164" s="3231"/>
      <c r="D164" s="3231"/>
      <c r="E164" s="3231"/>
      <c r="F164" s="3231">
        <v>1980</v>
      </c>
      <c r="G164" s="3231"/>
    </row>
    <row r="165" spans="1:7" s="3220" customFormat="1" ht="14.25" customHeight="1">
      <c r="A165" s="3231" t="s">
        <v>29</v>
      </c>
      <c r="B165" s="3231" t="s">
        <v>3091</v>
      </c>
      <c r="C165" s="3231">
        <v>11060</v>
      </c>
      <c r="D165" s="3231">
        <v>11030</v>
      </c>
      <c r="E165" s="3231">
        <v>13850</v>
      </c>
      <c r="F165" s="3231">
        <v>2170</v>
      </c>
      <c r="G165" s="3231">
        <v>7090</v>
      </c>
    </row>
    <row r="166" spans="1:7" s="3220" customFormat="1" ht="14.25" customHeight="1">
      <c r="A166" s="3231" t="s">
        <v>29</v>
      </c>
      <c r="B166" s="3231" t="s">
        <v>3031</v>
      </c>
      <c r="C166" s="3231">
        <v>11050</v>
      </c>
      <c r="D166" s="3231">
        <v>11010</v>
      </c>
      <c r="E166" s="3231">
        <v>13920</v>
      </c>
      <c r="F166" s="3231">
        <v>2140</v>
      </c>
      <c r="G166" s="3231">
        <v>7080</v>
      </c>
    </row>
    <row r="167" spans="1:7" s="3220" customFormat="1" ht="14.25" customHeight="1">
      <c r="A167" s="3231" t="s">
        <v>29</v>
      </c>
      <c r="B167" s="3231" t="s">
        <v>3035</v>
      </c>
      <c r="C167" s="3231">
        <v>10930</v>
      </c>
      <c r="D167" s="3231">
        <v>10890</v>
      </c>
      <c r="E167" s="3231">
        <v>13790</v>
      </c>
      <c r="F167" s="3231">
        <v>2010</v>
      </c>
      <c r="G167" s="3231">
        <v>7000</v>
      </c>
    </row>
    <row r="168" spans="1:7" s="3220" customFormat="1" ht="14.25" customHeight="1">
      <c r="A168" s="3231" t="s">
        <v>29</v>
      </c>
      <c r="B168" s="3231" t="s">
        <v>3040</v>
      </c>
      <c r="C168" s="3231">
        <v>9420</v>
      </c>
      <c r="D168" s="3231">
        <v>9380</v>
      </c>
      <c r="E168" s="3231">
        <v>11970</v>
      </c>
      <c r="F168" s="3231"/>
      <c r="G168" s="3231">
        <v>6040</v>
      </c>
    </row>
    <row r="169" spans="1:7" s="3220" customFormat="1" ht="14.25" customHeight="1">
      <c r="A169" s="3231" t="s">
        <v>29</v>
      </c>
      <c r="B169" s="3231" t="s">
        <v>3092</v>
      </c>
      <c r="C169" s="3231"/>
      <c r="D169" s="3231"/>
      <c r="E169" s="3231"/>
      <c r="F169" s="3231">
        <v>2880</v>
      </c>
      <c r="G169" s="3231"/>
    </row>
    <row r="170" spans="1:7" s="3220" customFormat="1" ht="14.25" customHeight="1">
      <c r="A170" s="3231" t="s">
        <v>29</v>
      </c>
      <c r="B170" s="3231" t="s">
        <v>3048</v>
      </c>
      <c r="C170" s="3231"/>
      <c r="D170" s="3231"/>
      <c r="E170" s="3231"/>
      <c r="F170" s="3231">
        <v>2880</v>
      </c>
      <c r="G170" s="3231"/>
    </row>
    <row r="171" spans="1:7" s="3220" customFormat="1" ht="14.25" customHeight="1">
      <c r="A171" s="3231" t="s">
        <v>29</v>
      </c>
      <c r="B171" s="3231" t="s">
        <v>3051</v>
      </c>
      <c r="C171" s="3231"/>
      <c r="D171" s="3231"/>
      <c r="E171" s="3231"/>
      <c r="F171" s="3231">
        <v>2880</v>
      </c>
      <c r="G171" s="3231"/>
    </row>
    <row r="172" spans="1:7" s="3220" customFormat="1" ht="14.25" customHeight="1">
      <c r="A172" s="3231" t="s">
        <v>29</v>
      </c>
      <c r="B172" s="3231" t="s">
        <v>3053</v>
      </c>
      <c r="C172" s="3231"/>
      <c r="D172" s="3231"/>
      <c r="E172" s="3231"/>
      <c r="F172" s="3231">
        <v>2880</v>
      </c>
      <c r="G172" s="3231"/>
    </row>
    <row r="173" spans="1:7" s="3220" customFormat="1" ht="14.25" customHeight="1">
      <c r="A173" s="3231" t="s">
        <v>29</v>
      </c>
      <c r="B173" s="3231" t="s">
        <v>3055</v>
      </c>
      <c r="C173" s="3231"/>
      <c r="D173" s="3231"/>
      <c r="E173" s="3231"/>
      <c r="F173" s="3231">
        <v>2150</v>
      </c>
      <c r="G173" s="3231"/>
    </row>
    <row r="174" spans="1:7" s="3220" customFormat="1" ht="14.25" customHeight="1">
      <c r="A174" s="3231" t="s">
        <v>29</v>
      </c>
      <c r="B174" s="3231" t="s">
        <v>3057</v>
      </c>
      <c r="C174" s="3231"/>
      <c r="D174" s="3231"/>
      <c r="E174" s="3231"/>
      <c r="F174" s="3231">
        <v>2030</v>
      </c>
      <c r="G174" s="3231"/>
    </row>
    <row r="175" spans="1:7" s="3220" customFormat="1" ht="14.25" customHeight="1">
      <c r="A175" s="3231" t="s">
        <v>29</v>
      </c>
      <c r="B175" s="3231" t="s">
        <v>3059</v>
      </c>
      <c r="C175" s="3231"/>
      <c r="D175" s="3231"/>
      <c r="E175" s="3231"/>
      <c r="F175" s="3231">
        <v>2780</v>
      </c>
      <c r="G175" s="3231"/>
    </row>
    <row r="176" spans="1:7" s="3220" customFormat="1" ht="14.25" customHeight="1">
      <c r="A176" s="3231" t="s">
        <v>29</v>
      </c>
      <c r="B176" s="3231" t="s">
        <v>3061</v>
      </c>
      <c r="C176" s="3231"/>
      <c r="D176" s="3231"/>
      <c r="E176" s="3231"/>
      <c r="F176" s="3231">
        <v>2780</v>
      </c>
      <c r="G176" s="3231"/>
    </row>
    <row r="177" spans="1:7" s="3220" customFormat="1" ht="14.25" customHeight="1">
      <c r="A177" s="3231" t="s">
        <v>29</v>
      </c>
      <c r="B177" s="3231" t="s">
        <v>3093</v>
      </c>
      <c r="C177" s="3231"/>
      <c r="D177" s="3231"/>
      <c r="E177" s="3231"/>
      <c r="F177" s="3231">
        <v>2780</v>
      </c>
      <c r="G177" s="3231"/>
    </row>
    <row r="178" spans="1:7" s="3220" customFormat="1" ht="14.25" customHeight="1">
      <c r="A178" s="3231" t="s">
        <v>29</v>
      </c>
      <c r="B178" s="3231" t="s">
        <v>3094</v>
      </c>
      <c r="C178" s="3231"/>
      <c r="D178" s="3231"/>
      <c r="E178" s="3231"/>
      <c r="F178" s="3231">
        <v>2060</v>
      </c>
      <c r="G178" s="3231"/>
    </row>
    <row r="179" spans="1:7" s="3220" customFormat="1" ht="14.25" customHeight="1">
      <c r="A179" s="3231" t="s">
        <v>29</v>
      </c>
      <c r="B179" s="3231" t="s">
        <v>3095</v>
      </c>
      <c r="C179" s="3231"/>
      <c r="D179" s="3231"/>
      <c r="E179" s="3231"/>
      <c r="F179" s="3231">
        <v>2120</v>
      </c>
      <c r="G179" s="3231"/>
    </row>
    <row r="180" spans="1:7" s="3220" customFormat="1" ht="14.25" customHeight="1">
      <c r="A180" s="3231" t="s">
        <v>29</v>
      </c>
      <c r="B180" s="3231" t="s">
        <v>3067</v>
      </c>
      <c r="C180" s="3231"/>
      <c r="D180" s="3231"/>
      <c r="E180" s="3231"/>
      <c r="F180" s="3231">
        <v>2340</v>
      </c>
      <c r="G180" s="3231"/>
    </row>
    <row r="181" spans="1:7" s="3220" customFormat="1" ht="14.25" customHeight="1">
      <c r="A181" s="3231" t="s">
        <v>29</v>
      </c>
      <c r="B181" s="3231" t="s">
        <v>3068</v>
      </c>
      <c r="C181" s="3231"/>
      <c r="D181" s="3231"/>
      <c r="E181" s="3231"/>
      <c r="F181" s="3231">
        <v>2340</v>
      </c>
      <c r="G181" s="3231"/>
    </row>
    <row r="182" spans="1:7" s="3220" customFormat="1" ht="14.25" customHeight="1">
      <c r="A182" s="3231" t="s">
        <v>29</v>
      </c>
      <c r="B182" s="3231" t="s">
        <v>3069</v>
      </c>
      <c r="C182" s="3231"/>
      <c r="D182" s="3231"/>
      <c r="E182" s="3231"/>
      <c r="F182" s="3231">
        <v>2340</v>
      </c>
      <c r="G182" s="3231"/>
    </row>
    <row r="183" spans="1:7" s="3220" customFormat="1" ht="14.25" customHeight="1">
      <c r="A183" s="3231" t="s">
        <v>29</v>
      </c>
      <c r="B183" s="3231" t="s">
        <v>3070</v>
      </c>
      <c r="C183" s="3231"/>
      <c r="D183" s="3231"/>
      <c r="E183" s="3231"/>
      <c r="F183" s="3231">
        <v>2340</v>
      </c>
      <c r="G183" s="3231"/>
    </row>
    <row r="184" spans="1:7" s="3220" customFormat="1" ht="14.25" customHeight="1">
      <c r="A184" s="3231" t="s">
        <v>29</v>
      </c>
      <c r="B184" s="3231" t="s">
        <v>3071</v>
      </c>
      <c r="C184" s="3231"/>
      <c r="D184" s="3231"/>
      <c r="E184" s="3231"/>
      <c r="F184" s="3231">
        <v>2340</v>
      </c>
      <c r="G184" s="3231"/>
    </row>
    <row r="185" spans="1:7" s="3220" customFormat="1" ht="14.25" customHeight="1">
      <c r="A185" s="3231" t="s">
        <v>29</v>
      </c>
      <c r="B185" s="3231" t="s">
        <v>3072</v>
      </c>
      <c r="C185" s="3231"/>
      <c r="D185" s="3231"/>
      <c r="E185" s="3231"/>
      <c r="F185" s="3231">
        <v>2530</v>
      </c>
      <c r="G185" s="3231"/>
    </row>
    <row r="186" spans="1:7" s="3220" customFormat="1" ht="14.25" customHeight="1">
      <c r="A186" s="3231" t="s">
        <v>29</v>
      </c>
      <c r="B186" s="3231" t="s">
        <v>3073</v>
      </c>
      <c r="C186" s="3231"/>
      <c r="D186" s="3231"/>
      <c r="E186" s="3231"/>
      <c r="F186" s="3231">
        <v>2550</v>
      </c>
      <c r="G186" s="3231"/>
    </row>
    <row r="187" spans="1:7" s="3220" customFormat="1" ht="14.25" customHeight="1">
      <c r="A187" s="3231" t="s">
        <v>29</v>
      </c>
      <c r="B187" s="3231" t="s">
        <v>3074</v>
      </c>
      <c r="C187" s="3231"/>
      <c r="D187" s="3231"/>
      <c r="E187" s="3231"/>
      <c r="F187" s="3231">
        <v>2070</v>
      </c>
      <c r="G187" s="3231"/>
    </row>
    <row r="188" spans="1:7" s="3220" customFormat="1" ht="14.25" customHeight="1">
      <c r="A188" s="3231" t="s">
        <v>29</v>
      </c>
      <c r="B188" s="3231" t="s">
        <v>3075</v>
      </c>
      <c r="C188" s="3231"/>
      <c r="D188" s="3231"/>
      <c r="E188" s="3231"/>
      <c r="F188" s="3231">
        <v>2340</v>
      </c>
      <c r="G188" s="3231"/>
    </row>
    <row r="189" spans="1:7" s="3220" customFormat="1" ht="14.25" customHeight="1" thickBot="1">
      <c r="A189" s="3239" t="s">
        <v>29</v>
      </c>
      <c r="B189" s="3242" t="s">
        <v>3076</v>
      </c>
      <c r="C189" s="3242"/>
      <c r="D189" s="3242"/>
      <c r="E189" s="3242"/>
      <c r="F189" s="3242">
        <v>2050</v>
      </c>
      <c r="G189" s="3242"/>
    </row>
    <row r="190" spans="1:7" s="3220" customFormat="1" ht="14.25" customHeight="1">
      <c r="A190" s="3236" t="s">
        <v>304</v>
      </c>
      <c r="B190" s="3227" t="s">
        <v>3096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3097</v>
      </c>
      <c r="C199" s="3231">
        <v>8690</v>
      </c>
      <c r="D199" s="3231">
        <v>8630</v>
      </c>
      <c r="E199" s="3231">
        <v>11350</v>
      </c>
      <c r="F199" s="3231">
        <v>1600</v>
      </c>
      <c r="G199" s="3244">
        <v>5450</v>
      </c>
    </row>
    <row r="200" spans="1:7" s="3220" customFormat="1" ht="14.25" customHeight="1">
      <c r="A200" s="3231" t="s">
        <v>304</v>
      </c>
      <c r="B200" s="3231" t="s">
        <v>2908</v>
      </c>
      <c r="C200" s="3231"/>
      <c r="D200" s="3231"/>
      <c r="E200" s="3231"/>
      <c r="F200" s="3231">
        <v>1510</v>
      </c>
      <c r="G200" s="3244"/>
    </row>
    <row r="201" spans="1:7" s="3220" customFormat="1" ht="14.25" customHeight="1">
      <c r="A201" s="3231" t="s">
        <v>304</v>
      </c>
      <c r="B201" s="3231" t="s">
        <v>3098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3099</v>
      </c>
      <c r="C203" s="3231">
        <v>8130</v>
      </c>
      <c r="D203" s="3231">
        <v>8070</v>
      </c>
      <c r="E203" s="3231">
        <v>10820</v>
      </c>
      <c r="F203" s="3231">
        <v>1690</v>
      </c>
      <c r="G203" s="3244">
        <v>5100</v>
      </c>
    </row>
    <row r="204" spans="1:7" s="3220" customFormat="1" ht="14.25" customHeight="1">
      <c r="A204" s="3231" t="s">
        <v>304</v>
      </c>
      <c r="B204" s="3231" t="s">
        <v>2919</v>
      </c>
      <c r="C204" s="3231">
        <v>8350</v>
      </c>
      <c r="D204" s="3231">
        <v>8290</v>
      </c>
      <c r="E204" s="3231">
        <v>11080</v>
      </c>
      <c r="F204" s="3231">
        <v>1450</v>
      </c>
      <c r="G204" s="3244">
        <v>5240</v>
      </c>
    </row>
    <row r="205" spans="1:7" s="3220" customFormat="1" ht="14.25" customHeight="1">
      <c r="A205" s="3231" t="s">
        <v>304</v>
      </c>
      <c r="B205" s="3231" t="s">
        <v>2921</v>
      </c>
      <c r="C205" s="3231">
        <v>7190</v>
      </c>
      <c r="D205" s="3231">
        <v>7130</v>
      </c>
      <c r="E205" s="3231">
        <v>9490</v>
      </c>
      <c r="F205" s="3231">
        <v>1470</v>
      </c>
      <c r="G205" s="3244">
        <v>4510</v>
      </c>
    </row>
    <row r="206" spans="1:7" s="3220" customFormat="1" ht="14.25" customHeight="1">
      <c r="A206" s="3231" t="s">
        <v>304</v>
      </c>
      <c r="B206" s="3231" t="s">
        <v>2924</v>
      </c>
      <c r="C206" s="3231">
        <v>7000</v>
      </c>
      <c r="D206" s="3231">
        <v>6950</v>
      </c>
      <c r="E206" s="3231">
        <v>9170</v>
      </c>
      <c r="F206" s="3231">
        <v>1400</v>
      </c>
      <c r="G206" s="3244">
        <v>4380</v>
      </c>
    </row>
    <row r="207" spans="1:7" s="3220" customFormat="1" ht="14.25" customHeight="1">
      <c r="A207" s="3231" t="s">
        <v>304</v>
      </c>
      <c r="B207" s="3231" t="s">
        <v>2926</v>
      </c>
      <c r="C207" s="3231">
        <v>6950</v>
      </c>
      <c r="D207" s="3231">
        <v>6900</v>
      </c>
      <c r="E207" s="3231">
        <v>9110</v>
      </c>
      <c r="F207" s="3231">
        <v>1790</v>
      </c>
      <c r="G207" s="3244">
        <v>4360</v>
      </c>
    </row>
    <row r="208" spans="1:7" s="3220" customFormat="1" ht="14.25" customHeight="1">
      <c r="A208" s="3231" t="s">
        <v>304</v>
      </c>
      <c r="B208" s="3231" t="s">
        <v>3100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2936</v>
      </c>
      <c r="C210" s="3231">
        <v>8710</v>
      </c>
      <c r="D210" s="3231">
        <v>8660</v>
      </c>
      <c r="E210" s="3231">
        <v>11440</v>
      </c>
      <c r="F210" s="3231">
        <v>1740</v>
      </c>
      <c r="G210" s="3244">
        <v>5470</v>
      </c>
    </row>
    <row r="211" spans="1:7" s="3220" customFormat="1" ht="14.25" customHeight="1">
      <c r="A211" s="3231" t="s">
        <v>304</v>
      </c>
      <c r="B211" s="3231" t="s">
        <v>3101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3102</v>
      </c>
      <c r="C214" s="3231">
        <v>8090</v>
      </c>
      <c r="D214" s="3231">
        <v>8030</v>
      </c>
      <c r="E214" s="3231">
        <v>10780</v>
      </c>
      <c r="F214" s="3231">
        <v>1570</v>
      </c>
      <c r="G214" s="3244">
        <v>5070</v>
      </c>
    </row>
    <row r="215" spans="1:7" s="3220" customFormat="1" ht="14.25" customHeight="1">
      <c r="A215" s="3231" t="s">
        <v>304</v>
      </c>
      <c r="B215" s="3231" t="s">
        <v>3103</v>
      </c>
      <c r="C215" s="3231">
        <v>7950</v>
      </c>
      <c r="D215" s="3231">
        <v>7900</v>
      </c>
      <c r="E215" s="3231">
        <v>10560</v>
      </c>
      <c r="F215" s="3231">
        <v>1630</v>
      </c>
      <c r="G215" s="3244">
        <v>4990</v>
      </c>
    </row>
    <row r="216" spans="1:7" s="3220" customFormat="1" ht="14.25" customHeight="1">
      <c r="A216" s="3231" t="s">
        <v>304</v>
      </c>
      <c r="B216" s="3231" t="s">
        <v>3104</v>
      </c>
      <c r="C216" s="3231">
        <v>8490</v>
      </c>
      <c r="D216" s="3231">
        <v>8440</v>
      </c>
      <c r="E216" s="3231">
        <v>11260</v>
      </c>
      <c r="F216" s="3231">
        <v>1690</v>
      </c>
      <c r="G216" s="3244">
        <v>5330</v>
      </c>
    </row>
    <row r="217" spans="1:7" s="3220" customFormat="1" ht="14.25" customHeight="1">
      <c r="A217" s="3231" t="s">
        <v>304</v>
      </c>
      <c r="B217" s="3231" t="s">
        <v>2969</v>
      </c>
      <c r="C217" s="3231">
        <v>8200</v>
      </c>
      <c r="D217" s="3231">
        <v>8150</v>
      </c>
      <c r="E217" s="3231">
        <v>10910</v>
      </c>
      <c r="F217" s="3231">
        <v>1670</v>
      </c>
      <c r="G217" s="3244">
        <v>5150</v>
      </c>
    </row>
    <row r="218" spans="1:7" s="3220" customFormat="1" ht="14.25" customHeight="1">
      <c r="A218" s="3231" t="s">
        <v>304</v>
      </c>
      <c r="B218" s="3231" t="s">
        <v>3105</v>
      </c>
      <c r="C218" s="3231"/>
      <c r="D218" s="3231"/>
      <c r="E218" s="3231"/>
      <c r="F218" s="3231">
        <v>2040</v>
      </c>
      <c r="G218" s="3244"/>
    </row>
    <row r="219" spans="1:7" s="3220" customFormat="1" ht="14.25" customHeight="1">
      <c r="A219" s="3231" t="s">
        <v>304</v>
      </c>
      <c r="B219" s="3231" t="s">
        <v>3106</v>
      </c>
      <c r="C219" s="3231"/>
      <c r="D219" s="3231"/>
      <c r="E219" s="3231"/>
      <c r="F219" s="3231">
        <v>2040</v>
      </c>
      <c r="G219" s="3244"/>
    </row>
    <row r="220" spans="1:7" s="3220" customFormat="1" ht="14.25" customHeight="1">
      <c r="A220" s="3231" t="s">
        <v>304</v>
      </c>
      <c r="B220" s="3231" t="s">
        <v>3107</v>
      </c>
      <c r="C220" s="3231"/>
      <c r="D220" s="3231"/>
      <c r="E220" s="3231"/>
      <c r="F220" s="3231">
        <v>2040</v>
      </c>
      <c r="G220" s="3244"/>
    </row>
    <row r="221" spans="1:7" s="3220" customFormat="1" ht="14.25" customHeight="1">
      <c r="A221" s="3231" t="s">
        <v>304</v>
      </c>
      <c r="B221" s="3231" t="s">
        <v>3108</v>
      </c>
      <c r="C221" s="3231"/>
      <c r="D221" s="3231"/>
      <c r="E221" s="3231"/>
      <c r="F221" s="3231">
        <v>2040</v>
      </c>
      <c r="G221" s="3244"/>
    </row>
    <row r="222" spans="1:7" s="3220" customFormat="1" ht="14.25" customHeight="1">
      <c r="A222" s="3231" t="s">
        <v>304</v>
      </c>
      <c r="B222" s="3231" t="s">
        <v>3109</v>
      </c>
      <c r="C222" s="3231"/>
      <c r="D222" s="3231"/>
      <c r="E222" s="3231"/>
      <c r="F222" s="3231">
        <v>2040</v>
      </c>
      <c r="G222" s="3244"/>
    </row>
    <row r="223" spans="1:7" s="3220" customFormat="1" ht="14.25" customHeight="1">
      <c r="A223" s="3231" t="s">
        <v>304</v>
      </c>
      <c r="B223" s="3231" t="s">
        <v>3110</v>
      </c>
      <c r="C223" s="3231"/>
      <c r="D223" s="3231"/>
      <c r="E223" s="3231"/>
      <c r="F223" s="3231">
        <v>1930</v>
      </c>
      <c r="G223" s="3244"/>
    </row>
    <row r="224" spans="1:7" s="3220" customFormat="1" ht="14.25" customHeight="1">
      <c r="A224" s="3231" t="s">
        <v>304</v>
      </c>
      <c r="B224" s="3231" t="s">
        <v>3111</v>
      </c>
      <c r="C224" s="3231"/>
      <c r="D224" s="3231"/>
      <c r="E224" s="3231"/>
      <c r="F224" s="3231">
        <v>1930</v>
      </c>
      <c r="G224" s="3244"/>
    </row>
    <row r="225" spans="1:7" s="3220" customFormat="1" ht="14.25" customHeight="1">
      <c r="A225" s="3231" t="s">
        <v>304</v>
      </c>
      <c r="B225" s="3231" t="s">
        <v>3112</v>
      </c>
      <c r="C225" s="3231"/>
      <c r="D225" s="3231"/>
      <c r="E225" s="3231"/>
      <c r="F225" s="3231">
        <v>1930</v>
      </c>
      <c r="G225" s="3244"/>
    </row>
    <row r="226" spans="1:7" s="3220" customFormat="1" ht="14.25" customHeight="1">
      <c r="A226" s="3231" t="s">
        <v>304</v>
      </c>
      <c r="B226" s="3231" t="s">
        <v>3113</v>
      </c>
      <c r="C226" s="3231"/>
      <c r="D226" s="3231"/>
      <c r="E226" s="3231"/>
      <c r="F226" s="3231">
        <v>1700</v>
      </c>
      <c r="G226" s="3244"/>
    </row>
    <row r="227" spans="1:7" s="3220" customFormat="1" ht="14.25" customHeight="1">
      <c r="A227" s="3231" t="s">
        <v>304</v>
      </c>
      <c r="B227" s="3231" t="s">
        <v>3114</v>
      </c>
      <c r="C227" s="3231"/>
      <c r="D227" s="3231"/>
      <c r="E227" s="3231"/>
      <c r="F227" s="3231">
        <v>1520</v>
      </c>
      <c r="G227" s="3244"/>
    </row>
    <row r="228" spans="1:7" s="3220" customFormat="1" ht="14.25" customHeight="1">
      <c r="A228" s="3231" t="s">
        <v>304</v>
      </c>
      <c r="B228" s="3231" t="s">
        <v>3115</v>
      </c>
      <c r="C228" s="3231"/>
      <c r="D228" s="3231"/>
      <c r="E228" s="3231"/>
      <c r="F228" s="3231">
        <v>1520</v>
      </c>
      <c r="G228" s="3244"/>
    </row>
    <row r="229" spans="1:7" s="3220" customFormat="1" ht="14.25" customHeight="1">
      <c r="A229" s="3231" t="s">
        <v>304</v>
      </c>
      <c r="B229" s="3231" t="s">
        <v>3032</v>
      </c>
      <c r="C229" s="3231"/>
      <c r="D229" s="3231"/>
      <c r="E229" s="3231"/>
      <c r="F229" s="3231">
        <v>1520</v>
      </c>
      <c r="G229" s="3244"/>
    </row>
    <row r="230" spans="1:7" s="3220" customFormat="1" ht="14.25" customHeight="1">
      <c r="A230" s="3231" t="s">
        <v>304</v>
      </c>
      <c r="B230" s="3231" t="s">
        <v>3116</v>
      </c>
      <c r="C230" s="3231"/>
      <c r="D230" s="3231"/>
      <c r="E230" s="3231"/>
      <c r="F230" s="3231">
        <v>1820</v>
      </c>
      <c r="G230" s="3244"/>
    </row>
    <row r="231" spans="1:7" s="3220" customFormat="1" ht="14.25" customHeight="1">
      <c r="A231" s="3231" t="s">
        <v>304</v>
      </c>
      <c r="B231" s="3231" t="s">
        <v>3117</v>
      </c>
      <c r="C231" s="3231"/>
      <c r="D231" s="3231"/>
      <c r="E231" s="3231"/>
      <c r="F231" s="3231">
        <v>1760</v>
      </c>
      <c r="G231" s="3244"/>
    </row>
    <row r="232" spans="1:7" s="3220" customFormat="1" ht="14.25" customHeight="1">
      <c r="A232" s="3231" t="s">
        <v>304</v>
      </c>
      <c r="B232" s="3231" t="s">
        <v>3118</v>
      </c>
      <c r="C232" s="3231"/>
      <c r="D232" s="3231"/>
      <c r="E232" s="3231"/>
      <c r="F232" s="3231">
        <v>1840</v>
      </c>
      <c r="G232" s="3244"/>
    </row>
    <row r="233" spans="1:7" s="3220" customFormat="1" ht="14.25" customHeight="1" thickBot="1">
      <c r="A233" s="3245" t="s">
        <v>304</v>
      </c>
      <c r="B233" s="3238" t="s">
        <v>3049</v>
      </c>
      <c r="C233" s="3238"/>
      <c r="D233" s="3238"/>
      <c r="E233" s="3238"/>
      <c r="F233" s="3238">
        <v>1770</v>
      </c>
      <c r="G233" s="3246"/>
    </row>
    <row r="234" spans="1:7" s="3220" customFormat="1" ht="14.25" customHeight="1">
      <c r="A234" s="3236" t="s">
        <v>305</v>
      </c>
      <c r="B234" s="3227" t="s">
        <v>3119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2890</v>
      </c>
      <c r="C238" s="3231">
        <v>6920</v>
      </c>
      <c r="D238" s="3231">
        <v>6890</v>
      </c>
      <c r="E238" s="3231">
        <v>8640</v>
      </c>
      <c r="F238" s="3231">
        <v>1310</v>
      </c>
      <c r="G238" s="3231">
        <v>4230</v>
      </c>
    </row>
    <row r="239" spans="1:7" s="3220" customFormat="1" ht="14.25" customHeight="1">
      <c r="A239" s="3231" t="s">
        <v>305</v>
      </c>
      <c r="B239" s="3231" t="s">
        <v>3120</v>
      </c>
      <c r="C239" s="3231">
        <v>6780</v>
      </c>
      <c r="D239" s="3231">
        <v>6750</v>
      </c>
      <c r="E239" s="3231">
        <v>8440</v>
      </c>
      <c r="F239" s="3231">
        <v>1160</v>
      </c>
      <c r="G239" s="3231">
        <v>4140</v>
      </c>
    </row>
    <row r="240" spans="1:7" s="3220" customFormat="1" ht="14.25" customHeight="1">
      <c r="A240" s="3231" t="s">
        <v>305</v>
      </c>
      <c r="B240" s="3231" t="s">
        <v>3121</v>
      </c>
      <c r="C240" s="3231">
        <v>5420</v>
      </c>
      <c r="D240" s="3231">
        <v>5380</v>
      </c>
      <c r="E240" s="3231">
        <v>6640</v>
      </c>
      <c r="F240" s="3231">
        <v>1020</v>
      </c>
      <c r="G240" s="3231">
        <v>3300</v>
      </c>
    </row>
    <row r="241" spans="1:7" s="3220" customFormat="1" ht="14.25" customHeight="1">
      <c r="A241" s="3231" t="s">
        <v>305</v>
      </c>
      <c r="B241" s="3231" t="s">
        <v>3122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2952</v>
      </c>
      <c r="C258" s="3231">
        <v>6190</v>
      </c>
      <c r="D258" s="3231">
        <v>6160</v>
      </c>
      <c r="E258" s="3231">
        <v>7680</v>
      </c>
      <c r="F258" s="3231">
        <v>1170</v>
      </c>
      <c r="G258" s="3231">
        <v>3780</v>
      </c>
    </row>
    <row r="259" spans="1:7" s="3220" customFormat="1" ht="14.25" customHeight="1">
      <c r="A259" s="3231" t="s">
        <v>305</v>
      </c>
      <c r="B259" s="3231" t="s">
        <v>3128</v>
      </c>
      <c r="C259" s="3231">
        <v>7610</v>
      </c>
      <c r="D259" s="3231">
        <v>7570</v>
      </c>
      <c r="E259" s="3231">
        <v>9350</v>
      </c>
      <c r="F259" s="3231">
        <v>1350</v>
      </c>
      <c r="G259" s="3231">
        <v>4650</v>
      </c>
    </row>
    <row r="260" spans="1:7" s="3220" customFormat="1" ht="14.25" customHeight="1">
      <c r="A260" s="3231" t="s">
        <v>305</v>
      </c>
      <c r="B260" s="3231" t="s">
        <v>3129</v>
      </c>
      <c r="C260" s="3231">
        <v>6920</v>
      </c>
      <c r="D260" s="3231">
        <v>6880</v>
      </c>
      <c r="E260" s="3231">
        <v>8380</v>
      </c>
      <c r="F260" s="3231">
        <v>1160</v>
      </c>
      <c r="G260" s="3231">
        <v>4220</v>
      </c>
    </row>
    <row r="261" spans="1:7" s="3220" customFormat="1" ht="14.25" customHeight="1">
      <c r="A261" s="3231" t="s">
        <v>305</v>
      </c>
      <c r="B261" s="3231" t="s">
        <v>3130</v>
      </c>
      <c r="C261" s="3231">
        <v>6850</v>
      </c>
      <c r="D261" s="3231">
        <v>6810</v>
      </c>
      <c r="E261" s="3231">
        <v>8290</v>
      </c>
      <c r="F261" s="3231">
        <v>1130</v>
      </c>
      <c r="G261" s="3231">
        <v>4180</v>
      </c>
    </row>
    <row r="262" spans="1:7" s="3220" customFormat="1" ht="14.25" customHeight="1">
      <c r="A262" s="3231" t="s">
        <v>305</v>
      </c>
      <c r="B262" s="3231" t="s">
        <v>3131</v>
      </c>
      <c r="C262" s="3231">
        <v>5860</v>
      </c>
      <c r="D262" s="3231">
        <v>5820</v>
      </c>
      <c r="E262" s="3231">
        <v>7640</v>
      </c>
      <c r="F262" s="3231">
        <v>1070</v>
      </c>
      <c r="G262" s="3231">
        <v>3570</v>
      </c>
    </row>
    <row r="263" spans="1:7" s="3220" customFormat="1" ht="14.25" customHeight="1">
      <c r="A263" s="3231" t="s">
        <v>305</v>
      </c>
      <c r="B263" s="3231" t="s">
        <v>3132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3133</v>
      </c>
      <c r="C265" s="3231"/>
      <c r="D265" s="3231"/>
      <c r="E265" s="3231"/>
      <c r="F265" s="3231">
        <v>1500</v>
      </c>
      <c r="G265" s="3231"/>
    </row>
    <row r="266" spans="1:7" s="3220" customFormat="1" ht="14.25" customHeight="1">
      <c r="A266" s="3231" t="s">
        <v>305</v>
      </c>
      <c r="B266" s="3231" t="s">
        <v>3134</v>
      </c>
      <c r="C266" s="3231"/>
      <c r="D266" s="3231"/>
      <c r="E266" s="3231"/>
      <c r="F266" s="3231">
        <v>1500</v>
      </c>
      <c r="G266" s="3231"/>
    </row>
    <row r="267" spans="1:7" s="3220" customFormat="1" ht="14.25" customHeight="1">
      <c r="A267" s="3231" t="s">
        <v>305</v>
      </c>
      <c r="B267" s="3231" t="s">
        <v>3135</v>
      </c>
      <c r="C267" s="3231"/>
      <c r="D267" s="3231"/>
      <c r="E267" s="3231"/>
      <c r="F267" s="3231">
        <v>1500</v>
      </c>
      <c r="G267" s="3231"/>
    </row>
    <row r="268" spans="1:7" s="3220" customFormat="1" ht="14.25" customHeight="1">
      <c r="A268" s="3231" t="s">
        <v>305</v>
      </c>
      <c r="B268" s="3231" t="s">
        <v>3136</v>
      </c>
      <c r="C268" s="3231"/>
      <c r="D268" s="3231"/>
      <c r="E268" s="3231"/>
      <c r="F268" s="3231">
        <v>1290</v>
      </c>
      <c r="G268" s="3231"/>
    </row>
    <row r="269" spans="1:7" s="3220" customFormat="1" ht="14.25" customHeight="1">
      <c r="A269" s="3231" t="s">
        <v>305</v>
      </c>
      <c r="B269" s="3231" t="s">
        <v>3137</v>
      </c>
      <c r="C269" s="3231"/>
      <c r="D269" s="3231"/>
      <c r="E269" s="3231"/>
      <c r="F269" s="3231">
        <v>1150</v>
      </c>
      <c r="G269" s="3231"/>
    </row>
    <row r="270" spans="1:7" s="3220" customFormat="1" ht="14.25" customHeight="1">
      <c r="A270" s="3231" t="s">
        <v>305</v>
      </c>
      <c r="B270" s="3231" t="s">
        <v>3138</v>
      </c>
      <c r="C270" s="3231"/>
      <c r="D270" s="3231"/>
      <c r="E270" s="3231"/>
      <c r="F270" s="3231">
        <v>1380</v>
      </c>
      <c r="G270" s="3231"/>
    </row>
    <row r="271" spans="1:7" s="3220" customFormat="1" ht="14.25" customHeight="1">
      <c r="A271" s="3231" t="s">
        <v>305</v>
      </c>
      <c r="B271" s="3231" t="s">
        <v>3139</v>
      </c>
      <c r="C271" s="3231"/>
      <c r="D271" s="3231"/>
      <c r="E271" s="3231"/>
      <c r="F271" s="3231">
        <v>1460</v>
      </c>
      <c r="G271" s="3231"/>
    </row>
    <row r="272" spans="1:7" s="3220" customFormat="1" ht="14.25" customHeight="1">
      <c r="A272" s="3231" t="s">
        <v>305</v>
      </c>
      <c r="B272" s="3231" t="s">
        <v>3140</v>
      </c>
      <c r="C272" s="3231"/>
      <c r="D272" s="3231"/>
      <c r="E272" s="3231"/>
      <c r="F272" s="3231">
        <v>1460</v>
      </c>
      <c r="G272" s="3231"/>
    </row>
    <row r="273" spans="1:7" s="3220" customFormat="1" ht="14.25" customHeight="1">
      <c r="A273" s="3231" t="s">
        <v>305</v>
      </c>
      <c r="B273" s="3231" t="s">
        <v>3033</v>
      </c>
      <c r="C273" s="3231"/>
      <c r="D273" s="3231"/>
      <c r="E273" s="3231"/>
      <c r="F273" s="3231">
        <v>1490</v>
      </c>
      <c r="G273" s="3231"/>
    </row>
    <row r="274" spans="1:7" s="3220" customFormat="1" ht="14.25" customHeight="1">
      <c r="A274" s="3231" t="s">
        <v>305</v>
      </c>
      <c r="B274" s="3231" t="s">
        <v>3141</v>
      </c>
      <c r="C274" s="3231"/>
      <c r="D274" s="3231"/>
      <c r="E274" s="3231"/>
      <c r="F274" s="3231">
        <v>1490</v>
      </c>
      <c r="G274" s="3231"/>
    </row>
    <row r="275" spans="1:7" s="3220" customFormat="1" ht="14.25" customHeight="1">
      <c r="A275" s="3231" t="s">
        <v>305</v>
      </c>
      <c r="B275" s="3231" t="s">
        <v>3142</v>
      </c>
      <c r="C275" s="3231"/>
      <c r="D275" s="3231"/>
      <c r="E275" s="3231"/>
      <c r="F275" s="3231">
        <v>1220</v>
      </c>
      <c r="G275" s="3231"/>
    </row>
    <row r="276" spans="1:7" s="3220" customFormat="1" ht="14.25" customHeight="1" thickBot="1">
      <c r="A276" s="3239" t="s">
        <v>305</v>
      </c>
      <c r="B276" s="3241" t="s">
        <v>3143</v>
      </c>
      <c r="C276" s="3242"/>
      <c r="D276" s="3242"/>
      <c r="E276" s="3242"/>
      <c r="F276" s="3242">
        <v>1380</v>
      </c>
      <c r="G276" s="3242"/>
    </row>
    <row r="277" spans="1:7" s="3220" customFormat="1" ht="14.25" customHeight="1">
      <c r="A277" s="3236" t="s">
        <v>306</v>
      </c>
      <c r="B277" s="3227" t="s">
        <v>3144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3145</v>
      </c>
      <c r="C279" s="3231">
        <v>4760</v>
      </c>
      <c r="D279" s="3231">
        <v>4720</v>
      </c>
      <c r="E279" s="3231">
        <v>5540</v>
      </c>
      <c r="F279" s="3231">
        <v>810</v>
      </c>
      <c r="G279" s="3244">
        <v>2850</v>
      </c>
    </row>
    <row r="280" spans="1:7" s="3220" customFormat="1" ht="14.25" customHeight="1">
      <c r="A280" s="3231" t="s">
        <v>306</v>
      </c>
      <c r="B280" s="3231" t="s">
        <v>3146</v>
      </c>
      <c r="C280" s="3231">
        <v>4010</v>
      </c>
      <c r="D280" s="3231">
        <v>3950</v>
      </c>
      <c r="E280" s="3231">
        <v>4710</v>
      </c>
      <c r="F280" s="3231">
        <v>800</v>
      </c>
      <c r="G280" s="3244">
        <v>2390</v>
      </c>
    </row>
    <row r="281" spans="1:7" s="3220" customFormat="1" ht="14.25" customHeight="1">
      <c r="A281" s="3231" t="s">
        <v>306</v>
      </c>
      <c r="B281" s="3231" t="s">
        <v>3147</v>
      </c>
      <c r="C281" s="3231">
        <v>4480</v>
      </c>
      <c r="D281" s="3231">
        <v>4420</v>
      </c>
      <c r="E281" s="3231">
        <v>5230</v>
      </c>
      <c r="F281" s="3231">
        <v>870</v>
      </c>
      <c r="G281" s="3244">
        <v>2660</v>
      </c>
    </row>
    <row r="282" spans="1:7" s="3220" customFormat="1" ht="14.25" customHeight="1">
      <c r="A282" s="3231" t="s">
        <v>306</v>
      </c>
      <c r="B282" s="3231" t="s">
        <v>3148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3150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2925</v>
      </c>
      <c r="C293" s="3231">
        <v>5320</v>
      </c>
      <c r="D293" s="3231">
        <v>5270</v>
      </c>
      <c r="E293" s="3231">
        <v>6160</v>
      </c>
      <c r="F293" s="3231">
        <v>990</v>
      </c>
      <c r="G293" s="3244">
        <v>3170</v>
      </c>
    </row>
    <row r="294" spans="1:7" s="3220" customFormat="1" ht="14.25" customHeight="1">
      <c r="A294" s="3231" t="s">
        <v>306</v>
      </c>
      <c r="B294" s="3231" t="s">
        <v>3151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3152</v>
      </c>
      <c r="C302" s="3231">
        <v>5520</v>
      </c>
      <c r="D302" s="3231">
        <v>5470</v>
      </c>
      <c r="E302" s="3231">
        <v>6410</v>
      </c>
      <c r="F302" s="3231">
        <v>950</v>
      </c>
      <c r="G302" s="3244">
        <v>3300</v>
      </c>
    </row>
    <row r="303" spans="1:7" s="3220" customFormat="1" ht="14.25" customHeight="1">
      <c r="A303" s="3231" t="s">
        <v>306</v>
      </c>
      <c r="B303" s="3231" t="s">
        <v>2964</v>
      </c>
      <c r="C303" s="3231">
        <v>5630</v>
      </c>
      <c r="D303" s="3231">
        <v>5590</v>
      </c>
      <c r="E303" s="3231">
        <v>6550</v>
      </c>
      <c r="F303" s="3231">
        <v>1010</v>
      </c>
      <c r="G303" s="3244">
        <v>3370</v>
      </c>
    </row>
    <row r="304" spans="1:7" s="3220" customFormat="1" ht="14.25" customHeight="1">
      <c r="A304" s="3231" t="s">
        <v>306</v>
      </c>
      <c r="B304" s="3231" t="s">
        <v>2971</v>
      </c>
      <c r="C304" s="3231">
        <v>5680</v>
      </c>
      <c r="D304" s="3231">
        <v>5620</v>
      </c>
      <c r="E304" s="3231">
        <v>6620</v>
      </c>
      <c r="F304" s="3231">
        <v>1050</v>
      </c>
      <c r="G304" s="3244">
        <v>3390</v>
      </c>
    </row>
    <row r="305" spans="1:7" s="3220" customFormat="1" ht="14.25" customHeight="1">
      <c r="A305" s="3231" t="s">
        <v>306</v>
      </c>
      <c r="B305" s="3231" t="s">
        <v>2977</v>
      </c>
      <c r="C305" s="3231">
        <v>5590</v>
      </c>
      <c r="D305" s="3231">
        <v>5530</v>
      </c>
      <c r="E305" s="3231">
        <v>6460</v>
      </c>
      <c r="F305" s="3231">
        <v>900</v>
      </c>
      <c r="G305" s="3244">
        <v>3340</v>
      </c>
    </row>
    <row r="306" spans="1:7" s="3220" customFormat="1" ht="14.25" customHeight="1">
      <c r="A306" s="3231" t="s">
        <v>306</v>
      </c>
      <c r="B306" s="3231" t="s">
        <v>3153</v>
      </c>
      <c r="C306" s="3231">
        <v>5560</v>
      </c>
      <c r="D306" s="3231">
        <v>5510</v>
      </c>
      <c r="E306" s="3231">
        <v>6440</v>
      </c>
      <c r="F306" s="3231">
        <v>900</v>
      </c>
      <c r="G306" s="3244">
        <v>3320</v>
      </c>
    </row>
    <row r="307" spans="1:7" s="3220" customFormat="1" ht="14.25" customHeight="1">
      <c r="A307" s="3231" t="s">
        <v>306</v>
      </c>
      <c r="B307" s="3231" t="s">
        <v>2989</v>
      </c>
      <c r="C307" s="3231">
        <v>5650</v>
      </c>
      <c r="D307" s="3231">
        <v>5600</v>
      </c>
      <c r="E307" s="3231">
        <v>6590</v>
      </c>
      <c r="F307" s="3231">
        <v>930</v>
      </c>
      <c r="G307" s="3244">
        <v>3380</v>
      </c>
    </row>
    <row r="308" spans="1:7" s="3220" customFormat="1" ht="14.25" customHeight="1">
      <c r="A308" s="3231" t="s">
        <v>306</v>
      </c>
      <c r="B308" s="3231" t="s">
        <v>3154</v>
      </c>
      <c r="C308" s="3231">
        <v>5620</v>
      </c>
      <c r="D308" s="3231">
        <v>5580</v>
      </c>
      <c r="E308" s="3231">
        <v>6540</v>
      </c>
      <c r="F308" s="3231">
        <v>910</v>
      </c>
      <c r="G308" s="3244">
        <v>3370</v>
      </c>
    </row>
    <row r="309" spans="1:7" s="3220" customFormat="1" ht="14.25" customHeight="1">
      <c r="A309" s="3231" t="s">
        <v>306</v>
      </c>
      <c r="B309" s="3231" t="s">
        <v>3155</v>
      </c>
      <c r="C309" s="3231">
        <v>5060</v>
      </c>
      <c r="D309" s="3231">
        <v>5020</v>
      </c>
      <c r="E309" s="3231">
        <v>6370</v>
      </c>
      <c r="F309" s="3231">
        <v>800</v>
      </c>
      <c r="G309" s="3244">
        <v>3020</v>
      </c>
    </row>
    <row r="310" spans="1:7" s="3220" customFormat="1" ht="14.25" customHeight="1">
      <c r="A310" s="3231" t="s">
        <v>306</v>
      </c>
      <c r="B310" s="3231" t="s">
        <v>3004</v>
      </c>
      <c r="C310" s="3231">
        <v>5150</v>
      </c>
      <c r="D310" s="3231">
        <v>5110</v>
      </c>
      <c r="E310" s="3231">
        <v>6500</v>
      </c>
      <c r="F310" s="3231">
        <v>880</v>
      </c>
      <c r="G310" s="3244">
        <v>3080</v>
      </c>
    </row>
    <row r="311" spans="1:7" s="3220" customFormat="1" ht="14.25" customHeight="1">
      <c r="A311" s="3231" t="s">
        <v>306</v>
      </c>
      <c r="B311" s="3231" t="s">
        <v>3156</v>
      </c>
      <c r="C311" s="3231">
        <v>4750</v>
      </c>
      <c r="D311" s="3231">
        <v>4710</v>
      </c>
      <c r="E311" s="3231">
        <v>5510</v>
      </c>
      <c r="F311" s="3231">
        <v>880</v>
      </c>
      <c r="G311" s="3244">
        <v>2840</v>
      </c>
    </row>
    <row r="312" spans="1:7" s="3220" customFormat="1" ht="14.25" customHeight="1">
      <c r="A312" s="3231" t="s">
        <v>306</v>
      </c>
      <c r="B312" s="3231" t="s">
        <v>3014</v>
      </c>
      <c r="C312" s="3231">
        <v>4690</v>
      </c>
      <c r="D312" s="3231">
        <v>4640</v>
      </c>
      <c r="E312" s="3231">
        <v>5420</v>
      </c>
      <c r="F312" s="3231">
        <v>800</v>
      </c>
      <c r="G312" s="3244">
        <v>2800</v>
      </c>
    </row>
    <row r="313" spans="1:7" s="3220" customFormat="1" ht="14.25" customHeight="1">
      <c r="A313" s="3231" t="s">
        <v>306</v>
      </c>
      <c r="B313" s="3231" t="s">
        <v>3019</v>
      </c>
      <c r="C313" s="3231">
        <v>4810</v>
      </c>
      <c r="D313" s="3231">
        <v>4760</v>
      </c>
      <c r="E313" s="3231">
        <v>5550</v>
      </c>
      <c r="F313" s="3231">
        <v>920</v>
      </c>
      <c r="G313" s="3244">
        <v>2870</v>
      </c>
    </row>
    <row r="314" spans="1:7" s="3220" customFormat="1" ht="14.25" customHeight="1">
      <c r="A314" s="3231" t="s">
        <v>306</v>
      </c>
      <c r="B314" s="3231" t="s">
        <v>3157</v>
      </c>
      <c r="C314" s="3231"/>
      <c r="D314" s="3231"/>
      <c r="E314" s="3231"/>
      <c r="F314" s="3231">
        <v>1020</v>
      </c>
      <c r="G314" s="3244"/>
    </row>
    <row r="315" spans="1:7" s="3220" customFormat="1" ht="14.25" customHeight="1">
      <c r="A315" s="3231" t="s">
        <v>306</v>
      </c>
      <c r="B315" s="3231" t="s">
        <v>3158</v>
      </c>
      <c r="C315" s="3231"/>
      <c r="D315" s="3231"/>
      <c r="E315" s="3231"/>
      <c r="F315" s="3231">
        <v>1050</v>
      </c>
      <c r="G315" s="3244"/>
    </row>
    <row r="316" spans="1:7" s="3220" customFormat="1" ht="14.25" customHeight="1">
      <c r="A316" s="3231" t="s">
        <v>306</v>
      </c>
      <c r="B316" s="3231" t="s">
        <v>3034</v>
      </c>
      <c r="C316" s="3231"/>
      <c r="D316" s="3231"/>
      <c r="E316" s="3231"/>
      <c r="F316" s="3231">
        <v>900</v>
      </c>
      <c r="G316" s="3244"/>
    </row>
    <row r="317" spans="1:7" s="3220" customFormat="1" ht="14.25" customHeight="1">
      <c r="A317" s="3231" t="s">
        <v>306</v>
      </c>
      <c r="B317" s="3231" t="s">
        <v>3159</v>
      </c>
      <c r="C317" s="3231"/>
      <c r="D317" s="3231"/>
      <c r="E317" s="3231"/>
      <c r="F317" s="3231">
        <v>920</v>
      </c>
      <c r="G317" s="3244"/>
    </row>
    <row r="318" spans="1:7" s="3220" customFormat="1" ht="14.25" customHeight="1">
      <c r="A318" s="3231" t="s">
        <v>306</v>
      </c>
      <c r="B318" s="3231" t="s">
        <v>3160</v>
      </c>
      <c r="C318" s="3231"/>
      <c r="D318" s="3231"/>
      <c r="E318" s="3231"/>
      <c r="F318" s="3231">
        <v>1080</v>
      </c>
      <c r="G318" s="3244"/>
    </row>
    <row r="319" spans="1:7" s="3220" customFormat="1" ht="14.25" customHeight="1">
      <c r="A319" s="3231" t="s">
        <v>306</v>
      </c>
      <c r="B319" s="3231" t="s">
        <v>3047</v>
      </c>
      <c r="C319" s="3231"/>
      <c r="D319" s="3231"/>
      <c r="E319" s="3231"/>
      <c r="F319" s="3231">
        <v>1020</v>
      </c>
      <c r="G319" s="3244"/>
    </row>
    <row r="320" spans="1:7" s="3220" customFormat="1" ht="14.25" customHeight="1">
      <c r="A320" s="3231" t="s">
        <v>306</v>
      </c>
      <c r="B320" s="3231" t="s">
        <v>3050</v>
      </c>
      <c r="C320" s="3231"/>
      <c r="D320" s="3231"/>
      <c r="E320" s="3231"/>
      <c r="F320" s="3231">
        <v>1050</v>
      </c>
      <c r="G320" s="3244"/>
    </row>
    <row r="321" spans="1:7" s="3220" customFormat="1" ht="14.25" customHeight="1">
      <c r="A321" s="3231" t="s">
        <v>306</v>
      </c>
      <c r="B321" s="3231" t="s">
        <v>3052</v>
      </c>
      <c r="C321" s="3231"/>
      <c r="D321" s="3231"/>
      <c r="E321" s="3231"/>
      <c r="F321" s="3231">
        <v>960</v>
      </c>
      <c r="G321" s="3244"/>
    </row>
    <row r="322" spans="1:7" s="3220" customFormat="1" ht="14.25" customHeight="1">
      <c r="A322" s="3231" t="s">
        <v>306</v>
      </c>
      <c r="B322" s="3231" t="s">
        <v>3054</v>
      </c>
      <c r="C322" s="3231"/>
      <c r="D322" s="3231"/>
      <c r="E322" s="3231"/>
      <c r="F322" s="3231">
        <v>960</v>
      </c>
      <c r="G322" s="3244"/>
    </row>
    <row r="323" spans="1:7" s="3220" customFormat="1" ht="14.25" customHeight="1">
      <c r="A323" s="3231" t="s">
        <v>306</v>
      </c>
      <c r="B323" s="3231" t="s">
        <v>3056</v>
      </c>
      <c r="C323" s="3231"/>
      <c r="D323" s="3231"/>
      <c r="E323" s="3231"/>
      <c r="F323" s="3231">
        <v>880</v>
      </c>
      <c r="G323" s="3244"/>
    </row>
    <row r="324" spans="1:7" s="3220" customFormat="1" ht="14.25" customHeight="1">
      <c r="A324" s="3231" t="s">
        <v>306</v>
      </c>
      <c r="B324" s="3231" t="s">
        <v>3058</v>
      </c>
      <c r="C324" s="3231"/>
      <c r="D324" s="3231"/>
      <c r="E324" s="3231"/>
      <c r="F324" s="3231">
        <v>930</v>
      </c>
      <c r="G324" s="3244"/>
    </row>
    <row r="325" spans="1:7" s="3220" customFormat="1" ht="14.25" customHeight="1">
      <c r="A325" s="3231" t="s">
        <v>306</v>
      </c>
      <c r="B325" s="3232" t="s">
        <v>3060</v>
      </c>
      <c r="C325" s="3231"/>
      <c r="D325" s="3231"/>
      <c r="E325" s="3231"/>
      <c r="F325" s="3231">
        <v>900</v>
      </c>
      <c r="G325" s="3244"/>
    </row>
    <row r="326" spans="1:7" s="3220" customFormat="1" ht="14.25" customHeight="1" thickBot="1">
      <c r="A326" s="3245" t="s">
        <v>306</v>
      </c>
      <c r="B326" s="3238" t="s">
        <v>3062</v>
      </c>
      <c r="C326" s="3238"/>
      <c r="D326" s="3238"/>
      <c r="E326" s="3238"/>
      <c r="F326" s="3238">
        <v>790</v>
      </c>
      <c r="G326" s="3246"/>
    </row>
    <row r="327" spans="1:7" s="3220" customFormat="1" ht="14.25" customHeight="1">
      <c r="A327" s="3236" t="s">
        <v>307</v>
      </c>
      <c r="B327" s="3227" t="s">
        <v>3161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3162</v>
      </c>
      <c r="C329" s="3231">
        <v>2730</v>
      </c>
      <c r="D329" s="3231">
        <v>2690</v>
      </c>
      <c r="E329" s="3231">
        <v>3100</v>
      </c>
      <c r="F329" s="3231">
        <v>660</v>
      </c>
      <c r="G329" s="3231">
        <v>1610</v>
      </c>
    </row>
    <row r="330" spans="1:7" s="3220" customFormat="1" ht="14.25" customHeight="1">
      <c r="A330" s="3231" t="s">
        <v>307</v>
      </c>
      <c r="B330" s="3231" t="s">
        <v>3163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2896</v>
      </c>
      <c r="C332" s="3231">
        <v>3520</v>
      </c>
      <c r="D332" s="3231">
        <v>3480</v>
      </c>
      <c r="E332" s="3231">
        <v>3830</v>
      </c>
      <c r="F332" s="3231">
        <v>720</v>
      </c>
      <c r="G332" s="3231">
        <v>2090</v>
      </c>
    </row>
    <row r="333" spans="1:7" s="3220" customFormat="1" ht="14.25" customHeight="1">
      <c r="A333" s="3231" t="s">
        <v>307</v>
      </c>
      <c r="B333" s="3231" t="s">
        <v>3164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2906</v>
      </c>
      <c r="C336" s="3231">
        <v>3570</v>
      </c>
      <c r="D336" s="3231">
        <v>3530</v>
      </c>
      <c r="E336" s="3231">
        <v>3880</v>
      </c>
      <c r="F336" s="3231">
        <v>770</v>
      </c>
      <c r="G336" s="3231">
        <v>2110</v>
      </c>
    </row>
    <row r="337" spans="1:10" s="3220" customFormat="1" ht="14.25" customHeight="1">
      <c r="A337" s="3231" t="s">
        <v>307</v>
      </c>
      <c r="B337" s="3231" t="s">
        <v>3165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2931</v>
      </c>
      <c r="C345" s="3231">
        <v>3190</v>
      </c>
      <c r="D345" s="3231">
        <v>3140</v>
      </c>
      <c r="E345" s="3231">
        <v>3450</v>
      </c>
      <c r="F345" s="3231">
        <v>720</v>
      </c>
      <c r="G345" s="3231">
        <v>1880</v>
      </c>
      <c r="J345" s="3220"/>
    </row>
    <row r="346" spans="1:10">
      <c r="A346" s="3231" t="s">
        <v>307</v>
      </c>
      <c r="B346" s="3231" t="s">
        <v>3168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2940</v>
      </c>
      <c r="C348" s="3231">
        <v>4000</v>
      </c>
      <c r="D348" s="3231">
        <v>3950</v>
      </c>
      <c r="E348" s="3231">
        <v>4430</v>
      </c>
      <c r="F348" s="3231">
        <v>760</v>
      </c>
      <c r="G348" s="3231">
        <v>2360</v>
      </c>
      <c r="J348" s="3220"/>
    </row>
    <row r="349" spans="1:10">
      <c r="A349" s="3231" t="s">
        <v>307</v>
      </c>
      <c r="B349" s="3231" t="s">
        <v>2945</v>
      </c>
      <c r="C349" s="3231">
        <v>3820</v>
      </c>
      <c r="D349" s="3231">
        <v>3780</v>
      </c>
      <c r="E349" s="3231">
        <v>4170</v>
      </c>
      <c r="F349" s="3231">
        <v>710</v>
      </c>
      <c r="G349" s="3231">
        <v>2260</v>
      </c>
      <c r="J349" s="3220"/>
    </row>
    <row r="350" spans="1:10">
      <c r="A350" s="3231" t="s">
        <v>307</v>
      </c>
      <c r="B350" s="3231" t="s">
        <v>3169</v>
      </c>
      <c r="C350" s="3231">
        <v>3760</v>
      </c>
      <c r="D350" s="3231">
        <v>3730</v>
      </c>
      <c r="E350" s="3231">
        <v>4100</v>
      </c>
      <c r="F350" s="3231">
        <v>800</v>
      </c>
      <c r="G350" s="3231">
        <v>2230</v>
      </c>
      <c r="J350" s="3220"/>
    </row>
    <row r="351" spans="1:10">
      <c r="A351" s="3231" t="s">
        <v>307</v>
      </c>
      <c r="B351" s="3231" t="s">
        <v>2953</v>
      </c>
      <c r="C351" s="3231">
        <v>3610</v>
      </c>
      <c r="D351" s="3231">
        <v>3580</v>
      </c>
      <c r="E351" s="3231">
        <v>3930</v>
      </c>
      <c r="F351" s="3231">
        <v>700</v>
      </c>
      <c r="G351" s="3231">
        <v>2140</v>
      </c>
      <c r="J351" s="3220"/>
    </row>
    <row r="352" spans="1:10">
      <c r="A352" s="3231" t="s">
        <v>307</v>
      </c>
      <c r="B352" s="3231" t="s">
        <v>2958</v>
      </c>
      <c r="C352" s="3231">
        <v>3670</v>
      </c>
      <c r="D352" s="3231">
        <v>3630</v>
      </c>
      <c r="E352" s="3231">
        <v>4000</v>
      </c>
      <c r="F352" s="3231">
        <v>750</v>
      </c>
      <c r="G352" s="3231">
        <v>2180</v>
      </c>
    </row>
    <row r="353" spans="1:7" s="3224" customFormat="1">
      <c r="A353" s="3231" t="s">
        <v>307</v>
      </c>
      <c r="B353" s="3231" t="s">
        <v>3170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2978</v>
      </c>
      <c r="C355" s="3231">
        <v>3650</v>
      </c>
      <c r="D355" s="3231">
        <v>3610</v>
      </c>
      <c r="E355" s="3231">
        <v>4200</v>
      </c>
      <c r="F355" s="3231">
        <v>640</v>
      </c>
      <c r="G355" s="3231">
        <v>2160</v>
      </c>
    </row>
    <row r="356" spans="1:7" s="3224" customFormat="1">
      <c r="A356" s="3231" t="s">
        <v>307</v>
      </c>
      <c r="B356" s="3231" t="s">
        <v>2985</v>
      </c>
      <c r="C356" s="3231">
        <v>3260</v>
      </c>
      <c r="D356" s="3231">
        <v>3230</v>
      </c>
      <c r="E356" s="3231">
        <v>3740</v>
      </c>
      <c r="F356" s="3231">
        <v>600</v>
      </c>
      <c r="G356" s="3231">
        <v>1930</v>
      </c>
    </row>
    <row r="357" spans="1:7" s="3224" customFormat="1" ht="12" thickBot="1">
      <c r="A357" s="3239" t="s">
        <v>307</v>
      </c>
      <c r="B357" s="3242" t="s">
        <v>3171</v>
      </c>
      <c r="C357" s="3242">
        <v>3690</v>
      </c>
      <c r="D357" s="3242">
        <v>3650</v>
      </c>
      <c r="E357" s="3242">
        <v>4020</v>
      </c>
      <c r="F357" s="3242">
        <v>700</v>
      </c>
      <c r="G357" s="3242">
        <v>2190</v>
      </c>
    </row>
    <row r="358" spans="1:7" s="3224" customFormat="1">
      <c r="A358" s="3236" t="s">
        <v>3172</v>
      </c>
      <c r="B358" s="3227" t="s">
        <v>3173</v>
      </c>
      <c r="C358" s="3227">
        <v>2080</v>
      </c>
      <c r="D358" s="3227">
        <v>2040</v>
      </c>
      <c r="E358" s="3227">
        <v>2010</v>
      </c>
      <c r="F358" s="3227">
        <v>530</v>
      </c>
      <c r="G358" s="3243">
        <v>1230</v>
      </c>
    </row>
    <row r="359" spans="1:7" s="3224" customFormat="1">
      <c r="A359" s="3231" t="s">
        <v>3172</v>
      </c>
      <c r="B359" s="3231" t="s">
        <v>3174</v>
      </c>
      <c r="C359" s="3231">
        <v>1850</v>
      </c>
      <c r="D359" s="3231">
        <v>1820</v>
      </c>
      <c r="E359" s="3231">
        <v>1780</v>
      </c>
      <c r="F359" s="3231">
        <v>520</v>
      </c>
      <c r="G359" s="3244">
        <v>1100</v>
      </c>
    </row>
    <row r="360" spans="1:7" s="3224" customFormat="1">
      <c r="A360" s="3231" t="s">
        <v>3172</v>
      </c>
      <c r="B360" s="3231" t="s">
        <v>3175</v>
      </c>
      <c r="C360" s="3231">
        <v>2020</v>
      </c>
      <c r="D360" s="3231">
        <v>1990</v>
      </c>
      <c r="E360" s="3231">
        <v>1950</v>
      </c>
      <c r="F360" s="3231">
        <v>500</v>
      </c>
      <c r="G360" s="3244">
        <v>1200</v>
      </c>
    </row>
    <row r="361" spans="1:7" s="3224" customFormat="1">
      <c r="A361" s="3231" t="s">
        <v>3172</v>
      </c>
      <c r="B361" s="3231" t="s">
        <v>153</v>
      </c>
      <c r="C361" s="3231">
        <v>2260</v>
      </c>
      <c r="D361" s="3231">
        <v>2220</v>
      </c>
      <c r="E361" s="3231">
        <v>2180</v>
      </c>
      <c r="F361" s="3231">
        <v>580</v>
      </c>
      <c r="G361" s="3244">
        <v>1340</v>
      </c>
    </row>
    <row r="362" spans="1:7" s="3224" customFormat="1">
      <c r="A362" s="3231" t="s">
        <v>3172</v>
      </c>
      <c r="B362" s="3231" t="s">
        <v>3176</v>
      </c>
      <c r="C362" s="3231">
        <v>2650</v>
      </c>
      <c r="D362" s="3231">
        <v>2610</v>
      </c>
      <c r="E362" s="3231">
        <v>2570</v>
      </c>
      <c r="F362" s="3231">
        <v>630</v>
      </c>
      <c r="G362" s="3244">
        <v>1570</v>
      </c>
    </row>
    <row r="363" spans="1:7" s="3224" customFormat="1">
      <c r="A363" s="3231" t="s">
        <v>3172</v>
      </c>
      <c r="B363" s="3231" t="s">
        <v>2897</v>
      </c>
      <c r="C363" s="3231">
        <v>2390</v>
      </c>
      <c r="D363" s="3231">
        <v>2360</v>
      </c>
      <c r="E363" s="3231">
        <v>2320</v>
      </c>
      <c r="F363" s="3231">
        <v>600</v>
      </c>
      <c r="G363" s="3244">
        <v>1420</v>
      </c>
    </row>
    <row r="364" spans="1:7" s="3224" customFormat="1">
      <c r="A364" s="3231" t="s">
        <v>3172</v>
      </c>
      <c r="B364" s="3231" t="s">
        <v>3177</v>
      </c>
      <c r="C364" s="3231">
        <v>2050</v>
      </c>
      <c r="D364" s="3231">
        <v>2030</v>
      </c>
      <c r="E364" s="3231">
        <v>1990</v>
      </c>
      <c r="F364" s="3231">
        <v>550</v>
      </c>
      <c r="G364" s="3244">
        <v>1220</v>
      </c>
    </row>
    <row r="365" spans="1:7" s="3224" customFormat="1">
      <c r="A365" s="3231" t="s">
        <v>3172</v>
      </c>
      <c r="B365" s="3231" t="s">
        <v>200</v>
      </c>
      <c r="C365" s="3231">
        <v>2140</v>
      </c>
      <c r="D365" s="3231">
        <v>2100</v>
      </c>
      <c r="E365" s="3231">
        <v>2060</v>
      </c>
      <c r="F365" s="3231">
        <v>540</v>
      </c>
      <c r="G365" s="3244">
        <v>1270</v>
      </c>
    </row>
    <row r="366" spans="1:7" s="3224" customFormat="1">
      <c r="A366" s="3231" t="s">
        <v>3172</v>
      </c>
      <c r="B366" s="3231" t="s">
        <v>2904</v>
      </c>
      <c r="C366" s="3231">
        <v>2410</v>
      </c>
      <c r="D366" s="3231">
        <v>2370</v>
      </c>
      <c r="E366" s="3231">
        <v>2330</v>
      </c>
      <c r="F366" s="3231">
        <v>570</v>
      </c>
      <c r="G366" s="3244">
        <v>1440</v>
      </c>
    </row>
    <row r="367" spans="1:7" s="3224" customFormat="1">
      <c r="A367" s="3231" t="s">
        <v>3172</v>
      </c>
      <c r="B367" s="3231" t="s">
        <v>3178</v>
      </c>
      <c r="C367" s="3231">
        <v>2300</v>
      </c>
      <c r="D367" s="3231">
        <v>2260</v>
      </c>
      <c r="E367" s="3231">
        <v>2220</v>
      </c>
      <c r="F367" s="3231">
        <v>560</v>
      </c>
      <c r="G367" s="3244">
        <v>1370</v>
      </c>
    </row>
    <row r="368" spans="1:7" s="3224" customFormat="1">
      <c r="A368" s="3231" t="s">
        <v>3172</v>
      </c>
      <c r="B368" s="3231" t="s">
        <v>3179</v>
      </c>
      <c r="C368" s="3231">
        <v>2430</v>
      </c>
      <c r="D368" s="3231">
        <v>2390</v>
      </c>
      <c r="E368" s="3231">
        <v>2350</v>
      </c>
      <c r="F368" s="3231">
        <v>570</v>
      </c>
      <c r="G368" s="3244">
        <v>1450</v>
      </c>
    </row>
    <row r="369" spans="1:7" s="3224" customFormat="1">
      <c r="A369" s="3231" t="s">
        <v>3172</v>
      </c>
      <c r="B369" s="3231" t="s">
        <v>214</v>
      </c>
      <c r="C369" s="3231">
        <v>2320</v>
      </c>
      <c r="D369" s="3231">
        <v>2290</v>
      </c>
      <c r="E369" s="3231">
        <v>2250</v>
      </c>
      <c r="F369" s="3231">
        <v>550</v>
      </c>
      <c r="G369" s="3244">
        <v>1380</v>
      </c>
    </row>
    <row r="370" spans="1:7" s="3224" customFormat="1">
      <c r="A370" s="3231" t="s">
        <v>3172</v>
      </c>
      <c r="B370" s="3231" t="s">
        <v>221</v>
      </c>
      <c r="C370" s="3231">
        <v>2190</v>
      </c>
      <c r="D370" s="3231">
        <v>2170</v>
      </c>
      <c r="E370" s="3231">
        <v>2130</v>
      </c>
      <c r="F370" s="3231">
        <v>530</v>
      </c>
      <c r="G370" s="3244">
        <v>1310</v>
      </c>
    </row>
    <row r="371" spans="1:7" s="3224" customFormat="1">
      <c r="A371" s="3231" t="s">
        <v>3172</v>
      </c>
      <c r="B371" s="3231" t="s">
        <v>229</v>
      </c>
      <c r="C371" s="3231">
        <v>2460</v>
      </c>
      <c r="D371" s="3231">
        <v>2420</v>
      </c>
      <c r="E371" s="3231">
        <v>2370</v>
      </c>
      <c r="F371" s="3231">
        <v>560</v>
      </c>
      <c r="G371" s="3244">
        <v>1470</v>
      </c>
    </row>
    <row r="372" spans="1:7" s="3224" customFormat="1">
      <c r="A372" s="3231" t="s">
        <v>3172</v>
      </c>
      <c r="B372" s="3231" t="s">
        <v>3180</v>
      </c>
      <c r="C372" s="3231">
        <v>2250</v>
      </c>
      <c r="D372" s="3231">
        <v>2210</v>
      </c>
      <c r="E372" s="3231">
        <v>2180</v>
      </c>
      <c r="F372" s="3231">
        <v>550</v>
      </c>
      <c r="G372" s="3244">
        <v>1340</v>
      </c>
    </row>
    <row r="373" spans="1:7" s="3224" customFormat="1">
      <c r="A373" s="3231" t="s">
        <v>3172</v>
      </c>
      <c r="B373" s="3231" t="s">
        <v>258</v>
      </c>
      <c r="C373" s="3231">
        <v>2210</v>
      </c>
      <c r="D373" s="3231">
        <v>2190</v>
      </c>
      <c r="E373" s="3231">
        <v>2150</v>
      </c>
      <c r="F373" s="3231">
        <v>530</v>
      </c>
      <c r="G373" s="3244">
        <v>1320</v>
      </c>
    </row>
    <row r="374" spans="1:7" s="3224" customFormat="1">
      <c r="A374" s="3231" t="s">
        <v>3172</v>
      </c>
      <c r="B374" s="3231" t="s">
        <v>266</v>
      </c>
      <c r="C374" s="3231">
        <v>2320</v>
      </c>
      <c r="D374" s="3231">
        <v>2280</v>
      </c>
      <c r="E374" s="3231">
        <v>2230</v>
      </c>
      <c r="F374" s="3231">
        <v>580</v>
      </c>
      <c r="G374" s="3244">
        <v>1380</v>
      </c>
    </row>
    <row r="375" spans="1:7" s="3224" customFormat="1">
      <c r="A375" s="3231" t="s">
        <v>3172</v>
      </c>
      <c r="B375" s="3231" t="s">
        <v>3181</v>
      </c>
      <c r="C375" s="3231">
        <v>2090</v>
      </c>
      <c r="D375" s="3231">
        <v>2050</v>
      </c>
      <c r="E375" s="3231">
        <v>2020</v>
      </c>
      <c r="F375" s="3231">
        <v>520</v>
      </c>
      <c r="G375" s="3244">
        <v>1240</v>
      </c>
    </row>
    <row r="376" spans="1:7" s="3224" customFormat="1">
      <c r="A376" s="3231" t="s">
        <v>3172</v>
      </c>
      <c r="B376" s="3231" t="s">
        <v>277</v>
      </c>
      <c r="C376" s="3231">
        <v>2010</v>
      </c>
      <c r="D376" s="3231">
        <v>1980</v>
      </c>
      <c r="E376" s="3231">
        <v>1940</v>
      </c>
      <c r="F376" s="3231">
        <v>540</v>
      </c>
      <c r="G376" s="3244">
        <v>1190</v>
      </c>
    </row>
    <row r="377" spans="1:7" s="3224" customFormat="1" ht="12" thickBot="1">
      <c r="A377" s="3239" t="s">
        <v>3172</v>
      </c>
      <c r="B377" s="3242" t="s">
        <v>2934</v>
      </c>
      <c r="C377" s="3242">
        <v>1930</v>
      </c>
      <c r="D377" s="3242">
        <v>1890</v>
      </c>
      <c r="E377" s="3242">
        <v>1860</v>
      </c>
      <c r="F377" s="3242">
        <v>530</v>
      </c>
      <c r="G377" s="3247">
        <v>1150</v>
      </c>
    </row>
    <row r="378" spans="1:7" s="3224" customFormat="1">
      <c r="A378" s="3248" t="s">
        <v>3182</v>
      </c>
      <c r="B378" s="3227" t="s">
        <v>3183</v>
      </c>
      <c r="C378" s="3227">
        <v>1520</v>
      </c>
      <c r="D378" s="3227">
        <v>1490</v>
      </c>
      <c r="E378" s="3227">
        <v>1460</v>
      </c>
      <c r="F378" s="3227">
        <v>460</v>
      </c>
      <c r="G378" s="3243">
        <v>940</v>
      </c>
    </row>
    <row r="379" spans="1:7" s="3224" customFormat="1">
      <c r="A379" s="3249" t="s">
        <v>3182</v>
      </c>
      <c r="B379" s="3231" t="s">
        <v>3184</v>
      </c>
      <c r="C379" s="3231">
        <v>1500</v>
      </c>
      <c r="D379" s="3231">
        <v>1470</v>
      </c>
      <c r="E379" s="3231">
        <v>1430</v>
      </c>
      <c r="F379" s="3231">
        <v>460</v>
      </c>
      <c r="G379" s="3244">
        <v>920</v>
      </c>
    </row>
    <row r="380" spans="1:7" s="3224" customFormat="1">
      <c r="A380" s="3249" t="s">
        <v>3182</v>
      </c>
      <c r="B380" s="3231" t="s">
        <v>3185</v>
      </c>
      <c r="C380" s="3231">
        <v>1620</v>
      </c>
      <c r="D380" s="3231">
        <v>1590</v>
      </c>
      <c r="E380" s="3231">
        <v>1560</v>
      </c>
      <c r="F380" s="3231">
        <v>480</v>
      </c>
      <c r="G380" s="3244">
        <v>1000</v>
      </c>
    </row>
    <row r="381" spans="1:7" s="3224" customFormat="1">
      <c r="A381" s="3249" t="s">
        <v>3182</v>
      </c>
      <c r="B381" s="3231" t="s">
        <v>3186</v>
      </c>
      <c r="C381" s="3231">
        <v>1460</v>
      </c>
      <c r="D381" s="3231">
        <v>1430</v>
      </c>
      <c r="E381" s="3231">
        <v>1390</v>
      </c>
      <c r="F381" s="3231">
        <v>450</v>
      </c>
      <c r="G381" s="3244">
        <v>900</v>
      </c>
    </row>
    <row r="382" spans="1:7" s="3224" customFormat="1">
      <c r="A382" s="3249" t="s">
        <v>3182</v>
      </c>
      <c r="B382" s="3231" t="s">
        <v>3187</v>
      </c>
      <c r="C382" s="3231">
        <v>1310</v>
      </c>
      <c r="D382" s="3231">
        <v>1280</v>
      </c>
      <c r="E382" s="3231">
        <v>1250</v>
      </c>
      <c r="F382" s="3231">
        <v>440</v>
      </c>
      <c r="G382" s="3244">
        <v>800</v>
      </c>
    </row>
    <row r="383" spans="1:7" s="3224" customFormat="1">
      <c r="A383" s="3249" t="s">
        <v>3182</v>
      </c>
      <c r="B383" s="3231" t="s">
        <v>3188</v>
      </c>
      <c r="C383" s="3231">
        <v>1260</v>
      </c>
      <c r="D383" s="3231">
        <v>1230</v>
      </c>
      <c r="E383" s="3231">
        <v>1200</v>
      </c>
      <c r="F383" s="3231">
        <v>420</v>
      </c>
      <c r="G383" s="3244">
        <v>770</v>
      </c>
    </row>
    <row r="384" spans="1:7" s="3224" customFormat="1" ht="12" thickBot="1">
      <c r="A384" s="3250" t="s">
        <v>3182</v>
      </c>
      <c r="B384" s="3238" t="s">
        <v>3189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981" t="s">
        <v>3190</v>
      </c>
      <c r="B1" s="3981"/>
    </row>
    <row r="2" spans="1:7" ht="14.25" thickBot="1">
      <c r="A2" s="3253"/>
      <c r="B2" s="3253"/>
    </row>
    <row r="3" spans="1:7" ht="14.25" thickBot="1">
      <c r="A3" s="3253"/>
      <c r="B3" s="3253"/>
      <c r="C3" s="3254" t="s">
        <v>2814</v>
      </c>
      <c r="D3" s="3254" t="s">
        <v>2876</v>
      </c>
      <c r="E3" s="3254" t="s">
        <v>2816</v>
      </c>
      <c r="F3" s="3254" t="s">
        <v>2877</v>
      </c>
      <c r="G3" s="3254" t="s">
        <v>2634</v>
      </c>
    </row>
    <row r="4" spans="1:7" ht="14.25" thickBot="1">
      <c r="A4" s="3255" t="s">
        <v>2875</v>
      </c>
      <c r="B4" s="3256" t="s">
        <v>2881</v>
      </c>
      <c r="C4" s="3254"/>
      <c r="D4" s="3254"/>
      <c r="E4" s="3254"/>
      <c r="F4" s="3254"/>
      <c r="G4" s="3254"/>
    </row>
    <row r="5" spans="1:7">
      <c r="A5" s="3257" t="s">
        <v>2849</v>
      </c>
      <c r="B5" s="3258" t="s">
        <v>2863</v>
      </c>
      <c r="C5" s="3259">
        <v>9.8000000000000004E-2</v>
      </c>
      <c r="D5" s="3259">
        <v>8.6999999999999994E-2</v>
      </c>
      <c r="E5" s="3259">
        <v>8.6999999999999994E-2</v>
      </c>
      <c r="F5" s="3259">
        <v>9.8000000000000004E-2</v>
      </c>
      <c r="G5" s="3260">
        <v>9.5000000000000001E-2</v>
      </c>
    </row>
    <row r="6" spans="1:7">
      <c r="A6" s="3261" t="s">
        <v>144</v>
      </c>
      <c r="B6" s="3262" t="s">
        <v>2878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2932</v>
      </c>
      <c r="C29" s="3271"/>
      <c r="D29" s="3267">
        <v>5.1999999999999998E-2</v>
      </c>
      <c r="E29" s="3267">
        <v>7.0000000000000007E-2</v>
      </c>
      <c r="F29" s="3271"/>
      <c r="G29" s="3269">
        <v>7.0999999999999994E-2</v>
      </c>
    </row>
    <row r="30" spans="1:7">
      <c r="A30" s="3272" t="s">
        <v>296</v>
      </c>
      <c r="B30" s="3258" t="s">
        <v>2865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2851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2935</v>
      </c>
      <c r="C50" s="3263">
        <v>9.8000000000000004E-2</v>
      </c>
      <c r="D50" s="3263">
        <v>7.2999999999999995E-2</v>
      </c>
      <c r="E50" s="3263">
        <v>7.0999999999999994E-2</v>
      </c>
      <c r="F50" s="3274"/>
      <c r="G50" s="3264">
        <v>7.2999999999999995E-2</v>
      </c>
    </row>
    <row r="51" spans="1:7">
      <c r="A51" s="3273" t="s">
        <v>296</v>
      </c>
      <c r="B51" s="3262" t="s">
        <v>2937</v>
      </c>
      <c r="C51" s="3263">
        <v>9.9000000000000005E-2</v>
      </c>
      <c r="D51" s="3263">
        <v>8.5000000000000006E-2</v>
      </c>
      <c r="E51" s="3263">
        <v>6.3E-2</v>
      </c>
      <c r="F51" s="3274"/>
      <c r="G51" s="3264">
        <v>9.6000000000000002E-2</v>
      </c>
    </row>
    <row r="52" spans="1:7">
      <c r="A52" s="3273" t="s">
        <v>296</v>
      </c>
      <c r="B52" s="3262" t="s">
        <v>2941</v>
      </c>
      <c r="C52" s="3263">
        <v>7.3999999999999996E-2</v>
      </c>
      <c r="D52" s="3263">
        <v>9.6000000000000002E-2</v>
      </c>
      <c r="E52" s="3263">
        <v>0.05</v>
      </c>
      <c r="F52" s="3274"/>
      <c r="G52" s="3264">
        <v>9.8000000000000004E-2</v>
      </c>
    </row>
    <row r="53" spans="1:7">
      <c r="A53" s="3273" t="s">
        <v>296</v>
      </c>
      <c r="B53" s="3262" t="s">
        <v>2946</v>
      </c>
      <c r="C53" s="3263">
        <v>8.5999999999999993E-2</v>
      </c>
      <c r="D53" s="3274"/>
      <c r="E53" s="3263">
        <v>9.1999999999999998E-2</v>
      </c>
      <c r="F53" s="3274"/>
      <c r="G53" s="3275"/>
    </row>
    <row r="54" spans="1:7" ht="14.25" thickBot="1">
      <c r="A54" s="3276" t="s">
        <v>296</v>
      </c>
      <c r="B54" s="3266" t="s">
        <v>2949</v>
      </c>
      <c r="C54" s="3267">
        <v>9.6000000000000002E-2</v>
      </c>
      <c r="D54" s="3268"/>
      <c r="E54" s="3277"/>
      <c r="F54" s="3268"/>
      <c r="G54" s="3278"/>
    </row>
    <row r="55" spans="1:7">
      <c r="A55" s="3272" t="s">
        <v>110</v>
      </c>
      <c r="B55" s="3258" t="s">
        <v>2866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2947</v>
      </c>
      <c r="C78" s="3263">
        <v>0.1</v>
      </c>
      <c r="D78" s="3263">
        <v>8.5000000000000006E-2</v>
      </c>
      <c r="E78" s="3263">
        <v>9.6000000000000002E-2</v>
      </c>
      <c r="F78" s="3274"/>
      <c r="G78" s="3264">
        <v>9.6000000000000002E-2</v>
      </c>
    </row>
    <row r="79" spans="1:7">
      <c r="A79" s="3273" t="s">
        <v>110</v>
      </c>
      <c r="B79" s="3262" t="s">
        <v>2950</v>
      </c>
      <c r="C79" s="3263">
        <v>0.05</v>
      </c>
      <c r="D79" s="3263">
        <v>9.6000000000000002E-2</v>
      </c>
      <c r="E79" s="3263">
        <v>9.5000000000000001E-2</v>
      </c>
      <c r="F79" s="3274"/>
      <c r="G79" s="3264">
        <v>9.8000000000000004E-2</v>
      </c>
    </row>
    <row r="80" spans="1:7">
      <c r="A80" s="3273" t="s">
        <v>110</v>
      </c>
      <c r="B80" s="3262" t="s">
        <v>2954</v>
      </c>
      <c r="C80" s="3263">
        <v>8.5999999999999993E-2</v>
      </c>
      <c r="D80" s="3279"/>
      <c r="E80" s="3263">
        <v>0.1</v>
      </c>
      <c r="F80" s="3274"/>
      <c r="G80" s="3275"/>
    </row>
    <row r="81" spans="1:7">
      <c r="A81" s="3273" t="s">
        <v>110</v>
      </c>
      <c r="B81" s="3262" t="s">
        <v>2959</v>
      </c>
      <c r="C81" s="3263">
        <v>9.6000000000000002E-2</v>
      </c>
      <c r="D81" s="3274"/>
      <c r="E81" s="3263">
        <v>9.8000000000000004E-2</v>
      </c>
      <c r="F81" s="3274"/>
      <c r="G81" s="3275"/>
    </row>
    <row r="82" spans="1:7">
      <c r="A82" s="3273" t="s">
        <v>110</v>
      </c>
      <c r="B82" s="3262" t="s">
        <v>2966</v>
      </c>
      <c r="C82" s="3279"/>
      <c r="D82" s="3274"/>
      <c r="E82" s="3263">
        <v>7.6999999999999999E-2</v>
      </c>
      <c r="F82" s="3274"/>
      <c r="G82" s="3275"/>
    </row>
    <row r="83" spans="1:7">
      <c r="A83" s="3273" t="s">
        <v>110</v>
      </c>
      <c r="B83" s="3262" t="s">
        <v>2972</v>
      </c>
      <c r="C83" s="3274"/>
      <c r="D83" s="3274"/>
      <c r="E83" s="3274"/>
      <c r="F83" s="3263">
        <v>0.1</v>
      </c>
      <c r="G83" s="3280"/>
    </row>
    <row r="84" spans="1:7">
      <c r="A84" s="3273" t="s">
        <v>110</v>
      </c>
      <c r="B84" s="3262" t="s">
        <v>2979</v>
      </c>
      <c r="C84" s="3274"/>
      <c r="D84" s="3274"/>
      <c r="E84" s="3274"/>
      <c r="F84" s="3263">
        <v>0.1</v>
      </c>
      <c r="G84" s="3280"/>
    </row>
    <row r="85" spans="1:7">
      <c r="A85" s="3273" t="s">
        <v>110</v>
      </c>
      <c r="B85" s="3262" t="s">
        <v>2986</v>
      </c>
      <c r="C85" s="3274"/>
      <c r="D85" s="3274"/>
      <c r="E85" s="3274"/>
      <c r="F85" s="3263">
        <v>0.1</v>
      </c>
      <c r="G85" s="3280"/>
    </row>
    <row r="86" spans="1:7" ht="14.25" thickBot="1">
      <c r="A86" s="3276" t="s">
        <v>110</v>
      </c>
      <c r="B86" s="3266" t="s">
        <v>2991</v>
      </c>
      <c r="C86" s="3267">
        <v>9.8000000000000004E-2</v>
      </c>
      <c r="D86" s="3267">
        <v>9.8000000000000004E-2</v>
      </c>
      <c r="E86" s="3267">
        <v>9.6000000000000002E-2</v>
      </c>
      <c r="F86" s="3277"/>
      <c r="G86" s="3269">
        <v>0.1</v>
      </c>
    </row>
    <row r="87" spans="1:7">
      <c r="A87" s="3272" t="s">
        <v>303</v>
      </c>
      <c r="B87" s="3258" t="s">
        <v>2867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2960</v>
      </c>
      <c r="C113" s="3263">
        <v>0.1</v>
      </c>
      <c r="D113" s="3263">
        <v>0.1</v>
      </c>
      <c r="E113" s="3274"/>
      <c r="F113" s="3274"/>
      <c r="G113" s="3264">
        <v>0.1</v>
      </c>
    </row>
    <row r="114" spans="1:7">
      <c r="A114" s="3273" t="s">
        <v>303</v>
      </c>
      <c r="B114" s="3262" t="s">
        <v>2967</v>
      </c>
      <c r="C114" s="3263">
        <v>9.7000000000000003E-2</v>
      </c>
      <c r="D114" s="3263">
        <v>9.7000000000000003E-2</v>
      </c>
      <c r="E114" s="3274"/>
      <c r="F114" s="3274"/>
      <c r="G114" s="3264">
        <v>9.9000000000000005E-2</v>
      </c>
    </row>
    <row r="115" spans="1:7">
      <c r="A115" s="3273" t="s">
        <v>303</v>
      </c>
      <c r="B115" s="3262" t="s">
        <v>2973</v>
      </c>
      <c r="C115" s="3263">
        <v>0.1</v>
      </c>
      <c r="D115" s="3263">
        <v>0.1</v>
      </c>
      <c r="E115" s="3274"/>
      <c r="F115" s="3274"/>
      <c r="G115" s="3264">
        <v>0.1</v>
      </c>
    </row>
    <row r="116" spans="1:7">
      <c r="A116" s="3273" t="s">
        <v>303</v>
      </c>
      <c r="B116" s="3262" t="s">
        <v>2980</v>
      </c>
      <c r="C116" s="3263">
        <v>0.1</v>
      </c>
      <c r="D116" s="3263">
        <v>0.1</v>
      </c>
      <c r="E116" s="3274"/>
      <c r="F116" s="3274"/>
      <c r="G116" s="3264">
        <v>0.1</v>
      </c>
    </row>
    <row r="117" spans="1:7">
      <c r="A117" s="3273" t="s">
        <v>303</v>
      </c>
      <c r="B117" s="3262" t="s">
        <v>2987</v>
      </c>
      <c r="C117" s="3263">
        <v>9.7000000000000003E-2</v>
      </c>
      <c r="D117" s="3263">
        <v>9.7000000000000003E-2</v>
      </c>
      <c r="E117" s="3274"/>
      <c r="F117" s="3274"/>
      <c r="G117" s="3264">
        <v>9.7000000000000003E-2</v>
      </c>
    </row>
    <row r="118" spans="1:7">
      <c r="A118" s="3273" t="s">
        <v>303</v>
      </c>
      <c r="B118" s="3262" t="s">
        <v>2992</v>
      </c>
      <c r="C118" s="3263">
        <v>0.1</v>
      </c>
      <c r="D118" s="3263">
        <v>0.1</v>
      </c>
      <c r="E118" s="3274"/>
      <c r="F118" s="3274"/>
      <c r="G118" s="3264">
        <v>0.1</v>
      </c>
    </row>
    <row r="119" spans="1:7">
      <c r="A119" s="3273" t="s">
        <v>303</v>
      </c>
      <c r="B119" s="3262" t="s">
        <v>2996</v>
      </c>
      <c r="C119" s="3263">
        <v>5.0999999999999997E-2</v>
      </c>
      <c r="D119" s="3263">
        <v>5.1999999999999998E-2</v>
      </c>
      <c r="E119" s="3274"/>
      <c r="F119" s="3279"/>
      <c r="G119" s="3264">
        <v>0.06</v>
      </c>
    </row>
    <row r="120" spans="1:7">
      <c r="A120" s="3273" t="s">
        <v>303</v>
      </c>
      <c r="B120" s="3262" t="s">
        <v>3000</v>
      </c>
      <c r="C120" s="3274"/>
      <c r="D120" s="3274"/>
      <c r="E120" s="3274"/>
      <c r="F120" s="3263">
        <v>0.1</v>
      </c>
      <c r="G120" s="3280"/>
    </row>
    <row r="121" spans="1:7">
      <c r="A121" s="3273" t="s">
        <v>303</v>
      </c>
      <c r="B121" s="3262" t="s">
        <v>3005</v>
      </c>
      <c r="C121" s="3274"/>
      <c r="D121" s="3274"/>
      <c r="E121" s="3274"/>
      <c r="F121" s="3263">
        <v>0.1</v>
      </c>
      <c r="G121" s="3280"/>
    </row>
    <row r="122" spans="1:7">
      <c r="A122" s="3273" t="s">
        <v>303</v>
      </c>
      <c r="B122" s="3262" t="s">
        <v>3010</v>
      </c>
      <c r="C122" s="3263">
        <v>0.1</v>
      </c>
      <c r="D122" s="3263">
        <v>0.1</v>
      </c>
      <c r="E122" s="3263">
        <v>9.8000000000000004E-2</v>
      </c>
      <c r="F122" s="3263">
        <v>0.1</v>
      </c>
      <c r="G122" s="3264">
        <v>0.1</v>
      </c>
    </row>
    <row r="123" spans="1:7">
      <c r="A123" s="3273" t="s">
        <v>303</v>
      </c>
      <c r="B123" s="3262" t="s">
        <v>3015</v>
      </c>
      <c r="C123" s="3263">
        <v>0.1</v>
      </c>
      <c r="D123" s="3263">
        <v>0.1</v>
      </c>
      <c r="E123" s="3263">
        <v>9.8000000000000004E-2</v>
      </c>
      <c r="F123" s="3263">
        <v>0.1</v>
      </c>
      <c r="G123" s="3264">
        <v>0.1</v>
      </c>
    </row>
    <row r="124" spans="1:7">
      <c r="A124" s="3273" t="s">
        <v>303</v>
      </c>
      <c r="B124" s="3262" t="s">
        <v>3020</v>
      </c>
      <c r="C124" s="3263">
        <v>0.1</v>
      </c>
      <c r="D124" s="3263">
        <v>0.1</v>
      </c>
      <c r="E124" s="3263">
        <v>9.8000000000000004E-2</v>
      </c>
      <c r="F124" s="3279"/>
      <c r="G124" s="3264">
        <v>0.1</v>
      </c>
    </row>
    <row r="125" spans="1:7">
      <c r="A125" s="3273" t="s">
        <v>303</v>
      </c>
      <c r="B125" s="3262" t="s">
        <v>3025</v>
      </c>
      <c r="C125" s="3263">
        <v>9.8000000000000004E-2</v>
      </c>
      <c r="D125" s="3263">
        <v>9.8000000000000004E-2</v>
      </c>
      <c r="E125" s="3263">
        <v>9.6000000000000002E-2</v>
      </c>
      <c r="F125" s="3279"/>
      <c r="G125" s="3264">
        <v>0.1</v>
      </c>
    </row>
    <row r="126" spans="1:7" ht="14.25" thickBot="1">
      <c r="A126" s="3276" t="s">
        <v>303</v>
      </c>
      <c r="B126" s="3266" t="s">
        <v>3191</v>
      </c>
      <c r="C126" s="3267">
        <v>0.1</v>
      </c>
      <c r="D126" s="3267">
        <v>0.1</v>
      </c>
      <c r="E126" s="3267">
        <v>9.8000000000000004E-2</v>
      </c>
      <c r="F126" s="3267">
        <v>0.1</v>
      </c>
      <c r="G126" s="3269">
        <v>0.1</v>
      </c>
    </row>
    <row r="127" spans="1:7">
      <c r="A127" s="3272" t="s">
        <v>29</v>
      </c>
      <c r="B127" s="3258" t="s">
        <v>2868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2938</v>
      </c>
      <c r="C148" s="3263">
        <v>0.13</v>
      </c>
      <c r="D148" s="3263">
        <v>0.13</v>
      </c>
      <c r="E148" s="3263">
        <v>0.13</v>
      </c>
      <c r="F148" s="3274"/>
      <c r="G148" s="3264">
        <v>0.13</v>
      </c>
    </row>
    <row r="149" spans="1:7">
      <c r="A149" s="3273" t="s">
        <v>29</v>
      </c>
      <c r="B149" s="3262" t="s">
        <v>2942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2961</v>
      </c>
      <c r="C153" s="3263">
        <v>0.13</v>
      </c>
      <c r="D153" s="3263">
        <v>0.13</v>
      </c>
      <c r="E153" s="3263">
        <v>0.13</v>
      </c>
      <c r="F153" s="3263">
        <v>0.13</v>
      </c>
      <c r="G153" s="3264">
        <v>0.13</v>
      </c>
    </row>
    <row r="154" spans="1:7">
      <c r="A154" s="3273" t="s">
        <v>29</v>
      </c>
      <c r="B154" s="3262" t="s">
        <v>2968</v>
      </c>
      <c r="C154" s="3263">
        <v>0.121</v>
      </c>
      <c r="D154" s="3263">
        <v>0.121</v>
      </c>
      <c r="E154" s="3263">
        <v>0.105</v>
      </c>
      <c r="F154" s="3263">
        <v>0.121</v>
      </c>
      <c r="G154" s="3264">
        <v>0.123</v>
      </c>
    </row>
    <row r="155" spans="1:7">
      <c r="A155" s="3273" t="s">
        <v>29</v>
      </c>
      <c r="B155" s="3262" t="s">
        <v>2974</v>
      </c>
      <c r="C155" s="3263">
        <v>0.1</v>
      </c>
      <c r="D155" s="3263">
        <v>0.1</v>
      </c>
      <c r="E155" s="3263">
        <v>0.1</v>
      </c>
      <c r="F155" s="3263">
        <v>0.1</v>
      </c>
      <c r="G155" s="3264">
        <v>0.1</v>
      </c>
    </row>
    <row r="156" spans="1:7">
      <c r="A156" s="3273" t="s">
        <v>29</v>
      </c>
      <c r="B156" s="3262" t="s">
        <v>2981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3001</v>
      </c>
      <c r="C160" s="3263">
        <v>0.13</v>
      </c>
      <c r="D160" s="3263">
        <v>0.13</v>
      </c>
      <c r="E160" s="3263">
        <v>0.124</v>
      </c>
      <c r="F160" s="3263">
        <v>0.126</v>
      </c>
      <c r="G160" s="3264">
        <v>0.13</v>
      </c>
    </row>
    <row r="161" spans="1:7">
      <c r="A161" s="3273" t="s">
        <v>29</v>
      </c>
      <c r="B161" s="3262" t="s">
        <v>3006</v>
      </c>
      <c r="C161" s="3263">
        <v>0.13</v>
      </c>
      <c r="D161" s="3263">
        <v>0.13</v>
      </c>
      <c r="E161" s="3263">
        <v>0.124</v>
      </c>
      <c r="F161" s="3263">
        <v>0.127</v>
      </c>
      <c r="G161" s="3264">
        <v>0.13</v>
      </c>
    </row>
    <row r="162" spans="1:7">
      <c r="A162" s="3273" t="s">
        <v>29</v>
      </c>
      <c r="B162" s="3262" t="s">
        <v>3011</v>
      </c>
      <c r="C162" s="3263">
        <v>0.1</v>
      </c>
      <c r="D162" s="3263">
        <v>0.1</v>
      </c>
      <c r="E162" s="3263">
        <v>0.1</v>
      </c>
      <c r="F162" s="3263">
        <v>0.121</v>
      </c>
      <c r="G162" s="3264">
        <v>0.105</v>
      </c>
    </row>
    <row r="163" spans="1:7">
      <c r="A163" s="3273" t="s">
        <v>29</v>
      </c>
      <c r="B163" s="3262" t="s">
        <v>3016</v>
      </c>
      <c r="C163" s="3263">
        <v>0.1</v>
      </c>
      <c r="D163" s="3263">
        <v>0.1</v>
      </c>
      <c r="E163" s="3263">
        <v>0.1</v>
      </c>
      <c r="F163" s="3263">
        <v>0.1</v>
      </c>
      <c r="G163" s="3264">
        <v>0.1</v>
      </c>
    </row>
    <row r="164" spans="1:7">
      <c r="A164" s="3273" t="s">
        <v>29</v>
      </c>
      <c r="B164" s="3262" t="s">
        <v>3021</v>
      </c>
      <c r="C164" s="3279"/>
      <c r="D164" s="3279"/>
      <c r="E164" s="3279"/>
      <c r="F164" s="3263">
        <v>0.1</v>
      </c>
      <c r="G164" s="3275"/>
    </row>
    <row r="165" spans="1:7">
      <c r="A165" s="3273" t="s">
        <v>29</v>
      </c>
      <c r="B165" s="3262" t="s">
        <v>3192</v>
      </c>
      <c r="C165" s="3263">
        <v>0.126</v>
      </c>
      <c r="D165" s="3263">
        <v>0.126</v>
      </c>
      <c r="E165" s="3263">
        <v>0.11899999999999999</v>
      </c>
      <c r="F165" s="3263">
        <v>0.13</v>
      </c>
      <c r="G165" s="3264">
        <v>0.128</v>
      </c>
    </row>
    <row r="166" spans="1:7">
      <c r="A166" s="3273" t="s">
        <v>29</v>
      </c>
      <c r="B166" s="3262" t="s">
        <v>3031</v>
      </c>
      <c r="C166" s="3263">
        <v>0.129</v>
      </c>
      <c r="D166" s="3263">
        <v>0.129</v>
      </c>
      <c r="E166" s="3263">
        <v>0.123</v>
      </c>
      <c r="F166" s="3263">
        <v>0.128</v>
      </c>
      <c r="G166" s="3264">
        <v>0.13</v>
      </c>
    </row>
    <row r="167" spans="1:7">
      <c r="A167" s="3273" t="s">
        <v>29</v>
      </c>
      <c r="B167" s="3262" t="s">
        <v>3035</v>
      </c>
      <c r="C167" s="3263">
        <v>0.125</v>
      </c>
      <c r="D167" s="3263">
        <v>0.125</v>
      </c>
      <c r="E167" s="3263">
        <v>0.11700000000000001</v>
      </c>
      <c r="F167" s="3263">
        <v>0.13</v>
      </c>
      <c r="G167" s="3264">
        <v>0.126</v>
      </c>
    </row>
    <row r="168" spans="1:7">
      <c r="A168" s="3273" t="s">
        <v>29</v>
      </c>
      <c r="B168" s="3262" t="s">
        <v>3040</v>
      </c>
      <c r="C168" s="3263">
        <v>0.128</v>
      </c>
      <c r="D168" s="3263">
        <v>0.128</v>
      </c>
      <c r="E168" s="3263">
        <v>0.123</v>
      </c>
      <c r="F168" s="3274"/>
      <c r="G168" s="3264">
        <v>0.13</v>
      </c>
    </row>
    <row r="169" spans="1:7">
      <c r="A169" s="3273" t="s">
        <v>29</v>
      </c>
      <c r="B169" s="3262" t="s">
        <v>3193</v>
      </c>
      <c r="C169" s="3279"/>
      <c r="D169" s="3279"/>
      <c r="E169" s="3279"/>
      <c r="F169" s="3263">
        <v>0.05</v>
      </c>
      <c r="G169" s="3275"/>
    </row>
    <row r="170" spans="1:7">
      <c r="A170" s="3273" t="s">
        <v>29</v>
      </c>
      <c r="B170" s="3262" t="s">
        <v>3194</v>
      </c>
      <c r="C170" s="3279"/>
      <c r="D170" s="3279"/>
      <c r="E170" s="3279"/>
      <c r="F170" s="3263">
        <v>0.05</v>
      </c>
      <c r="G170" s="3275"/>
    </row>
    <row r="171" spans="1:7">
      <c r="A171" s="3273" t="s">
        <v>29</v>
      </c>
      <c r="B171" s="3262" t="s">
        <v>3195</v>
      </c>
      <c r="C171" s="3279"/>
      <c r="D171" s="3279"/>
      <c r="E171" s="3279"/>
      <c r="F171" s="3263">
        <v>0.05</v>
      </c>
      <c r="G171" s="3280"/>
    </row>
    <row r="172" spans="1:7">
      <c r="A172" s="3273" t="s">
        <v>29</v>
      </c>
      <c r="B172" s="3262" t="s">
        <v>3196</v>
      </c>
      <c r="C172" s="3279"/>
      <c r="D172" s="3279"/>
      <c r="E172" s="3279"/>
      <c r="F172" s="3263">
        <v>0.05</v>
      </c>
      <c r="G172" s="3280"/>
    </row>
    <row r="173" spans="1:7">
      <c r="A173" s="3273" t="s">
        <v>29</v>
      </c>
      <c r="B173" s="3262" t="s">
        <v>3197</v>
      </c>
      <c r="C173" s="3279"/>
      <c r="D173" s="3279"/>
      <c r="E173" s="3279"/>
      <c r="F173" s="3263">
        <v>0.05</v>
      </c>
      <c r="G173" s="3275"/>
    </row>
    <row r="174" spans="1:7">
      <c r="A174" s="3273" t="s">
        <v>29</v>
      </c>
      <c r="B174" s="3262" t="s">
        <v>3198</v>
      </c>
      <c r="C174" s="3279"/>
      <c r="D174" s="3279"/>
      <c r="E174" s="3279"/>
      <c r="F174" s="3263">
        <v>0.05</v>
      </c>
      <c r="G174" s="3275"/>
    </row>
    <row r="175" spans="1:7">
      <c r="A175" s="3273" t="s">
        <v>29</v>
      </c>
      <c r="B175" s="3262" t="s">
        <v>3199</v>
      </c>
      <c r="C175" s="3279"/>
      <c r="D175" s="3279"/>
      <c r="E175" s="3279"/>
      <c r="F175" s="3263">
        <v>0.05</v>
      </c>
      <c r="G175" s="3275"/>
    </row>
    <row r="176" spans="1:7">
      <c r="A176" s="3273" t="s">
        <v>29</v>
      </c>
      <c r="B176" s="3262" t="s">
        <v>3200</v>
      </c>
      <c r="C176" s="3279"/>
      <c r="D176" s="3279"/>
      <c r="E176" s="3279"/>
      <c r="F176" s="3263">
        <v>0.05</v>
      </c>
      <c r="G176" s="3275"/>
    </row>
    <row r="177" spans="1:7">
      <c r="A177" s="3273" t="s">
        <v>29</v>
      </c>
      <c r="B177" s="3262" t="s">
        <v>3201</v>
      </c>
      <c r="C177" s="3274"/>
      <c r="D177" s="3274"/>
      <c r="E177" s="3274"/>
      <c r="F177" s="3263">
        <v>0.05</v>
      </c>
      <c r="G177" s="3280"/>
    </row>
    <row r="178" spans="1:7">
      <c r="A178" s="3273" t="s">
        <v>29</v>
      </c>
      <c r="B178" s="3262" t="s">
        <v>3202</v>
      </c>
      <c r="C178" s="3274"/>
      <c r="D178" s="3274"/>
      <c r="E178" s="3274"/>
      <c r="F178" s="3263">
        <v>0.05</v>
      </c>
      <c r="G178" s="3280"/>
    </row>
    <row r="179" spans="1:7">
      <c r="A179" s="3273" t="s">
        <v>29</v>
      </c>
      <c r="B179" s="3262" t="s">
        <v>3203</v>
      </c>
      <c r="C179" s="3274"/>
      <c r="D179" s="3274"/>
      <c r="E179" s="3274"/>
      <c r="F179" s="3263">
        <v>0.05</v>
      </c>
      <c r="G179" s="3280"/>
    </row>
    <row r="180" spans="1:7">
      <c r="A180" s="3273" t="s">
        <v>29</v>
      </c>
      <c r="B180" s="3262" t="s">
        <v>3204</v>
      </c>
      <c r="C180" s="3274"/>
      <c r="D180" s="3274"/>
      <c r="E180" s="3274"/>
      <c r="F180" s="3263">
        <v>0.05</v>
      </c>
      <c r="G180" s="3280"/>
    </row>
    <row r="181" spans="1:7">
      <c r="A181" s="3273" t="s">
        <v>29</v>
      </c>
      <c r="B181" s="3262" t="s">
        <v>3205</v>
      </c>
      <c r="C181" s="3274"/>
      <c r="D181" s="3274"/>
      <c r="E181" s="3274"/>
      <c r="F181" s="3263">
        <v>0.05</v>
      </c>
      <c r="G181" s="3280"/>
    </row>
    <row r="182" spans="1:7">
      <c r="A182" s="3273" t="s">
        <v>29</v>
      </c>
      <c r="B182" s="3262" t="s">
        <v>3206</v>
      </c>
      <c r="C182" s="3274"/>
      <c r="D182" s="3274"/>
      <c r="E182" s="3274"/>
      <c r="F182" s="3263">
        <v>0.05</v>
      </c>
      <c r="G182" s="3280"/>
    </row>
    <row r="183" spans="1:7">
      <c r="A183" s="3273" t="s">
        <v>29</v>
      </c>
      <c r="B183" s="3262" t="s">
        <v>3207</v>
      </c>
      <c r="C183" s="3274"/>
      <c r="D183" s="3274"/>
      <c r="E183" s="3274"/>
      <c r="F183" s="3263">
        <v>0.05</v>
      </c>
      <c r="G183" s="3280"/>
    </row>
    <row r="184" spans="1:7">
      <c r="A184" s="3273" t="s">
        <v>29</v>
      </c>
      <c r="B184" s="3262" t="s">
        <v>3208</v>
      </c>
      <c r="C184" s="3274"/>
      <c r="D184" s="3274"/>
      <c r="E184" s="3274"/>
      <c r="F184" s="3263">
        <v>0.05</v>
      </c>
      <c r="G184" s="3280"/>
    </row>
    <row r="185" spans="1:7">
      <c r="A185" s="3273" t="s">
        <v>29</v>
      </c>
      <c r="B185" s="3262" t="s">
        <v>3209</v>
      </c>
      <c r="C185" s="3274"/>
      <c r="D185" s="3274"/>
      <c r="E185" s="3274"/>
      <c r="F185" s="3263">
        <v>0.05</v>
      </c>
      <c r="G185" s="3280"/>
    </row>
    <row r="186" spans="1:7">
      <c r="A186" s="3273" t="s">
        <v>29</v>
      </c>
      <c r="B186" s="3262" t="s">
        <v>3210</v>
      </c>
      <c r="C186" s="3274"/>
      <c r="D186" s="3274"/>
      <c r="E186" s="3274"/>
      <c r="F186" s="3263">
        <v>0.05</v>
      </c>
      <c r="G186" s="3280"/>
    </row>
    <row r="187" spans="1:7">
      <c r="A187" s="3273" t="s">
        <v>29</v>
      </c>
      <c r="B187" s="3262" t="s">
        <v>3211</v>
      </c>
      <c r="C187" s="3274"/>
      <c r="D187" s="3274"/>
      <c r="E187" s="3274"/>
      <c r="F187" s="3263">
        <v>0.05</v>
      </c>
      <c r="G187" s="3280"/>
    </row>
    <row r="188" spans="1:7">
      <c r="A188" s="3273" t="s">
        <v>29</v>
      </c>
      <c r="B188" s="3262" t="s">
        <v>3212</v>
      </c>
      <c r="C188" s="3274"/>
      <c r="D188" s="3274"/>
      <c r="E188" s="3274"/>
      <c r="F188" s="3263">
        <v>0.05</v>
      </c>
      <c r="G188" s="3280"/>
    </row>
    <row r="189" spans="1:7" ht="14.25" thickBot="1">
      <c r="A189" s="3276" t="s">
        <v>29</v>
      </c>
      <c r="B189" s="3266" t="s">
        <v>3213</v>
      </c>
      <c r="C189" s="3268"/>
      <c r="D189" s="3268"/>
      <c r="E189" s="3268"/>
      <c r="F189" s="3267">
        <v>0.05</v>
      </c>
      <c r="G189" s="3281"/>
    </row>
    <row r="190" spans="1:7">
      <c r="A190" s="3272" t="s">
        <v>304</v>
      </c>
      <c r="B190" s="3258" t="s">
        <v>2869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2905</v>
      </c>
      <c r="C199" s="3263">
        <v>0.13</v>
      </c>
      <c r="D199" s="3263">
        <v>0.13</v>
      </c>
      <c r="E199" s="3263">
        <v>0.13</v>
      </c>
      <c r="F199" s="3263">
        <v>0.13</v>
      </c>
      <c r="G199" s="3264">
        <v>0.13</v>
      </c>
    </row>
    <row r="200" spans="1:7">
      <c r="A200" s="3273" t="s">
        <v>304</v>
      </c>
      <c r="B200" s="3262" t="s">
        <v>2908</v>
      </c>
      <c r="C200" s="3279"/>
      <c r="D200" s="3279"/>
      <c r="E200" s="3279"/>
      <c r="F200" s="3263">
        <v>0.13</v>
      </c>
      <c r="G200" s="3275"/>
    </row>
    <row r="201" spans="1:7">
      <c r="A201" s="3273" t="s">
        <v>304</v>
      </c>
      <c r="B201" s="3262" t="s">
        <v>2913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2916</v>
      </c>
      <c r="C203" s="3263">
        <v>0.129</v>
      </c>
      <c r="D203" s="3263">
        <v>0.129</v>
      </c>
      <c r="E203" s="3263">
        <v>0.13</v>
      </c>
      <c r="F203" s="3263">
        <v>0.13</v>
      </c>
      <c r="G203" s="3264">
        <v>0.13</v>
      </c>
    </row>
    <row r="204" spans="1:7">
      <c r="A204" s="3273" t="s">
        <v>304</v>
      </c>
      <c r="B204" s="3262" t="s">
        <v>2919</v>
      </c>
      <c r="C204" s="3263">
        <v>0.129</v>
      </c>
      <c r="D204" s="3263">
        <v>0.129</v>
      </c>
      <c r="E204" s="3263">
        <v>0.123</v>
      </c>
      <c r="F204" s="3263">
        <v>0.13</v>
      </c>
      <c r="G204" s="3264">
        <v>0.13</v>
      </c>
    </row>
    <row r="205" spans="1:7">
      <c r="A205" s="3273" t="s">
        <v>304</v>
      </c>
      <c r="B205" s="3262" t="s">
        <v>2921</v>
      </c>
      <c r="C205" s="3263">
        <v>0.13</v>
      </c>
      <c r="D205" s="3263">
        <v>0.13</v>
      </c>
      <c r="E205" s="3263">
        <v>0.13</v>
      </c>
      <c r="F205" s="3263">
        <v>0.13</v>
      </c>
      <c r="G205" s="3264">
        <v>0.13</v>
      </c>
    </row>
    <row r="206" spans="1:7">
      <c r="A206" s="3273" t="s">
        <v>304</v>
      </c>
      <c r="B206" s="3262" t="s">
        <v>2924</v>
      </c>
      <c r="C206" s="3263">
        <v>0.13</v>
      </c>
      <c r="D206" s="3263">
        <v>0.13</v>
      </c>
      <c r="E206" s="3263">
        <v>0.13</v>
      </c>
      <c r="F206" s="3263">
        <v>0.128</v>
      </c>
      <c r="G206" s="3264">
        <v>0.13</v>
      </c>
    </row>
    <row r="207" spans="1:7">
      <c r="A207" s="3273" t="s">
        <v>304</v>
      </c>
      <c r="B207" s="3262" t="s">
        <v>2926</v>
      </c>
      <c r="C207" s="3263">
        <v>0.13</v>
      </c>
      <c r="D207" s="3263">
        <v>0.13</v>
      </c>
      <c r="E207" s="3263">
        <v>0.13</v>
      </c>
      <c r="F207" s="3263">
        <v>0.13</v>
      </c>
      <c r="G207" s="3264">
        <v>0.13</v>
      </c>
    </row>
    <row r="208" spans="1:7">
      <c r="A208" s="3273" t="s">
        <v>304</v>
      </c>
      <c r="B208" s="3262" t="s">
        <v>2929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2936</v>
      </c>
      <c r="C210" s="3263">
        <v>0.121</v>
      </c>
      <c r="D210" s="3263">
        <v>0.121</v>
      </c>
      <c r="E210" s="3263">
        <v>0.125</v>
      </c>
      <c r="F210" s="3263">
        <v>0.13</v>
      </c>
      <c r="G210" s="3264">
        <v>0.123</v>
      </c>
    </row>
    <row r="211" spans="1:7">
      <c r="A211" s="3273" t="s">
        <v>304</v>
      </c>
      <c r="B211" s="3262" t="s">
        <v>2939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2951</v>
      </c>
      <c r="C214" s="3263">
        <v>0.128</v>
      </c>
      <c r="D214" s="3263">
        <v>0.128</v>
      </c>
      <c r="E214" s="3263">
        <v>0.13</v>
      </c>
      <c r="F214" s="3263">
        <v>0.13</v>
      </c>
      <c r="G214" s="3264">
        <v>0.13</v>
      </c>
    </row>
    <row r="215" spans="1:7">
      <c r="A215" s="3273" t="s">
        <v>304</v>
      </c>
      <c r="B215" s="3262" t="s">
        <v>2955</v>
      </c>
      <c r="C215" s="3263">
        <v>0.13</v>
      </c>
      <c r="D215" s="3263">
        <v>0.13</v>
      </c>
      <c r="E215" s="3263">
        <v>0.13</v>
      </c>
      <c r="F215" s="3263">
        <v>0.129</v>
      </c>
      <c r="G215" s="3264">
        <v>0.13</v>
      </c>
    </row>
    <row r="216" spans="1:7">
      <c r="A216" s="3273" t="s">
        <v>304</v>
      </c>
      <c r="B216" s="3262" t="s">
        <v>2962</v>
      </c>
      <c r="C216" s="3263">
        <v>0.13</v>
      </c>
      <c r="D216" s="3263">
        <v>0.13</v>
      </c>
      <c r="E216" s="3263">
        <v>0.13</v>
      </c>
      <c r="F216" s="3263">
        <v>0.13</v>
      </c>
      <c r="G216" s="3264">
        <v>0.13</v>
      </c>
    </row>
    <row r="217" spans="1:7">
      <c r="A217" s="3273" t="s">
        <v>304</v>
      </c>
      <c r="B217" s="3262" t="s">
        <v>2969</v>
      </c>
      <c r="C217" s="3263">
        <v>0.129</v>
      </c>
      <c r="D217" s="3263">
        <v>0.129</v>
      </c>
      <c r="E217" s="3263">
        <v>0.13</v>
      </c>
      <c r="F217" s="3263">
        <v>0.13</v>
      </c>
      <c r="G217" s="3264">
        <v>0.13</v>
      </c>
    </row>
    <row r="218" spans="1:7">
      <c r="A218" s="3273" t="s">
        <v>304</v>
      </c>
      <c r="B218" s="3262" t="s">
        <v>2975</v>
      </c>
      <c r="C218" s="3274"/>
      <c r="D218" s="3274"/>
      <c r="E218" s="3274"/>
      <c r="F218" s="3263">
        <v>0.05</v>
      </c>
      <c r="G218" s="3280"/>
    </row>
    <row r="219" spans="1:7">
      <c r="A219" s="3273" t="s">
        <v>304</v>
      </c>
      <c r="B219" s="3262" t="s">
        <v>2982</v>
      </c>
      <c r="C219" s="3274"/>
      <c r="D219" s="3274"/>
      <c r="E219" s="3274"/>
      <c r="F219" s="3263">
        <v>0.05</v>
      </c>
      <c r="G219" s="3280"/>
    </row>
    <row r="220" spans="1:7">
      <c r="A220" s="3273" t="s">
        <v>304</v>
      </c>
      <c r="B220" s="3262" t="s">
        <v>2988</v>
      </c>
      <c r="C220" s="3274"/>
      <c r="D220" s="3274"/>
      <c r="E220" s="3274"/>
      <c r="F220" s="3263">
        <v>0.05</v>
      </c>
      <c r="G220" s="3280"/>
    </row>
    <row r="221" spans="1:7">
      <c r="A221" s="3273" t="s">
        <v>304</v>
      </c>
      <c r="B221" s="3262" t="s">
        <v>2993</v>
      </c>
      <c r="C221" s="3274"/>
      <c r="D221" s="3274"/>
      <c r="E221" s="3274"/>
      <c r="F221" s="3263">
        <v>0.05</v>
      </c>
      <c r="G221" s="3280"/>
    </row>
    <row r="222" spans="1:7">
      <c r="A222" s="3273" t="s">
        <v>304</v>
      </c>
      <c r="B222" s="3262" t="s">
        <v>2997</v>
      </c>
      <c r="C222" s="3274"/>
      <c r="D222" s="3274"/>
      <c r="E222" s="3274"/>
      <c r="F222" s="3263">
        <v>0.05</v>
      </c>
      <c r="G222" s="3280"/>
    </row>
    <row r="223" spans="1:7">
      <c r="A223" s="3273" t="s">
        <v>304</v>
      </c>
      <c r="B223" s="3262" t="s">
        <v>3002</v>
      </c>
      <c r="C223" s="3274"/>
      <c r="D223" s="3274"/>
      <c r="E223" s="3274"/>
      <c r="F223" s="3263">
        <v>0.05</v>
      </c>
      <c r="G223" s="3280"/>
    </row>
    <row r="224" spans="1:7">
      <c r="A224" s="3273" t="s">
        <v>304</v>
      </c>
      <c r="B224" s="3262" t="s">
        <v>3007</v>
      </c>
      <c r="C224" s="3274"/>
      <c r="D224" s="3274"/>
      <c r="E224" s="3274"/>
      <c r="F224" s="3263">
        <v>0.05</v>
      </c>
      <c r="G224" s="3280"/>
    </row>
    <row r="225" spans="1:7">
      <c r="A225" s="3273" t="s">
        <v>304</v>
      </c>
      <c r="B225" s="3262" t="s">
        <v>3012</v>
      </c>
      <c r="C225" s="3274"/>
      <c r="D225" s="3274"/>
      <c r="E225" s="3274"/>
      <c r="F225" s="3263">
        <v>0.05</v>
      </c>
      <c r="G225" s="3280"/>
    </row>
    <row r="226" spans="1:7">
      <c r="A226" s="3273" t="s">
        <v>304</v>
      </c>
      <c r="B226" s="3262" t="s">
        <v>3214</v>
      </c>
      <c r="C226" s="3274"/>
      <c r="D226" s="3274"/>
      <c r="E226" s="3274"/>
      <c r="F226" s="3263">
        <v>0.05</v>
      </c>
      <c r="G226" s="3280"/>
    </row>
    <row r="227" spans="1:7">
      <c r="A227" s="3273" t="s">
        <v>304</v>
      </c>
      <c r="B227" s="3262" t="s">
        <v>3215</v>
      </c>
      <c r="C227" s="3274"/>
      <c r="D227" s="3274"/>
      <c r="E227" s="3274"/>
      <c r="F227" s="3263">
        <v>0.05</v>
      </c>
      <c r="G227" s="3280"/>
    </row>
    <row r="228" spans="1:7">
      <c r="A228" s="3273" t="s">
        <v>304</v>
      </c>
      <c r="B228" s="3262" t="s">
        <v>3216</v>
      </c>
      <c r="C228" s="3274"/>
      <c r="D228" s="3274"/>
      <c r="E228" s="3274"/>
      <c r="F228" s="3263">
        <v>0.05</v>
      </c>
      <c r="G228" s="3280"/>
    </row>
    <row r="229" spans="1:7">
      <c r="A229" s="3273" t="s">
        <v>304</v>
      </c>
      <c r="B229" s="3262" t="s">
        <v>3217</v>
      </c>
      <c r="C229" s="3274"/>
      <c r="D229" s="3274"/>
      <c r="E229" s="3274"/>
      <c r="F229" s="3263">
        <v>0.05</v>
      </c>
      <c r="G229" s="3280"/>
    </row>
    <row r="230" spans="1:7">
      <c r="A230" s="3273" t="s">
        <v>304</v>
      </c>
      <c r="B230" s="3262" t="s">
        <v>3218</v>
      </c>
      <c r="C230" s="3274"/>
      <c r="D230" s="3274"/>
      <c r="E230" s="3274"/>
      <c r="F230" s="3263">
        <v>0.05</v>
      </c>
      <c r="G230" s="3280"/>
    </row>
    <row r="231" spans="1:7">
      <c r="A231" s="3273" t="s">
        <v>304</v>
      </c>
      <c r="B231" s="3262" t="s">
        <v>3219</v>
      </c>
      <c r="C231" s="3274"/>
      <c r="D231" s="3274"/>
      <c r="E231" s="3274"/>
      <c r="F231" s="3263">
        <v>0.05</v>
      </c>
      <c r="G231" s="3280"/>
    </row>
    <row r="232" spans="1:7">
      <c r="A232" s="3273" t="s">
        <v>304</v>
      </c>
      <c r="B232" s="3262" t="s">
        <v>3220</v>
      </c>
      <c r="C232" s="3274"/>
      <c r="D232" s="3274"/>
      <c r="E232" s="3274"/>
      <c r="F232" s="3263">
        <v>0.05</v>
      </c>
      <c r="G232" s="3280"/>
    </row>
    <row r="233" spans="1:7" ht="14.25" thickBot="1">
      <c r="A233" s="3276" t="s">
        <v>304</v>
      </c>
      <c r="B233" s="3266" t="s">
        <v>3221</v>
      </c>
      <c r="C233" s="3268"/>
      <c r="D233" s="3268"/>
      <c r="E233" s="3268"/>
      <c r="F233" s="3267">
        <v>0.05</v>
      </c>
      <c r="G233" s="3281"/>
    </row>
    <row r="234" spans="1:7">
      <c r="A234" s="3272" t="s">
        <v>305</v>
      </c>
      <c r="B234" s="3258" t="s">
        <v>2870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2890</v>
      </c>
      <c r="C238" s="3263">
        <v>0.14899999999999999</v>
      </c>
      <c r="D238" s="3263">
        <v>0.14899999999999999</v>
      </c>
      <c r="E238" s="3263">
        <v>0.15</v>
      </c>
      <c r="F238" s="3263">
        <v>0.15</v>
      </c>
      <c r="G238" s="3264">
        <v>0.15</v>
      </c>
    </row>
    <row r="239" spans="1:7">
      <c r="A239" s="3273" t="s">
        <v>305</v>
      </c>
      <c r="B239" s="3262" t="s">
        <v>2894</v>
      </c>
      <c r="C239" s="3263">
        <v>0.15</v>
      </c>
      <c r="D239" s="3263">
        <v>0.15</v>
      </c>
      <c r="E239" s="3263">
        <v>0.15</v>
      </c>
      <c r="F239" s="3263">
        <v>0.15</v>
      </c>
      <c r="G239" s="3264">
        <v>0.15</v>
      </c>
    </row>
    <row r="240" spans="1:7">
      <c r="A240" s="3273" t="s">
        <v>305</v>
      </c>
      <c r="B240" s="3262" t="s">
        <v>2899</v>
      </c>
      <c r="C240" s="3263">
        <v>0.15</v>
      </c>
      <c r="D240" s="3263">
        <v>0.15</v>
      </c>
      <c r="E240" s="3263">
        <v>0.15</v>
      </c>
      <c r="F240" s="3263">
        <v>0.15</v>
      </c>
      <c r="G240" s="3264">
        <v>0.15</v>
      </c>
    </row>
    <row r="241" spans="1:7">
      <c r="A241" s="3273" t="s">
        <v>305</v>
      </c>
      <c r="B241" s="3262" t="s">
        <v>2903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2922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2930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2952</v>
      </c>
      <c r="C258" s="3263">
        <v>0.14299999999999999</v>
      </c>
      <c r="D258" s="3263">
        <v>0.14299999999999999</v>
      </c>
      <c r="E258" s="3263">
        <v>0.15</v>
      </c>
      <c r="F258" s="3263">
        <v>0.14799999999999999</v>
      </c>
      <c r="G258" s="3264">
        <v>0.14599999999999999</v>
      </c>
    </row>
    <row r="259" spans="1:7">
      <c r="A259" s="3273" t="s">
        <v>305</v>
      </c>
      <c r="B259" s="3262" t="s">
        <v>2956</v>
      </c>
      <c r="C259" s="3263">
        <v>0.14399999999999999</v>
      </c>
      <c r="D259" s="3263">
        <v>0.14399999999999999</v>
      </c>
      <c r="E259" s="3263">
        <v>0.14899999999999999</v>
      </c>
      <c r="F259" s="3263">
        <v>0.14699999999999999</v>
      </c>
      <c r="G259" s="3264">
        <v>0.14599999999999999</v>
      </c>
    </row>
    <row r="260" spans="1:7">
      <c r="A260" s="3273" t="s">
        <v>305</v>
      </c>
      <c r="B260" s="3262" t="s">
        <v>2963</v>
      </c>
      <c r="C260" s="3263">
        <v>0.109</v>
      </c>
      <c r="D260" s="3263">
        <v>0.111</v>
      </c>
      <c r="E260" s="3263">
        <v>0.13100000000000001</v>
      </c>
      <c r="F260" s="3263">
        <v>0.126</v>
      </c>
      <c r="G260" s="3264">
        <v>0.11899999999999999</v>
      </c>
    </row>
    <row r="261" spans="1:7">
      <c r="A261" s="3273" t="s">
        <v>305</v>
      </c>
      <c r="B261" s="3262" t="s">
        <v>2970</v>
      </c>
      <c r="C261" s="3263">
        <v>0.1</v>
      </c>
      <c r="D261" s="3263">
        <v>0.1</v>
      </c>
      <c r="E261" s="3263">
        <v>0.11799999999999999</v>
      </c>
      <c r="F261" s="3263">
        <v>0.108</v>
      </c>
      <c r="G261" s="3264">
        <v>0.107</v>
      </c>
    </row>
    <row r="262" spans="1:7">
      <c r="A262" s="3273" t="s">
        <v>305</v>
      </c>
      <c r="B262" s="3262" t="s">
        <v>2976</v>
      </c>
      <c r="C262" s="3263">
        <v>0.1</v>
      </c>
      <c r="D262" s="3263">
        <v>0.1</v>
      </c>
      <c r="E262" s="3263">
        <v>0.1</v>
      </c>
      <c r="F262" s="3263">
        <v>0.14099999999999999</v>
      </c>
      <c r="G262" s="3264">
        <v>0.1</v>
      </c>
    </row>
    <row r="263" spans="1:7">
      <c r="A263" s="3273" t="s">
        <v>305</v>
      </c>
      <c r="B263" s="3262" t="s">
        <v>2983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2994</v>
      </c>
      <c r="C265" s="3274"/>
      <c r="D265" s="3274"/>
      <c r="E265" s="3274"/>
      <c r="F265" s="3263">
        <v>0.05</v>
      </c>
      <c r="G265" s="3280"/>
    </row>
    <row r="266" spans="1:7">
      <c r="A266" s="3273" t="s">
        <v>305</v>
      </c>
      <c r="B266" s="3262" t="s">
        <v>2998</v>
      </c>
      <c r="C266" s="3274"/>
      <c r="D266" s="3274"/>
      <c r="E266" s="3274"/>
      <c r="F266" s="3263">
        <v>0.05</v>
      </c>
      <c r="G266" s="3280"/>
    </row>
    <row r="267" spans="1:7">
      <c r="A267" s="3273" t="s">
        <v>305</v>
      </c>
      <c r="B267" s="3262" t="s">
        <v>3003</v>
      </c>
      <c r="C267" s="3274"/>
      <c r="D267" s="3274"/>
      <c r="E267" s="3274"/>
      <c r="F267" s="3263">
        <v>0.05</v>
      </c>
      <c r="G267" s="3280"/>
    </row>
    <row r="268" spans="1:7">
      <c r="A268" s="3273" t="s">
        <v>305</v>
      </c>
      <c r="B268" s="3262" t="s">
        <v>3008</v>
      </c>
      <c r="C268" s="3274"/>
      <c r="D268" s="3274"/>
      <c r="E268" s="3274"/>
      <c r="F268" s="3263">
        <v>0.05</v>
      </c>
      <c r="G268" s="3280"/>
    </row>
    <row r="269" spans="1:7">
      <c r="A269" s="3273" t="s">
        <v>305</v>
      </c>
      <c r="B269" s="3262" t="s">
        <v>3013</v>
      </c>
      <c r="C269" s="3274"/>
      <c r="D269" s="3274"/>
      <c r="E269" s="3274"/>
      <c r="F269" s="3263">
        <v>0.05</v>
      </c>
      <c r="G269" s="3280"/>
    </row>
    <row r="270" spans="1:7">
      <c r="A270" s="3273" t="s">
        <v>305</v>
      </c>
      <c r="B270" s="3262" t="s">
        <v>3018</v>
      </c>
      <c r="C270" s="3274"/>
      <c r="D270" s="3274"/>
      <c r="E270" s="3274"/>
      <c r="F270" s="3263">
        <v>0.05</v>
      </c>
      <c r="G270" s="3280"/>
    </row>
    <row r="271" spans="1:7">
      <c r="A271" s="3273" t="s">
        <v>305</v>
      </c>
      <c r="B271" s="3262" t="s">
        <v>3222</v>
      </c>
      <c r="C271" s="3274"/>
      <c r="D271" s="3274"/>
      <c r="E271" s="3274"/>
      <c r="F271" s="3263">
        <v>0.05</v>
      </c>
      <c r="G271" s="3280"/>
    </row>
    <row r="272" spans="1:7">
      <c r="A272" s="3273" t="s">
        <v>305</v>
      </c>
      <c r="B272" s="3262" t="s">
        <v>3223</v>
      </c>
      <c r="C272" s="3274"/>
      <c r="D272" s="3274"/>
      <c r="E272" s="3274"/>
      <c r="F272" s="3263">
        <v>0.05</v>
      </c>
      <c r="G272" s="3280"/>
    </row>
    <row r="273" spans="1:7">
      <c r="A273" s="3273" t="s">
        <v>305</v>
      </c>
      <c r="B273" s="3262" t="s">
        <v>3224</v>
      </c>
      <c r="C273" s="3274"/>
      <c r="D273" s="3274"/>
      <c r="E273" s="3274"/>
      <c r="F273" s="3263">
        <v>0.05</v>
      </c>
      <c r="G273" s="3280"/>
    </row>
    <row r="274" spans="1:7">
      <c r="A274" s="3273" t="s">
        <v>305</v>
      </c>
      <c r="B274" s="3262" t="s">
        <v>3225</v>
      </c>
      <c r="C274" s="3274"/>
      <c r="D274" s="3274"/>
      <c r="E274" s="3274"/>
      <c r="F274" s="3263">
        <v>0.05</v>
      </c>
      <c r="G274" s="3280"/>
    </row>
    <row r="275" spans="1:7">
      <c r="A275" s="3273" t="s">
        <v>305</v>
      </c>
      <c r="B275" s="3262" t="s">
        <v>3226</v>
      </c>
      <c r="C275" s="3274"/>
      <c r="D275" s="3274"/>
      <c r="E275" s="3274"/>
      <c r="F275" s="3263">
        <v>0.05</v>
      </c>
      <c r="G275" s="3280"/>
    </row>
    <row r="276" spans="1:7" ht="14.25" thickBot="1">
      <c r="A276" s="3276" t="s">
        <v>305</v>
      </c>
      <c r="B276" s="3266" t="s">
        <v>3227</v>
      </c>
      <c r="C276" s="3268"/>
      <c r="D276" s="3268"/>
      <c r="E276" s="3268"/>
      <c r="F276" s="3267">
        <v>0.05</v>
      </c>
      <c r="G276" s="3281"/>
    </row>
    <row r="277" spans="1:7">
      <c r="A277" s="3272" t="s">
        <v>306</v>
      </c>
      <c r="B277" s="3258" t="s">
        <v>2871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2883</v>
      </c>
      <c r="C279" s="3263">
        <v>0.15</v>
      </c>
      <c r="D279" s="3263">
        <v>0.15</v>
      </c>
      <c r="E279" s="3263">
        <v>0.15</v>
      </c>
      <c r="F279" s="3263">
        <v>0.15</v>
      </c>
      <c r="G279" s="3264">
        <v>0.15</v>
      </c>
    </row>
    <row r="280" spans="1:7">
      <c r="A280" s="3273" t="s">
        <v>306</v>
      </c>
      <c r="B280" s="3262" t="s">
        <v>2887</v>
      </c>
      <c r="C280" s="3263">
        <v>0.15</v>
      </c>
      <c r="D280" s="3263">
        <v>0.15</v>
      </c>
      <c r="E280" s="3263">
        <v>0.15</v>
      </c>
      <c r="F280" s="3263">
        <v>0.15</v>
      </c>
      <c r="G280" s="3264">
        <v>0.15</v>
      </c>
    </row>
    <row r="281" spans="1:7">
      <c r="A281" s="3273" t="s">
        <v>306</v>
      </c>
      <c r="B281" s="3262" t="s">
        <v>2891</v>
      </c>
      <c r="C281" s="3263">
        <v>0.15</v>
      </c>
      <c r="D281" s="3263">
        <v>0.15</v>
      </c>
      <c r="E281" s="3263">
        <v>0.15</v>
      </c>
      <c r="F281" s="3263">
        <v>0.15</v>
      </c>
      <c r="G281" s="3264">
        <v>0.15</v>
      </c>
    </row>
    <row r="282" spans="1:7">
      <c r="A282" s="3273" t="s">
        <v>306</v>
      </c>
      <c r="B282" s="3262" t="s">
        <v>2895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2910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2925</v>
      </c>
      <c r="C293" s="3263">
        <v>0.15</v>
      </c>
      <c r="D293" s="3263">
        <v>0.15</v>
      </c>
      <c r="E293" s="3263">
        <v>0.15</v>
      </c>
      <c r="F293" s="3263">
        <v>0.14499999999999999</v>
      </c>
      <c r="G293" s="3264">
        <v>0.15</v>
      </c>
    </row>
    <row r="294" spans="1:7">
      <c r="A294" s="3273" t="s">
        <v>306</v>
      </c>
      <c r="B294" s="3262" t="s">
        <v>2927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2957</v>
      </c>
      <c r="C302" s="3263">
        <v>0.15</v>
      </c>
      <c r="D302" s="3263">
        <v>0.15</v>
      </c>
      <c r="E302" s="3263">
        <v>0.15</v>
      </c>
      <c r="F302" s="3263">
        <v>0.14699999999999999</v>
      </c>
      <c r="G302" s="3264">
        <v>0.15</v>
      </c>
    </row>
    <row r="303" spans="1:7">
      <c r="A303" s="3273" t="s">
        <v>306</v>
      </c>
      <c r="B303" s="3262" t="s">
        <v>2964</v>
      </c>
      <c r="C303" s="3263">
        <v>0.15</v>
      </c>
      <c r="D303" s="3263">
        <v>0.15</v>
      </c>
      <c r="E303" s="3263">
        <v>0.15</v>
      </c>
      <c r="F303" s="3263">
        <v>0.14199999999999999</v>
      </c>
      <c r="G303" s="3264">
        <v>0.15</v>
      </c>
    </row>
    <row r="304" spans="1:7">
      <c r="A304" s="3273" t="s">
        <v>306</v>
      </c>
      <c r="B304" s="3262" t="s">
        <v>2971</v>
      </c>
      <c r="C304" s="3263">
        <v>0.15</v>
      </c>
      <c r="D304" s="3263">
        <v>0.15</v>
      </c>
      <c r="E304" s="3263">
        <v>0.15</v>
      </c>
      <c r="F304" s="3263">
        <v>0.14499999999999999</v>
      </c>
      <c r="G304" s="3264">
        <v>0.15</v>
      </c>
    </row>
    <row r="305" spans="1:7">
      <c r="A305" s="3273" t="s">
        <v>306</v>
      </c>
      <c r="B305" s="3262" t="s">
        <v>2977</v>
      </c>
      <c r="C305" s="3263">
        <v>0.15</v>
      </c>
      <c r="D305" s="3263">
        <v>0.15</v>
      </c>
      <c r="E305" s="3263">
        <v>0.15</v>
      </c>
      <c r="F305" s="3263">
        <v>0.111</v>
      </c>
      <c r="G305" s="3264">
        <v>0.15</v>
      </c>
    </row>
    <row r="306" spans="1:7">
      <c r="A306" s="3273" t="s">
        <v>306</v>
      </c>
      <c r="B306" s="3262" t="s">
        <v>2984</v>
      </c>
      <c r="C306" s="3263">
        <v>0.15</v>
      </c>
      <c r="D306" s="3263">
        <v>0.15</v>
      </c>
      <c r="E306" s="3263">
        <v>0.15</v>
      </c>
      <c r="F306" s="3263">
        <v>0.126</v>
      </c>
      <c r="G306" s="3264">
        <v>0.15</v>
      </c>
    </row>
    <row r="307" spans="1:7">
      <c r="A307" s="3273" t="s">
        <v>306</v>
      </c>
      <c r="B307" s="3262" t="s">
        <v>2989</v>
      </c>
      <c r="C307" s="3263">
        <v>0.15</v>
      </c>
      <c r="D307" s="3263">
        <v>0.15</v>
      </c>
      <c r="E307" s="3263">
        <v>0.15</v>
      </c>
      <c r="F307" s="3263">
        <v>0.12</v>
      </c>
      <c r="G307" s="3264">
        <v>0.15</v>
      </c>
    </row>
    <row r="308" spans="1:7">
      <c r="A308" s="3273" t="s">
        <v>306</v>
      </c>
      <c r="B308" s="3262" t="s">
        <v>2995</v>
      </c>
      <c r="C308" s="3263">
        <v>0.15</v>
      </c>
      <c r="D308" s="3263">
        <v>0.15</v>
      </c>
      <c r="E308" s="3263">
        <v>0.15</v>
      </c>
      <c r="F308" s="3263">
        <v>0.13</v>
      </c>
      <c r="G308" s="3264">
        <v>0.15</v>
      </c>
    </row>
    <row r="309" spans="1:7">
      <c r="A309" s="3273" t="s">
        <v>306</v>
      </c>
      <c r="B309" s="3262" t="s">
        <v>2999</v>
      </c>
      <c r="C309" s="3263">
        <v>0.15</v>
      </c>
      <c r="D309" s="3263">
        <v>0.15</v>
      </c>
      <c r="E309" s="3263">
        <v>0.15</v>
      </c>
      <c r="F309" s="3263">
        <v>0.14099999999999999</v>
      </c>
      <c r="G309" s="3264">
        <v>0.15</v>
      </c>
    </row>
    <row r="310" spans="1:7">
      <c r="A310" s="3273" t="s">
        <v>306</v>
      </c>
      <c r="B310" s="3262" t="s">
        <v>3004</v>
      </c>
      <c r="C310" s="3263">
        <v>0.15</v>
      </c>
      <c r="D310" s="3263">
        <v>0.15</v>
      </c>
      <c r="E310" s="3263">
        <v>0.15</v>
      </c>
      <c r="F310" s="3263">
        <v>0.15</v>
      </c>
      <c r="G310" s="3264">
        <v>0.15</v>
      </c>
    </row>
    <row r="311" spans="1:7">
      <c r="A311" s="3273" t="s">
        <v>306</v>
      </c>
      <c r="B311" s="3262" t="s">
        <v>3009</v>
      </c>
      <c r="C311" s="3263">
        <v>0.13200000000000001</v>
      </c>
      <c r="D311" s="3263">
        <v>0.13300000000000001</v>
      </c>
      <c r="E311" s="3263">
        <v>0.14499999999999999</v>
      </c>
      <c r="F311" s="3263">
        <v>0.14199999999999999</v>
      </c>
      <c r="G311" s="3264">
        <v>0.14000000000000001</v>
      </c>
    </row>
    <row r="312" spans="1:7">
      <c r="A312" s="3273" t="s">
        <v>306</v>
      </c>
      <c r="B312" s="3262" t="s">
        <v>3014</v>
      </c>
      <c r="C312" s="3263">
        <v>0.13800000000000001</v>
      </c>
      <c r="D312" s="3263">
        <v>0.14000000000000001</v>
      </c>
      <c r="E312" s="3263">
        <v>0.14599999999999999</v>
      </c>
      <c r="F312" s="3263">
        <v>0.14899999999999999</v>
      </c>
      <c r="G312" s="3264">
        <v>0.14199999999999999</v>
      </c>
    </row>
    <row r="313" spans="1:7">
      <c r="A313" s="3273" t="s">
        <v>306</v>
      </c>
      <c r="B313" s="3262" t="s">
        <v>3019</v>
      </c>
      <c r="C313" s="3263">
        <v>0.125</v>
      </c>
      <c r="D313" s="3263">
        <v>0.127</v>
      </c>
      <c r="E313" s="3263">
        <v>0.14399999999999999</v>
      </c>
      <c r="F313" s="3263">
        <v>0.115</v>
      </c>
      <c r="G313" s="3264">
        <v>0.13600000000000001</v>
      </c>
    </row>
    <row r="314" spans="1:7">
      <c r="A314" s="3273" t="s">
        <v>306</v>
      </c>
      <c r="B314" s="3262" t="s">
        <v>3228</v>
      </c>
      <c r="C314" s="3279"/>
      <c r="D314" s="3279"/>
      <c r="E314" s="3279"/>
      <c r="F314" s="3263">
        <v>0.05</v>
      </c>
      <c r="G314" s="3280"/>
    </row>
    <row r="315" spans="1:7">
      <c r="A315" s="3273" t="s">
        <v>306</v>
      </c>
      <c r="B315" s="3262" t="s">
        <v>3229</v>
      </c>
      <c r="C315" s="3279"/>
      <c r="D315" s="3279"/>
      <c r="E315" s="3279"/>
      <c r="F315" s="3263">
        <v>0.05</v>
      </c>
      <c r="G315" s="3280"/>
    </row>
    <row r="316" spans="1:7">
      <c r="A316" s="3273" t="s">
        <v>306</v>
      </c>
      <c r="B316" s="3262" t="s">
        <v>3230</v>
      </c>
      <c r="C316" s="3274"/>
      <c r="D316" s="3274"/>
      <c r="E316" s="3274"/>
      <c r="F316" s="3263">
        <v>0.05</v>
      </c>
      <c r="G316" s="3280"/>
    </row>
    <row r="317" spans="1:7">
      <c r="A317" s="3273" t="s">
        <v>306</v>
      </c>
      <c r="B317" s="3262" t="s">
        <v>3231</v>
      </c>
      <c r="C317" s="3274"/>
      <c r="D317" s="3274"/>
      <c r="E317" s="3274"/>
      <c r="F317" s="3263">
        <v>0.05</v>
      </c>
      <c r="G317" s="3280"/>
    </row>
    <row r="318" spans="1:7">
      <c r="A318" s="3273" t="s">
        <v>306</v>
      </c>
      <c r="B318" s="3262" t="s">
        <v>3232</v>
      </c>
      <c r="C318" s="3274"/>
      <c r="D318" s="3274"/>
      <c r="E318" s="3274"/>
      <c r="F318" s="3263">
        <v>0.05</v>
      </c>
      <c r="G318" s="3280"/>
    </row>
    <row r="319" spans="1:7">
      <c r="A319" s="3273" t="s">
        <v>306</v>
      </c>
      <c r="B319" s="3262" t="s">
        <v>3233</v>
      </c>
      <c r="C319" s="3274"/>
      <c r="D319" s="3274"/>
      <c r="E319" s="3274"/>
      <c r="F319" s="3263">
        <v>0.05</v>
      </c>
      <c r="G319" s="3280"/>
    </row>
    <row r="320" spans="1:7">
      <c r="A320" s="3273" t="s">
        <v>306</v>
      </c>
      <c r="B320" s="3262" t="s">
        <v>3234</v>
      </c>
      <c r="C320" s="3274"/>
      <c r="D320" s="3274"/>
      <c r="E320" s="3274"/>
      <c r="F320" s="3263">
        <v>0.05</v>
      </c>
      <c r="G320" s="3280"/>
    </row>
    <row r="321" spans="1:7">
      <c r="A321" s="3273" t="s">
        <v>306</v>
      </c>
      <c r="B321" s="3262" t="s">
        <v>3235</v>
      </c>
      <c r="C321" s="3274"/>
      <c r="D321" s="3274"/>
      <c r="E321" s="3274"/>
      <c r="F321" s="3263">
        <v>0.05</v>
      </c>
      <c r="G321" s="3280"/>
    </row>
    <row r="322" spans="1:7">
      <c r="A322" s="3273" t="s">
        <v>306</v>
      </c>
      <c r="B322" s="3262" t="s">
        <v>3236</v>
      </c>
      <c r="C322" s="3274"/>
      <c r="D322" s="3274"/>
      <c r="E322" s="3274"/>
      <c r="F322" s="3263">
        <v>0.05</v>
      </c>
      <c r="G322" s="3280"/>
    </row>
    <row r="323" spans="1:7">
      <c r="A323" s="3273" t="s">
        <v>306</v>
      </c>
      <c r="B323" s="3262" t="s">
        <v>3237</v>
      </c>
      <c r="C323" s="3274"/>
      <c r="D323" s="3274"/>
      <c r="E323" s="3274"/>
      <c r="F323" s="3263">
        <v>0.05</v>
      </c>
      <c r="G323" s="3280"/>
    </row>
    <row r="324" spans="1:7">
      <c r="A324" s="3273" t="s">
        <v>306</v>
      </c>
      <c r="B324" s="3262" t="s">
        <v>3238</v>
      </c>
      <c r="C324" s="3274"/>
      <c r="D324" s="3274"/>
      <c r="E324" s="3274"/>
      <c r="F324" s="3263">
        <v>0.05</v>
      </c>
      <c r="G324" s="3280"/>
    </row>
    <row r="325" spans="1:7">
      <c r="A325" s="3273" t="s">
        <v>306</v>
      </c>
      <c r="B325" s="3262" t="s">
        <v>3239</v>
      </c>
      <c r="C325" s="3274"/>
      <c r="D325" s="3274"/>
      <c r="E325" s="3274"/>
      <c r="F325" s="3263">
        <v>0.05</v>
      </c>
      <c r="G325" s="3280"/>
    </row>
    <row r="326" spans="1:7" ht="14.25" thickBot="1">
      <c r="A326" s="3276" t="s">
        <v>306</v>
      </c>
      <c r="B326" s="3266" t="s">
        <v>3240</v>
      </c>
      <c r="C326" s="3268"/>
      <c r="D326" s="3268"/>
      <c r="E326" s="3268"/>
      <c r="F326" s="3267">
        <v>0.05</v>
      </c>
      <c r="G326" s="3281"/>
    </row>
    <row r="327" spans="1:7">
      <c r="A327" s="3272" t="s">
        <v>307</v>
      </c>
      <c r="B327" s="3258" t="s">
        <v>2872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2884</v>
      </c>
      <c r="C329" s="3263">
        <v>0.15</v>
      </c>
      <c r="D329" s="3263">
        <v>0.15</v>
      </c>
      <c r="E329" s="3263">
        <v>0.15</v>
      </c>
      <c r="F329" s="3263">
        <v>0.15</v>
      </c>
      <c r="G329" s="3264">
        <v>0.15</v>
      </c>
    </row>
    <row r="330" spans="1:7">
      <c r="A330" s="3273" t="s">
        <v>307</v>
      </c>
      <c r="B330" s="3262" t="s">
        <v>2888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2896</v>
      </c>
      <c r="C332" s="3263">
        <v>0.15</v>
      </c>
      <c r="D332" s="3263">
        <v>0.15</v>
      </c>
      <c r="E332" s="3263">
        <v>0.15</v>
      </c>
      <c r="F332" s="3263">
        <v>0.15</v>
      </c>
      <c r="G332" s="3264">
        <v>0.15</v>
      </c>
    </row>
    <row r="333" spans="1:7">
      <c r="A333" s="3273" t="s">
        <v>307</v>
      </c>
      <c r="B333" s="3262" t="s">
        <v>2900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2906</v>
      </c>
      <c r="C336" s="3263">
        <v>0.15</v>
      </c>
      <c r="D336" s="3263">
        <v>0.15</v>
      </c>
      <c r="E336" s="3263">
        <v>0.15</v>
      </c>
      <c r="F336" s="3263">
        <v>0.14199999999999999</v>
      </c>
      <c r="G336" s="3264">
        <v>0.15</v>
      </c>
    </row>
    <row r="337" spans="1:7">
      <c r="A337" s="3273" t="s">
        <v>307</v>
      </c>
      <c r="B337" s="3262" t="s">
        <v>2911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2931</v>
      </c>
      <c r="C345" s="3263">
        <v>0.15</v>
      </c>
      <c r="D345" s="3263">
        <v>0.15</v>
      </c>
      <c r="E345" s="3263">
        <v>0.15</v>
      </c>
      <c r="F345" s="3263">
        <v>0.13800000000000001</v>
      </c>
      <c r="G345" s="3264">
        <v>0.15</v>
      </c>
    </row>
    <row r="346" spans="1:7">
      <c r="A346" s="3273" t="s">
        <v>307</v>
      </c>
      <c r="B346" s="3262" t="s">
        <v>2933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2940</v>
      </c>
      <c r="C348" s="3263">
        <v>0.15</v>
      </c>
      <c r="D348" s="3263">
        <v>0.15</v>
      </c>
      <c r="E348" s="3263">
        <v>0.15</v>
      </c>
      <c r="F348" s="3263">
        <v>0.14399999999999999</v>
      </c>
      <c r="G348" s="3264">
        <v>0.15</v>
      </c>
    </row>
    <row r="349" spans="1:7">
      <c r="A349" s="3273" t="s">
        <v>307</v>
      </c>
      <c r="B349" s="3262" t="s">
        <v>2945</v>
      </c>
      <c r="C349" s="3263">
        <v>0.15</v>
      </c>
      <c r="D349" s="3263">
        <v>0.15</v>
      </c>
      <c r="E349" s="3263">
        <v>0.15</v>
      </c>
      <c r="F349" s="3263">
        <v>0.15</v>
      </c>
      <c r="G349" s="3264">
        <v>0.15</v>
      </c>
    </row>
    <row r="350" spans="1:7">
      <c r="A350" s="3273" t="s">
        <v>307</v>
      </c>
      <c r="B350" s="3262" t="s">
        <v>2948</v>
      </c>
      <c r="C350" s="3263">
        <v>0.15</v>
      </c>
      <c r="D350" s="3263">
        <v>0.15</v>
      </c>
      <c r="E350" s="3263">
        <v>0.15</v>
      </c>
      <c r="F350" s="3263">
        <v>0.14699999999999999</v>
      </c>
      <c r="G350" s="3264">
        <v>0.15</v>
      </c>
    </row>
    <row r="351" spans="1:7">
      <c r="A351" s="3273" t="s">
        <v>307</v>
      </c>
      <c r="B351" s="3262" t="s">
        <v>2953</v>
      </c>
      <c r="C351" s="3263">
        <v>0.15</v>
      </c>
      <c r="D351" s="3263">
        <v>0.15</v>
      </c>
      <c r="E351" s="3263">
        <v>0.15</v>
      </c>
      <c r="F351" s="3263">
        <v>0.13</v>
      </c>
      <c r="G351" s="3264">
        <v>0.15</v>
      </c>
    </row>
    <row r="352" spans="1:7">
      <c r="A352" s="3273" t="s">
        <v>307</v>
      </c>
      <c r="B352" s="3262" t="s">
        <v>2958</v>
      </c>
      <c r="C352" s="3263">
        <v>0.15</v>
      </c>
      <c r="D352" s="3263">
        <v>0.15</v>
      </c>
      <c r="E352" s="3263">
        <v>0.15</v>
      </c>
      <c r="F352" s="3263">
        <v>0.14599999999999999</v>
      </c>
      <c r="G352" s="3264">
        <v>0.15</v>
      </c>
    </row>
    <row r="353" spans="1:7">
      <c r="A353" s="3273" t="s">
        <v>307</v>
      </c>
      <c r="B353" s="3262" t="s">
        <v>2965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2978</v>
      </c>
      <c r="C355" s="3263">
        <v>0.15</v>
      </c>
      <c r="D355" s="3263">
        <v>0.15</v>
      </c>
      <c r="E355" s="3263">
        <v>0.15</v>
      </c>
      <c r="F355" s="3263">
        <v>0.15</v>
      </c>
      <c r="G355" s="3264">
        <v>0.15</v>
      </c>
    </row>
    <row r="356" spans="1:7">
      <c r="A356" s="3273" t="s">
        <v>307</v>
      </c>
      <c r="B356" s="3262" t="s">
        <v>2985</v>
      </c>
      <c r="C356" s="3263">
        <v>0.15</v>
      </c>
      <c r="D356" s="3263">
        <v>0.15</v>
      </c>
      <c r="E356" s="3263">
        <v>0.15</v>
      </c>
      <c r="F356" s="3263">
        <v>0.15</v>
      </c>
      <c r="G356" s="3264">
        <v>0.15</v>
      </c>
    </row>
    <row r="357" spans="1:7" ht="14.25" thickBot="1">
      <c r="A357" s="3276" t="s">
        <v>307</v>
      </c>
      <c r="B357" s="3266" t="s">
        <v>2990</v>
      </c>
      <c r="C357" s="3267">
        <v>0.126</v>
      </c>
      <c r="D357" s="3267">
        <v>0.127</v>
      </c>
      <c r="E357" s="3267">
        <v>0.14299999999999999</v>
      </c>
      <c r="F357" s="3267">
        <v>0.125</v>
      </c>
      <c r="G357" s="3269">
        <v>0.129</v>
      </c>
    </row>
    <row r="358" spans="1:7">
      <c r="A358" s="3272" t="s">
        <v>2859</v>
      </c>
      <c r="B358" s="3258" t="s">
        <v>2873</v>
      </c>
      <c r="C358" s="3259">
        <v>0.15</v>
      </c>
      <c r="D358" s="3259">
        <v>0.15</v>
      </c>
      <c r="E358" s="3259">
        <v>0.15</v>
      </c>
      <c r="F358" s="3259">
        <v>0.15</v>
      </c>
      <c r="G358" s="3260">
        <v>0.15</v>
      </c>
    </row>
    <row r="359" spans="1:7">
      <c r="A359" s="3273" t="s">
        <v>2859</v>
      </c>
      <c r="B359" s="3262" t="s">
        <v>2879</v>
      </c>
      <c r="C359" s="3263">
        <v>0.1</v>
      </c>
      <c r="D359" s="3263">
        <v>0.1</v>
      </c>
      <c r="E359" s="3263">
        <v>0.1</v>
      </c>
      <c r="F359" s="3263">
        <v>0.1</v>
      </c>
      <c r="G359" s="3264">
        <v>0.1</v>
      </c>
    </row>
    <row r="360" spans="1:7">
      <c r="A360" s="3273" t="s">
        <v>2859</v>
      </c>
      <c r="B360" s="3262" t="s">
        <v>2885</v>
      </c>
      <c r="C360" s="3263">
        <v>0.15</v>
      </c>
      <c r="D360" s="3263">
        <v>0.15</v>
      </c>
      <c r="E360" s="3263">
        <v>0.15</v>
      </c>
      <c r="F360" s="3263">
        <v>0.14899999999999999</v>
      </c>
      <c r="G360" s="3264">
        <v>0.15</v>
      </c>
    </row>
    <row r="361" spans="1:7">
      <c r="A361" s="3273" t="s">
        <v>2859</v>
      </c>
      <c r="B361" s="3262" t="s">
        <v>153</v>
      </c>
      <c r="C361" s="3263">
        <v>0.15</v>
      </c>
      <c r="D361" s="3263">
        <v>0.15</v>
      </c>
      <c r="E361" s="3263">
        <v>0.15</v>
      </c>
      <c r="F361" s="3263">
        <v>0.115</v>
      </c>
      <c r="G361" s="3264">
        <v>0.15</v>
      </c>
    </row>
    <row r="362" spans="1:7">
      <c r="A362" s="3273" t="s">
        <v>2859</v>
      </c>
      <c r="B362" s="3262" t="s">
        <v>2892</v>
      </c>
      <c r="C362" s="3263">
        <v>0.15</v>
      </c>
      <c r="D362" s="3263">
        <v>0.15</v>
      </c>
      <c r="E362" s="3263">
        <v>0.15</v>
      </c>
      <c r="F362" s="3263">
        <v>0.106</v>
      </c>
      <c r="G362" s="3264">
        <v>0.15</v>
      </c>
    </row>
    <row r="363" spans="1:7">
      <c r="A363" s="3273" t="s">
        <v>2859</v>
      </c>
      <c r="B363" s="3262" t="s">
        <v>2897</v>
      </c>
      <c r="C363" s="3263">
        <v>0.15</v>
      </c>
      <c r="D363" s="3263">
        <v>0.15</v>
      </c>
      <c r="E363" s="3263">
        <v>0.15</v>
      </c>
      <c r="F363" s="3263">
        <v>0.14699999999999999</v>
      </c>
      <c r="G363" s="3264">
        <v>0.15</v>
      </c>
    </row>
    <row r="364" spans="1:7">
      <c r="A364" s="3273" t="s">
        <v>2859</v>
      </c>
      <c r="B364" s="3262" t="s">
        <v>2901</v>
      </c>
      <c r="C364" s="3263">
        <v>0.15</v>
      </c>
      <c r="D364" s="3263">
        <v>0.15</v>
      </c>
      <c r="E364" s="3263">
        <v>0.15</v>
      </c>
      <c r="F364" s="3263">
        <v>0.14799999999999999</v>
      </c>
      <c r="G364" s="3264">
        <v>0.15</v>
      </c>
    </row>
    <row r="365" spans="1:7">
      <c r="A365" s="3273" t="s">
        <v>2859</v>
      </c>
      <c r="B365" s="3262" t="s">
        <v>200</v>
      </c>
      <c r="C365" s="3263">
        <v>0.15</v>
      </c>
      <c r="D365" s="3263">
        <v>0.15</v>
      </c>
      <c r="E365" s="3263">
        <v>0.15</v>
      </c>
      <c r="F365" s="3263">
        <v>0.15</v>
      </c>
      <c r="G365" s="3264">
        <v>0.15</v>
      </c>
    </row>
    <row r="366" spans="1:7">
      <c r="A366" s="3273" t="s">
        <v>2859</v>
      </c>
      <c r="B366" s="3262" t="s">
        <v>2904</v>
      </c>
      <c r="C366" s="3263">
        <v>0.15</v>
      </c>
      <c r="D366" s="3263">
        <v>0.15</v>
      </c>
      <c r="E366" s="3263">
        <v>0.15</v>
      </c>
      <c r="F366" s="3263">
        <v>0.15</v>
      </c>
      <c r="G366" s="3264">
        <v>0.15</v>
      </c>
    </row>
    <row r="367" spans="1:7">
      <c r="A367" s="3273" t="s">
        <v>2859</v>
      </c>
      <c r="B367" s="3262" t="s">
        <v>2907</v>
      </c>
      <c r="C367" s="3263">
        <v>0.15</v>
      </c>
      <c r="D367" s="3263">
        <v>0.15</v>
      </c>
      <c r="E367" s="3263">
        <v>0.15</v>
      </c>
      <c r="F367" s="3263">
        <v>0.14699999999999999</v>
      </c>
      <c r="G367" s="3264">
        <v>0.15</v>
      </c>
    </row>
    <row r="368" spans="1:7">
      <c r="A368" s="3273" t="s">
        <v>2859</v>
      </c>
      <c r="B368" s="3262" t="s">
        <v>2912</v>
      </c>
      <c r="C368" s="3263">
        <v>0.15</v>
      </c>
      <c r="D368" s="3263">
        <v>0.15</v>
      </c>
      <c r="E368" s="3263">
        <v>0.15</v>
      </c>
      <c r="F368" s="3263">
        <v>0.13600000000000001</v>
      </c>
      <c r="G368" s="3264">
        <v>0.15</v>
      </c>
    </row>
    <row r="369" spans="1:7">
      <c r="A369" s="3273" t="s">
        <v>2859</v>
      </c>
      <c r="B369" s="3262" t="s">
        <v>214</v>
      </c>
      <c r="C369" s="3263">
        <v>0.15</v>
      </c>
      <c r="D369" s="3263">
        <v>0.15</v>
      </c>
      <c r="E369" s="3263">
        <v>0.15</v>
      </c>
      <c r="F369" s="3263">
        <v>0.14399999999999999</v>
      </c>
      <c r="G369" s="3264">
        <v>0.15</v>
      </c>
    </row>
    <row r="370" spans="1:7">
      <c r="A370" s="3273" t="s">
        <v>2859</v>
      </c>
      <c r="B370" s="3262" t="s">
        <v>221</v>
      </c>
      <c r="C370" s="3263">
        <v>0.15</v>
      </c>
      <c r="D370" s="3263">
        <v>0.15</v>
      </c>
      <c r="E370" s="3263">
        <v>0.15</v>
      </c>
      <c r="F370" s="3263">
        <v>0.14599999999999999</v>
      </c>
      <c r="G370" s="3264">
        <v>0.15</v>
      </c>
    </row>
    <row r="371" spans="1:7">
      <c r="A371" s="3273" t="s">
        <v>2859</v>
      </c>
      <c r="B371" s="3262" t="s">
        <v>229</v>
      </c>
      <c r="C371" s="3263">
        <v>0.15</v>
      </c>
      <c r="D371" s="3263">
        <v>0.15</v>
      </c>
      <c r="E371" s="3263">
        <v>0.15</v>
      </c>
      <c r="F371" s="3263">
        <v>0.12</v>
      </c>
      <c r="G371" s="3264">
        <v>0.15</v>
      </c>
    </row>
    <row r="372" spans="1:7">
      <c r="A372" s="3273" t="s">
        <v>2859</v>
      </c>
      <c r="B372" s="3262" t="s">
        <v>2920</v>
      </c>
      <c r="C372" s="3263">
        <v>0.15</v>
      </c>
      <c r="D372" s="3263">
        <v>0.15</v>
      </c>
      <c r="E372" s="3263">
        <v>0.15</v>
      </c>
      <c r="F372" s="3263">
        <v>0.14299999999999999</v>
      </c>
      <c r="G372" s="3264">
        <v>0.15</v>
      </c>
    </row>
    <row r="373" spans="1:7">
      <c r="A373" s="3273" t="s">
        <v>2859</v>
      </c>
      <c r="B373" s="3262" t="s">
        <v>258</v>
      </c>
      <c r="C373" s="3263">
        <v>0.15</v>
      </c>
      <c r="D373" s="3263">
        <v>0.15</v>
      </c>
      <c r="E373" s="3263">
        <v>0.15</v>
      </c>
      <c r="F373" s="3263">
        <v>0.14599999999999999</v>
      </c>
      <c r="G373" s="3264">
        <v>0.15</v>
      </c>
    </row>
    <row r="374" spans="1:7">
      <c r="A374" s="3273" t="s">
        <v>2859</v>
      </c>
      <c r="B374" s="3262" t="s">
        <v>266</v>
      </c>
      <c r="C374" s="3263">
        <v>0.15</v>
      </c>
      <c r="D374" s="3263">
        <v>0.15</v>
      </c>
      <c r="E374" s="3263">
        <v>0.15</v>
      </c>
      <c r="F374" s="3263">
        <v>0.14399999999999999</v>
      </c>
      <c r="G374" s="3264">
        <v>0.15</v>
      </c>
    </row>
    <row r="375" spans="1:7">
      <c r="A375" s="3273" t="s">
        <v>2859</v>
      </c>
      <c r="B375" s="3262" t="s">
        <v>2928</v>
      </c>
      <c r="C375" s="3263">
        <v>0.15</v>
      </c>
      <c r="D375" s="3263">
        <v>0.15</v>
      </c>
      <c r="E375" s="3263">
        <v>0.15</v>
      </c>
      <c r="F375" s="3263">
        <v>0.13</v>
      </c>
      <c r="G375" s="3264">
        <v>0.15</v>
      </c>
    </row>
    <row r="376" spans="1:7">
      <c r="A376" s="3273" t="s">
        <v>2859</v>
      </c>
      <c r="B376" s="3262" t="s">
        <v>277</v>
      </c>
      <c r="C376" s="3263">
        <v>0.15</v>
      </c>
      <c r="D376" s="3263">
        <v>0.15</v>
      </c>
      <c r="E376" s="3263">
        <v>0.15</v>
      </c>
      <c r="F376" s="3263">
        <v>0.14199999999999999</v>
      </c>
      <c r="G376" s="3264">
        <v>0.15</v>
      </c>
    </row>
    <row r="377" spans="1:7" ht="14.25" thickBot="1">
      <c r="A377" s="3276" t="s">
        <v>2859</v>
      </c>
      <c r="B377" s="3266" t="s">
        <v>2934</v>
      </c>
      <c r="C377" s="3267">
        <v>0.15</v>
      </c>
      <c r="D377" s="3267">
        <v>0.15</v>
      </c>
      <c r="E377" s="3267">
        <v>0.15</v>
      </c>
      <c r="F377" s="3267">
        <v>0.14000000000000001</v>
      </c>
      <c r="G377" s="3269">
        <v>0.15</v>
      </c>
    </row>
    <row r="378" spans="1:7">
      <c r="A378" s="3272" t="s">
        <v>2860</v>
      </c>
      <c r="B378" s="3258" t="s">
        <v>2874</v>
      </c>
      <c r="C378" s="3259">
        <v>0.15</v>
      </c>
      <c r="D378" s="3259">
        <v>0.15</v>
      </c>
      <c r="E378" s="3259">
        <v>0.15</v>
      </c>
      <c r="F378" s="3259">
        <v>0.107</v>
      </c>
      <c r="G378" s="3260">
        <v>0.15</v>
      </c>
    </row>
    <row r="379" spans="1:7">
      <c r="A379" s="3273" t="s">
        <v>2860</v>
      </c>
      <c r="B379" s="3262" t="s">
        <v>2880</v>
      </c>
      <c r="C379" s="3263">
        <v>0.15</v>
      </c>
      <c r="D379" s="3263">
        <v>0.15</v>
      </c>
      <c r="E379" s="3263">
        <v>0.15</v>
      </c>
      <c r="F379" s="3263">
        <v>0.115</v>
      </c>
      <c r="G379" s="3264">
        <v>0.14899999999999999</v>
      </c>
    </row>
    <row r="380" spans="1:7">
      <c r="A380" s="3273" t="s">
        <v>2860</v>
      </c>
      <c r="B380" s="3262" t="s">
        <v>2886</v>
      </c>
      <c r="C380" s="3263">
        <v>0.15</v>
      </c>
      <c r="D380" s="3263">
        <v>0.15</v>
      </c>
      <c r="E380" s="3263">
        <v>0.15</v>
      </c>
      <c r="F380" s="3263">
        <v>0.1</v>
      </c>
      <c r="G380" s="3264">
        <v>0.14799999999999999</v>
      </c>
    </row>
    <row r="381" spans="1:7">
      <c r="A381" s="3273" t="s">
        <v>2860</v>
      </c>
      <c r="B381" s="3262" t="s">
        <v>2889</v>
      </c>
      <c r="C381" s="3263">
        <v>0.15</v>
      </c>
      <c r="D381" s="3263">
        <v>0.15</v>
      </c>
      <c r="E381" s="3263">
        <v>0.15</v>
      </c>
      <c r="F381" s="3263">
        <v>0.126</v>
      </c>
      <c r="G381" s="3264">
        <v>0.15</v>
      </c>
    </row>
    <row r="382" spans="1:7">
      <c r="A382" s="3273" t="s">
        <v>2860</v>
      </c>
      <c r="B382" s="3262" t="s">
        <v>2893</v>
      </c>
      <c r="C382" s="3263">
        <v>0.15</v>
      </c>
      <c r="D382" s="3263">
        <v>0.15</v>
      </c>
      <c r="E382" s="3263">
        <v>0.15</v>
      </c>
      <c r="F382" s="3263">
        <v>0.15</v>
      </c>
      <c r="G382" s="3264">
        <v>0.15</v>
      </c>
    </row>
    <row r="383" spans="1:7">
      <c r="A383" s="3273" t="s">
        <v>2860</v>
      </c>
      <c r="B383" s="3262" t="s">
        <v>2898</v>
      </c>
      <c r="C383" s="3263">
        <v>0.15</v>
      </c>
      <c r="D383" s="3263">
        <v>0.15</v>
      </c>
      <c r="E383" s="3263">
        <v>0.15</v>
      </c>
      <c r="F383" s="3263">
        <v>0.14699999999999999</v>
      </c>
      <c r="G383" s="3264">
        <v>0.15</v>
      </c>
    </row>
    <row r="384" spans="1:7" ht="14.25" thickBot="1">
      <c r="A384" s="3283" t="s">
        <v>2860</v>
      </c>
      <c r="B384" s="3284" t="s">
        <v>2902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982" t="s">
        <v>3241</v>
      </c>
      <c r="B1" s="3982"/>
      <c r="C1" s="3982"/>
      <c r="D1" s="3982"/>
      <c r="E1" s="3982"/>
      <c r="F1" s="3983"/>
    </row>
    <row r="2" spans="1:6">
      <c r="A2" s="3289" t="s">
        <v>3242</v>
      </c>
      <c r="B2" s="3290"/>
      <c r="C2" s="3290"/>
      <c r="D2" s="3290"/>
      <c r="E2" s="3290"/>
      <c r="F2" s="3290"/>
    </row>
    <row r="3" spans="1:6">
      <c r="A3" s="3289" t="s">
        <v>3243</v>
      </c>
      <c r="B3" s="3290"/>
      <c r="C3" s="3290"/>
      <c r="D3" s="3290"/>
      <c r="E3" s="3290"/>
      <c r="F3" s="3291" t="s">
        <v>3244</v>
      </c>
    </row>
    <row r="4" spans="1:6">
      <c r="A4" s="3292" t="s">
        <v>672</v>
      </c>
      <c r="B4" s="3292" t="s">
        <v>673</v>
      </c>
      <c r="C4" s="3292" t="s">
        <v>21</v>
      </c>
      <c r="D4" s="3292" t="s">
        <v>674</v>
      </c>
      <c r="E4" s="3292" t="s">
        <v>3</v>
      </c>
      <c r="F4" s="3292" t="s">
        <v>3245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L42" sqref="L42"/>
    </sheetView>
  </sheetViews>
  <sheetFormatPr defaultRowHeight="13.5"/>
  <cols>
    <col min="1" max="1" width="13.875" customWidth="1"/>
  </cols>
  <sheetData>
    <row r="1" spans="1:30">
      <c r="A1" s="3219">
        <f>基准地价修正!G23</f>
        <v>44937</v>
      </c>
      <c r="B1" s="3208" t="s">
        <v>2847</v>
      </c>
      <c r="C1" s="3209"/>
      <c r="D1" s="3209"/>
      <c r="E1" s="3209"/>
      <c r="F1" s="3209"/>
      <c r="G1" s="3209"/>
      <c r="H1" s="3209"/>
      <c r="I1" s="3209"/>
      <c r="J1" s="3162"/>
      <c r="K1" s="3209" t="s">
        <v>454</v>
      </c>
      <c r="L1" s="3209"/>
      <c r="M1" s="3209"/>
      <c r="N1" s="3209"/>
      <c r="O1" s="3209"/>
      <c r="P1" s="3209"/>
      <c r="Q1" s="3162"/>
      <c r="R1" s="3984" t="s">
        <v>456</v>
      </c>
      <c r="S1" s="3985"/>
      <c r="T1" s="3985"/>
      <c r="U1" s="3985"/>
      <c r="V1" s="3985"/>
      <c r="W1" s="3985"/>
      <c r="X1" s="3162"/>
      <c r="Y1" s="3984" t="s">
        <v>457</v>
      </c>
      <c r="Z1" s="3985"/>
      <c r="AA1" s="3985"/>
      <c r="AB1" s="3985"/>
      <c r="AC1" s="3985"/>
      <c r="AD1" s="3985"/>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2823</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ROUND(IF([2]项目基本情况!B8="出让",SUMPRODUCT(PRODUCT(1+K5:K13)),SUMPRODUCT(PRODUCT(1+K5:K12))),4)</f>
        <v>1.05</v>
      </c>
      <c r="S5" s="3180">
        <f>ROUND(IF([2]项目基本情况!B8="出让",SUMPRODUCT(PRODUCT(1+L5:L13)),SUMPRODUCT(PRODUCT(1+L5:L12))),4)</f>
        <v>1.0229999999999999</v>
      </c>
      <c r="T5" s="3180">
        <f>ROUND(IF([2]项目基本情况!B8="出让",SUMPRODUCT(PRODUCT(1+M5:M13)),SUMPRODUCT(PRODUCT(1+M5:M12))),4)</f>
        <v>1.0134000000000001</v>
      </c>
      <c r="U5" s="3180">
        <f>ROUND(IF([2]项目基本情况!B8="出让",SUMPRODUCT(PRODUCT(1+N5:N13)),SUMPRODUCT(PRODUCT(1+N5:N12))),4)</f>
        <v>1.0545</v>
      </c>
      <c r="V5" s="3180">
        <f>ROUND(IF([2]项目基本情况!B8="出让",SUMPRODUCT(PRODUCT(1+O5:O13)),SUMPRODUCT(PRODUCT(1+O5:O12))),4)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2.75">
      <c r="A6" s="3173" t="s">
        <v>2824</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ROUND(IF([2]项目基本情况!B8="出让",SUMPRODUCT(PRODUCT(1+K6:K13)),SUMPRODUCT(PRODUCT(1+K6:K12))),4)</f>
        <v>1.05</v>
      </c>
      <c r="S6" s="3180">
        <f>ROUND(IF([2]项目基本情况!B8="出让",SUMPRODUCT(PRODUCT(1+L6:L13)),SUMPRODUCT(PRODUCT(1+L6:L12))),4)</f>
        <v>1.0229999999999999</v>
      </c>
      <c r="T6" s="3180">
        <f>ROUND(IF([2]项目基本情况!B8="出让",SUMPRODUCT(PRODUCT(1+M6:M13)),SUMPRODUCT(PRODUCT(1+M6:M12))),4)</f>
        <v>1.0134000000000001</v>
      </c>
      <c r="U6" s="3180">
        <f>ROUND(IF([2]项目基本情况!B8="出让",SUMPRODUCT(PRODUCT(1+N6:N13)),SUMPRODUCT(PRODUCT(1+N6:N12))),4)</f>
        <v>1.0545</v>
      </c>
      <c r="V6" s="3180">
        <f>ROUND(IF([2]项目基本情况!B8="出让",SUMPRODUCT(PRODUCT(1+O6:O13)),SUMPRODUCT(PRODUCT(1+O6:O12))),4)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2.75">
      <c r="A7" s="3184" t="s">
        <v>3362</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ROUND(IF([2]项目基本情况!B8="出让",SUMPRODUCT(PRODUCT(1+K7:K13)),SUMPRODUCT(PRODUCT(1+K7:K12))),4)</f>
        <v>1.05</v>
      </c>
      <c r="S7" s="3190">
        <f>ROUND(IF([2]项目基本情况!B8="出让",SUMPRODUCT(PRODUCT(1+L7:L13)),SUMPRODUCT(PRODUCT(1+L7:L12))),4)</f>
        <v>1.0229999999999999</v>
      </c>
      <c r="T7" s="3190">
        <f>ROUND(IF([2]项目基本情况!B8="出让",SUMPRODUCT(PRODUCT(1+M7:M13)),SUMPRODUCT(PRODUCT(1+M7:M12))),4)</f>
        <v>1.0134000000000001</v>
      </c>
      <c r="U7" s="3190">
        <f>ROUND(IF([2]项目基本情况!B8="出让",SUMPRODUCT(PRODUCT(1+N7:N13)),SUMPRODUCT(PRODUCT(1+N7:N12))),4)</f>
        <v>1.0545</v>
      </c>
      <c r="V7" s="3190">
        <f>ROUND(IF([2]项目基本情况!B8="出让",SUMPRODUCT(PRODUCT(1+O7:O13)),SUMPRODUCT(PRODUCT(1+O7:O12))),4)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2.75">
      <c r="A8" s="3173" t="s">
        <v>3363</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ROUND(IF([2]项目基本情况!B8="出让",SUMPRODUCT(PRODUCT(1+K8:K13)),SUMPRODUCT(PRODUCT(1+K8:K12))),4)</f>
        <v>1.0430999999999999</v>
      </c>
      <c r="S8" s="3180">
        <f>ROUND(IF([2]项目基本情况!B8="出让",SUMPRODUCT(PRODUCT(1+L8:L13)),SUMPRODUCT(PRODUCT(1+L8:L12))),4)</f>
        <v>1.0197000000000001</v>
      </c>
      <c r="T8" s="3180">
        <f>ROUND(IF([2]项目基本情况!B8="出让",SUMPRODUCT(PRODUCT(1+M8:M13)),SUMPRODUCT(PRODUCT(1+M8:M12))),4)</f>
        <v>1.0109999999999999</v>
      </c>
      <c r="U8" s="3180">
        <f>ROUND(IF([2]项目基本情况!B8="出让",SUMPRODUCT(PRODUCT(1+N8:N13)),SUMPRODUCT(PRODUCT(1+N8:N12))),4)</f>
        <v>1.0468999999999999</v>
      </c>
      <c r="V8" s="3180">
        <f>ROUND(IF([2]项目基本情况!B8="出让",SUMPRODUCT(PRODUCT(1+O8:O13)),SUMPRODUCT(PRODUCT(1+O8:O12))),4)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2.75">
      <c r="A9" s="3173" t="s">
        <v>2825</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ROUND(IF([2]项目基本情况!B8="出让",SUMPRODUCT(PRODUCT(1+K9:K13)),SUMPRODUCT(PRODUCT(1+K9:K12))),4)</f>
        <v>1.0335000000000001</v>
      </c>
      <c r="S9" s="3180">
        <f>ROUND(IF([2]项目基本情况!B8="出让",SUMPRODUCT(PRODUCT(1+L9:L13)),SUMPRODUCT(PRODUCT(1+L9:L12))),4)</f>
        <v>1.0182</v>
      </c>
      <c r="T9" s="3180">
        <f>ROUND(IF([2]项目基本情况!B8="出让",SUMPRODUCT(PRODUCT(1+M9:M13)),SUMPRODUCT(PRODUCT(1+M9:M12))),4)</f>
        <v>1.0108999999999999</v>
      </c>
      <c r="U9" s="3180">
        <f>ROUND(IF([2]项目基本情况!B8="出让",SUMPRODUCT(PRODUCT(1+N9:N13)),SUMPRODUCT(PRODUCT(1+N9:N12))),4)</f>
        <v>1.0361</v>
      </c>
      <c r="V9" s="3180">
        <f>ROUND(IF([2]项目基本情况!B8="出让",SUMPRODUCT(PRODUCT(1+O9:O13)),SUMPRODUCT(PRODUCT(1+O9:O12))),4)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2.75">
      <c r="A10" s="3173" t="s">
        <v>2826</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ROUND(IF([2]项目基本情况!B8="出让",SUMPRODUCT(PRODUCT(1+K10:K13)),SUMPRODUCT(PRODUCT(1+K10:K12))),4)</f>
        <v>1.0244</v>
      </c>
      <c r="S10" s="3180">
        <f>ROUND(IF([2]项目基本情况!B8="出让",SUMPRODUCT(PRODUCT(1+L10:L13)),SUMPRODUCT(PRODUCT(1+L10:L12))),4)</f>
        <v>1.0138</v>
      </c>
      <c r="T10" s="3180">
        <f>ROUND(IF([2]项目基本情况!B8="出让",SUMPRODUCT(PRODUCT(1+M10:M13)),SUMPRODUCT(PRODUCT(1+M10:M12))),4)</f>
        <v>1.0072000000000001</v>
      </c>
      <c r="U10" s="3180">
        <f>ROUND(IF([2]项目基本情况!B8="出让",SUMPRODUCT(PRODUCT(1+N10:N13)),SUMPRODUCT(PRODUCT(1+N10:N12))),4)</f>
        <v>1.0262</v>
      </c>
      <c r="V10" s="3180">
        <f>ROUND(IF([2]项目基本情况!B8="出让",SUMPRODUCT(PRODUCT(1+O10:O13)),SUMPRODUCT(PRODUCT(1+O10:O12))),4)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2.75">
      <c r="A11" s="3173" t="s">
        <v>2827</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ROUND(IF([2]项目基本情况!B8="出让",SUMPRODUCT(PRODUCT(1+K11:K13)),SUMPRODUCT(PRODUCT(1+K11:K12))),4)</f>
        <v>1.0139</v>
      </c>
      <c r="S11" s="3180">
        <f>ROUND(IF([2]项目基本情况!B8="出让",SUMPRODUCT(PRODUCT(1+L11:L13)),SUMPRODUCT(PRODUCT(1+L11:L12))),4)</f>
        <v>1.0113000000000001</v>
      </c>
      <c r="T11" s="3180">
        <f>ROUND(IF([2]项目基本情况!B8="出让",SUMPRODUCT(PRODUCT(1+M11:M13)),SUMPRODUCT(PRODUCT(1+M11:M12))),4)</f>
        <v>1.0065</v>
      </c>
      <c r="U11" s="3180">
        <f>ROUND(IF([2]项目基本情况!B8="出让",SUMPRODUCT(PRODUCT(1+N11:N13)),SUMPRODUCT(PRODUCT(1+N11:N12))),4)</f>
        <v>1.0143</v>
      </c>
      <c r="V11" s="3180">
        <f>ROUND(IF([2]项目基本情况!B8="出让",SUMPRODUCT(PRODUCT(1+O11:O13)),SUMPRODUCT(PRODUCT(1+O11:O12))),4)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2.75">
      <c r="A12" s="3173" t="s">
        <v>2828</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ROUND(IF([2]项目基本情况!B8="出让",SUMPRODUCT(PRODUCT(1+K12:K13)),SUMPRODUCT(PRODUCT(1+K12:K12))),4)</f>
        <v>1.0092000000000001</v>
      </c>
      <c r="S12" s="3180">
        <f>ROUND(IF([2]项目基本情况!B8="出让",SUMPRODUCT(PRODUCT(1+L12:L13)),SUMPRODUCT(PRODUCT(1+L12:L12))),4)</f>
        <v>1.0072000000000001</v>
      </c>
      <c r="T12" s="3180">
        <f>ROUND(IF([2]项目基本情况!B8="出让",SUMPRODUCT(PRODUCT(1+M12:M13)),SUMPRODUCT(PRODUCT(1+M12:M12))),4)</f>
        <v>1.0041</v>
      </c>
      <c r="U12" s="3180">
        <f>ROUND(IF([2]项目基本情况!B8="出让",SUMPRODUCT(PRODUCT(1+N12:N13)),SUMPRODUCT(PRODUCT(1+N12:N12))),4)</f>
        <v>1.0095000000000001</v>
      </c>
      <c r="V12" s="3180">
        <f>ROUND(IF([2]项目基本情况!B8="出让",SUMPRODUCT(PRODUCT(1+O12:O13)),SUMPRODUCT(PRODUCT(1+O12:O12))),4)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thickBot="1">
      <c r="A13" s="3195" t="s">
        <v>2829</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4.25" thickTop="1"/>
    <row r="15" spans="1:30" s="3006" customFormat="1"/>
    <row r="16" spans="1:30" s="3006" customFormat="1">
      <c r="I16" s="3206" t="s">
        <v>2830</v>
      </c>
    </row>
    <row r="17" spans="1:30" s="3006" customFormat="1"/>
    <row r="18" spans="1:30" s="3207" customFormat="1" ht="12.75">
      <c r="B18" s="3208" t="s">
        <v>2831</v>
      </c>
      <c r="C18" s="3209"/>
      <c r="D18" s="3209"/>
      <c r="E18" s="3209"/>
      <c r="F18" s="3209"/>
      <c r="G18" s="3209"/>
      <c r="H18" s="3209"/>
      <c r="I18" s="3209"/>
      <c r="J18" s="3162"/>
      <c r="K18" s="3209" t="s">
        <v>2832</v>
      </c>
      <c r="L18" s="3209"/>
      <c r="M18" s="3209"/>
      <c r="N18" s="3209"/>
      <c r="O18" s="3209"/>
      <c r="P18" s="3209"/>
      <c r="Q18" s="3162"/>
      <c r="R18" s="3984" t="s">
        <v>2833</v>
      </c>
      <c r="S18" s="3985"/>
      <c r="T18" s="3985"/>
      <c r="U18" s="3985"/>
      <c r="V18" s="3985"/>
      <c r="W18" s="3985"/>
      <c r="X18" s="3162"/>
      <c r="Y18" s="3984" t="s">
        <v>2834</v>
      </c>
      <c r="Z18" s="3985"/>
      <c r="AA18" s="3985"/>
      <c r="AB18" s="3985"/>
      <c r="AC18" s="3985"/>
      <c r="AD18" s="3985"/>
    </row>
    <row r="19" spans="1:30" s="3140" customFormat="1" ht="14.25" thickBot="1">
      <c r="B19" s="3141"/>
      <c r="C19" s="3142"/>
      <c r="D19" s="3143" t="s">
        <v>2835</v>
      </c>
      <c r="E19" s="3144" t="s">
        <v>2836</v>
      </c>
      <c r="F19" s="3144" t="s">
        <v>2837</v>
      </c>
      <c r="G19" s="3144" t="s">
        <v>2838</v>
      </c>
      <c r="H19" s="3144"/>
      <c r="I19" s="3144" t="s">
        <v>2839</v>
      </c>
      <c r="J19" s="3145"/>
      <c r="K19" s="3143" t="s">
        <v>2835</v>
      </c>
      <c r="L19" s="3144" t="s">
        <v>2836</v>
      </c>
      <c r="M19" s="3144" t="s">
        <v>2837</v>
      </c>
      <c r="N19" s="3144" t="s">
        <v>2838</v>
      </c>
      <c r="O19" s="3144"/>
      <c r="P19" s="3144" t="s">
        <v>2839</v>
      </c>
      <c r="Q19" s="3145"/>
      <c r="R19" s="3143" t="s">
        <v>2835</v>
      </c>
      <c r="S19" s="3144" t="s">
        <v>2836</v>
      </c>
      <c r="T19" s="3144" t="s">
        <v>2837</v>
      </c>
      <c r="U19" s="3144" t="s">
        <v>2838</v>
      </c>
      <c r="V19" s="3144"/>
      <c r="W19" s="3144" t="s">
        <v>2839</v>
      </c>
      <c r="X19" s="3145"/>
      <c r="Y19" s="3143" t="s">
        <v>2835</v>
      </c>
      <c r="Z19" s="3144" t="s">
        <v>2836</v>
      </c>
      <c r="AA19" s="3144" t="s">
        <v>2837</v>
      </c>
      <c r="AB19" s="3144" t="s">
        <v>2838</v>
      </c>
      <c r="AC19" s="3144"/>
      <c r="AD19" s="3144" t="s">
        <v>2839</v>
      </c>
    </row>
    <row r="20" spans="1:30" s="3158" customFormat="1" ht="12.75">
      <c r="A20" s="3146" t="s">
        <v>2840</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2.75">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2.75">
      <c r="A22" s="3173" t="s">
        <v>2841</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ROUND(IF([2]项目基本情况!$B$8="出让",SUMPRODUCT(PRODUCT(1+L22:L$30)),SUMPRODUCT(PRODUCT(1+L22:L$29))),4)</f>
        <v>1.0241</v>
      </c>
      <c r="T22" s="3180">
        <f>ROUND(IF([2]项目基本情况!$B$8="出让",SUMPRODUCT(PRODUCT(1+M22:M$30)),SUMPRODUCT(PRODUCT(1+M22:M$29))),4)</f>
        <v>1.0144</v>
      </c>
      <c r="U22" s="3180">
        <f>ROUND(IF([2]项目基本情况!$B$8="出让",SUMPRODUCT(PRODUCT(1+N22:N$30)),SUMPRODUCT(PRODUCT(1+N22:N$29))),4)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2.75">
      <c r="A23" s="3173" t="s">
        <v>2842</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ROUND(IF([2]项目基本情况!$B$8="出让",SUMPRODUCT(PRODUCT(1+L23:L$30)),SUMPRODUCT(PRODUCT(1+L23:L$29))),4)</f>
        <v>1.0241</v>
      </c>
      <c r="T23" s="3180">
        <f>ROUND(IF([2]项目基本情况!$B$8="出让",SUMPRODUCT(PRODUCT(1+M23:M$30)),SUMPRODUCT(PRODUCT(1+M23:M$29))),4)</f>
        <v>1.0144</v>
      </c>
      <c r="U23" s="3180">
        <f>ROUND(IF([2]项目基本情况!$B$8="出让",SUMPRODUCT(PRODUCT(1+N23:N$30)),SUMPRODUCT(PRODUCT(1+N23:N$29))),4)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2.75">
      <c r="A24" s="3184" t="s">
        <v>3364</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ROUND(IF([2]项目基本情况!$B$8="出让",SUMPRODUCT(PRODUCT(1+L24:L$30)),SUMPRODUCT(PRODUCT(1+L24:L$29))),4)</f>
        <v>1.0241</v>
      </c>
      <c r="T24" s="3190">
        <f>ROUND(IF([2]项目基本情况!$B$8="出让",SUMPRODUCT(PRODUCT(1+M24:M$30)),SUMPRODUCT(PRODUCT(1+M24:M$29))),4)</f>
        <v>1.0144</v>
      </c>
      <c r="U24" s="3190">
        <f>ROUND(IF([2]项目基本情况!$B$8="出让",SUMPRODUCT(PRODUCT(1+N24:N$30)),SUMPRODUCT(PRODUCT(1+N24:N$29))),4)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2.75">
      <c r="A25" s="3173" t="s">
        <v>3363</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ROUND(IF([2]项目基本情况!$B$8="出让",SUMPRODUCT(PRODUCT(1+L25:L$30)),SUMPRODUCT(PRODUCT(1+L25:L$29))),4)</f>
        <v>1.0210999999999999</v>
      </c>
      <c r="T25" s="3180">
        <f>ROUND(IF([2]项目基本情况!$B$8="出让",SUMPRODUCT(PRODUCT(1+M25:M$30)),SUMPRODUCT(PRODUCT(1+M25:M$29))),4)</f>
        <v>1.0114000000000001</v>
      </c>
      <c r="U25" s="3180">
        <f>ROUND(IF([2]项目基本情况!$B$8="出让",SUMPRODUCT(PRODUCT(1+N25:N$30)),SUMPRODUCT(PRODUCT(1+N25:N$29))),4)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2.75">
      <c r="A26" s="3173" t="s">
        <v>2843</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ROUND(IF([2]项目基本情况!$B$8="出让",SUMPRODUCT(PRODUCT(1+L26:L$30)),SUMPRODUCT(PRODUCT(1+L26:L$29))),4)</f>
        <v>1.0222</v>
      </c>
      <c r="T26" s="3180">
        <f>ROUND(IF([2]项目基本情况!$B$8="出让",SUMPRODUCT(PRODUCT(1+M26:M$30)),SUMPRODUCT(PRODUCT(1+M26:M$29))),4)</f>
        <v>1.0127999999999999</v>
      </c>
      <c r="U26" s="3180">
        <f>ROUND(IF([2]项目基本情况!$B$8="出让",SUMPRODUCT(PRODUCT(1+N26:N$30)),SUMPRODUCT(PRODUCT(1+N26:N$29))),4)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2.75">
      <c r="A27" s="3173" t="s">
        <v>2844</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ROUND(IF([2]项目基本情况!$B$8="出让",SUMPRODUCT(PRODUCT(1+L27:L$30)),SUMPRODUCT(PRODUCT(1+L27:L$29))),4)</f>
        <v>1.0161</v>
      </c>
      <c r="T27" s="3180">
        <f>ROUND(IF([2]项目基本情况!$B$8="出让",SUMPRODUCT(PRODUCT(1+M27:M$30)),SUMPRODUCT(PRODUCT(1+M27:M$29))),4)</f>
        <v>1.0082</v>
      </c>
      <c r="U27" s="3180">
        <f>ROUND(IF([2]项目基本情况!$B$8="出让",SUMPRODUCT(PRODUCT(1+N27:N$30)),SUMPRODUCT(PRODUCT(1+N27:N$29))),4)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2.75">
      <c r="A28" s="3173" t="s">
        <v>2845</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ROUND(IF([2]项目基本情况!$B$8="出让",SUMPRODUCT(PRODUCT(1+L28:L$30)),SUMPRODUCT(PRODUCT(1+L28:L$29))),4)</f>
        <v>1.0102</v>
      </c>
      <c r="T28" s="3180">
        <f>ROUND(IF([2]项目基本情况!$B$8="出让",SUMPRODUCT(PRODUCT(1+M28:M$30)),SUMPRODUCT(PRODUCT(1+M28:M$29))),4)</f>
        <v>1.0074000000000001</v>
      </c>
      <c r="U28" s="3180">
        <f>ROUND(IF([2]项目基本情况!$B$8="出让",SUMPRODUCT(PRODUCT(1+N28:N$30)),SUMPRODUCT(PRODUCT(1+N28:N$29))),4)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2.75">
      <c r="A29" s="3173" t="s">
        <v>2846</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ROUND(IF([2]项目基本情况!$B$8="出让",SUMPRODUCT(PRODUCT(1+L29:L$30)),SUMPRODUCT(PRODUCT(1+L29:L$29))),4)</f>
        <v>1.0055000000000001</v>
      </c>
      <c r="T29" s="3180">
        <f>ROUND(IF([2]项目基本情况!$B$8="出让",SUMPRODUCT(PRODUCT(1+M29:M$30)),SUMPRODUCT(PRODUCT(1+M29:M$29))),4)</f>
        <v>1.0045999999999999</v>
      </c>
      <c r="U29" s="3180">
        <f>ROUND(IF([2]项目基本情况!$B$8="出让",SUMPRODUCT(PRODUCT(1+N29:N$30)),SUMPRODUCT(PRODUCT(1+N29:N$29))),4)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thickBot="1">
      <c r="A30" s="3195" t="s">
        <v>2829</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991" t="s">
        <v>452</v>
      </c>
      <c r="C1" s="3991"/>
      <c r="D1" s="3991"/>
      <c r="E1" s="3991"/>
      <c r="F1" s="3991"/>
      <c r="G1" s="3990" t="s">
        <v>453</v>
      </c>
      <c r="H1" s="3990"/>
      <c r="I1" s="3990"/>
      <c r="J1" s="3990"/>
      <c r="K1" s="3990"/>
      <c r="L1" s="3990"/>
      <c r="N1" s="3990" t="s">
        <v>454</v>
      </c>
      <c r="O1" s="3990"/>
      <c r="P1" s="3990"/>
      <c r="Q1" s="3990"/>
      <c r="S1" s="3990" t="s">
        <v>455</v>
      </c>
      <c r="T1" s="3990"/>
      <c r="U1" s="3990"/>
      <c r="V1" s="3990"/>
      <c r="X1" s="3989" t="s">
        <v>456</v>
      </c>
      <c r="Y1" s="3990"/>
      <c r="Z1" s="3990"/>
      <c r="AA1" s="3990"/>
      <c r="AB1" s="3990"/>
      <c r="AD1" s="3989" t="s">
        <v>457</v>
      </c>
      <c r="AE1" s="3990"/>
      <c r="AF1" s="3990"/>
      <c r="AG1" s="3990"/>
      <c r="AH1" s="399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3372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4">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4">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3370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4">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3371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4">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98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98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98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99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99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98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98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99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99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98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98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98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98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98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98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98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98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98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98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98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99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99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99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99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98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98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98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98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98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98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98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98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98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98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98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98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98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98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98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98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98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98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98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98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98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98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98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98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98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98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98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98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98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98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98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98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98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98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98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98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98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98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98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98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98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98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98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98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44937</v>
      </c>
      <c r="D1" s="1299" t="s">
        <v>603</v>
      </c>
      <c r="E1" s="1294">
        <f>'数据-取费表'!B22</f>
        <v>2.5</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44795</v>
      </c>
      <c r="D13" s="2819">
        <v>3.65</v>
      </c>
      <c r="E13" s="2819">
        <f>D13</f>
        <v>3.65</v>
      </c>
      <c r="F13" s="2819">
        <f>D13</f>
        <v>3.65</v>
      </c>
      <c r="G13" s="2819">
        <f>D13</f>
        <v>3.65</v>
      </c>
      <c r="H13" s="2819">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44701</v>
      </c>
      <c r="D14" s="2814">
        <v>3.7</v>
      </c>
      <c r="E14" s="2814">
        <f>D14</f>
        <v>3.7</v>
      </c>
      <c r="F14" s="2814">
        <f>D14</f>
        <v>3.7</v>
      </c>
      <c r="G14" s="2814">
        <f>D14</f>
        <v>3.7</v>
      </c>
      <c r="H14" s="2814">
        <v>4.45</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44581</v>
      </c>
      <c r="D15" s="2814">
        <v>3.7</v>
      </c>
      <c r="E15" s="2814">
        <f>D15</f>
        <v>3.7</v>
      </c>
      <c r="F15" s="2814">
        <f>D15</f>
        <v>3.7</v>
      </c>
      <c r="G15" s="2814">
        <f>D15</f>
        <v>3.7</v>
      </c>
      <c r="H15" s="2814">
        <v>4.5999999999999996</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4"/>
      <c r="C16" s="2815">
        <v>44550</v>
      </c>
      <c r="D16" s="2814">
        <v>3.8</v>
      </c>
      <c r="E16" s="2814">
        <f>D16</f>
        <v>3.8</v>
      </c>
      <c r="F16" s="2814">
        <f>D16</f>
        <v>3.8</v>
      </c>
      <c r="G16" s="2814">
        <f>D16</f>
        <v>3.8</v>
      </c>
      <c r="H16" s="2814">
        <v>4.6500000000000004</v>
      </c>
      <c r="I16" s="2814"/>
      <c r="J16" s="2819"/>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4"/>
      <c r="C17" s="2815">
        <v>43941</v>
      </c>
      <c r="D17" s="2814">
        <v>3.85</v>
      </c>
      <c r="E17" s="2814">
        <v>3.85</v>
      </c>
      <c r="F17" s="2814">
        <v>3.85</v>
      </c>
      <c r="G17" s="2814">
        <v>3.85</v>
      </c>
      <c r="H17" s="2814">
        <v>4.6500000000000004</v>
      </c>
      <c r="I17" s="2814"/>
      <c r="J17" s="2814"/>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43789</v>
      </c>
      <c r="D19" s="2814">
        <v>4.1500000000000004</v>
      </c>
      <c r="E19" s="2814">
        <v>4.1500000000000004</v>
      </c>
      <c r="F19" s="2814">
        <v>4.1500000000000004</v>
      </c>
      <c r="G19" s="2814">
        <v>4.1500000000000004</v>
      </c>
      <c r="H19" s="2814">
        <v>4.8</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43728</v>
      </c>
      <c r="D20" s="2814">
        <v>4.2</v>
      </c>
      <c r="E20" s="2814">
        <v>4.2</v>
      </c>
      <c r="F20" s="2814">
        <v>4.2</v>
      </c>
      <c r="G20" s="2814">
        <v>4.2</v>
      </c>
      <c r="H20" s="2814">
        <v>4.8499999999999996</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t="s">
        <v>2313</v>
      </c>
      <c r="C21" s="2816">
        <v>43697</v>
      </c>
      <c r="D21" s="2817">
        <v>4.25</v>
      </c>
      <c r="E21" s="2817">
        <v>4.25</v>
      </c>
      <c r="F21" s="2817">
        <v>4.25</v>
      </c>
      <c r="G21" s="2817">
        <v>4.25</v>
      </c>
      <c r="H21" s="2817">
        <v>4.8499999999999996</v>
      </c>
      <c r="I21" s="2817"/>
      <c r="J21" s="2817"/>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20"/>
      <c r="B22" s="2821"/>
      <c r="C22" s="2822">
        <v>42301</v>
      </c>
      <c r="D22" s="2823">
        <v>4.3499999999999996</v>
      </c>
      <c r="E22" s="2823">
        <v>4.3499999999999996</v>
      </c>
      <c r="F22" s="2823">
        <v>4.75</v>
      </c>
      <c r="G22" s="2823">
        <v>4.75</v>
      </c>
      <c r="H22" s="2823">
        <v>4.9000000000000004</v>
      </c>
      <c r="I22" s="2823"/>
      <c r="J22" s="2823"/>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32"/>
  <sheetViews>
    <sheetView zoomScaleNormal="100" workbookViewId="0">
      <selection activeCell="L34" sqref="L34"/>
    </sheetView>
  </sheetViews>
  <sheetFormatPr defaultColWidth="9" defaultRowHeight="13.5"/>
  <cols>
    <col min="1" max="2" width="9" style="3462"/>
    <col min="3" max="3" width="10.25" style="3462" bestFit="1" customWidth="1"/>
    <col min="4" max="13" width="9" style="3462"/>
    <col min="14" max="14" width="9.875" style="3462" bestFit="1" customWidth="1"/>
    <col min="15" max="15" width="9.5" style="3462" bestFit="1" customWidth="1"/>
    <col min="16" max="16" width="9.25" style="3462" bestFit="1" customWidth="1"/>
    <col min="17" max="17" width="9.75" style="3462" bestFit="1" customWidth="1"/>
    <col min="18" max="16384" width="9" style="3462"/>
  </cols>
  <sheetData>
    <row r="1" spans="2:20" ht="31.5">
      <c r="B1" s="3459" t="s">
        <v>3446</v>
      </c>
      <c r="C1" s="3459" t="s">
        <v>3447</v>
      </c>
      <c r="D1" s="3459" t="s">
        <v>3448</v>
      </c>
      <c r="E1" s="3460" t="s">
        <v>3449</v>
      </c>
      <c r="F1" s="3459" t="s">
        <v>3450</v>
      </c>
      <c r="G1" s="3461" t="s">
        <v>3451</v>
      </c>
      <c r="H1" s="3461" t="s">
        <v>3452</v>
      </c>
      <c r="I1" s="3460" t="s">
        <v>3453</v>
      </c>
      <c r="J1" s="3460" t="s">
        <v>3454</v>
      </c>
      <c r="K1" s="3460" t="s">
        <v>3455</v>
      </c>
      <c r="L1" s="3460" t="s">
        <v>3456</v>
      </c>
      <c r="M1" s="3460" t="s">
        <v>3457</v>
      </c>
      <c r="N1" s="3460" t="s">
        <v>3458</v>
      </c>
      <c r="O1" s="3460" t="s">
        <v>3459</v>
      </c>
      <c r="P1" s="3460" t="s">
        <v>3460</v>
      </c>
      <c r="Q1" s="3460"/>
    </row>
    <row r="2" spans="2:20" ht="21">
      <c r="B2" s="3463">
        <v>1</v>
      </c>
      <c r="C2" s="3464" t="s">
        <v>3461</v>
      </c>
      <c r="D2" s="3464" t="s">
        <v>21</v>
      </c>
      <c r="E2" s="3464" t="s">
        <v>3462</v>
      </c>
      <c r="F2" s="3464" t="s">
        <v>3463</v>
      </c>
      <c r="G2" s="3465">
        <v>37.1</v>
      </c>
      <c r="H2" s="3466">
        <v>109000</v>
      </c>
      <c r="I2" s="3466">
        <v>33940</v>
      </c>
      <c r="J2" s="3464" t="s">
        <v>3464</v>
      </c>
      <c r="K2" s="3464" t="s">
        <v>3465</v>
      </c>
      <c r="L2" s="3464" t="s">
        <v>3466</v>
      </c>
      <c r="M2" s="3464"/>
      <c r="N2" s="3464"/>
      <c r="O2" s="3464"/>
      <c r="P2" s="3464"/>
      <c r="Q2" s="3464"/>
    </row>
    <row r="3" spans="2:20">
      <c r="B3" s="3463">
        <v>2</v>
      </c>
      <c r="C3" s="3464" t="s">
        <v>3461</v>
      </c>
      <c r="D3" s="3464" t="s">
        <v>3</v>
      </c>
      <c r="E3" s="3464" t="s">
        <v>3467</v>
      </c>
      <c r="F3" s="3464" t="s">
        <v>3468</v>
      </c>
      <c r="G3" s="3463">
        <v>28</v>
      </c>
      <c r="H3" s="3466">
        <v>114200</v>
      </c>
      <c r="I3" s="3466">
        <v>24518</v>
      </c>
      <c r="J3" s="3464" t="s">
        <v>3464</v>
      </c>
      <c r="K3" s="3464" t="s">
        <v>3469</v>
      </c>
      <c r="L3" s="3464" t="s">
        <v>3470</v>
      </c>
      <c r="M3" s="3464"/>
      <c r="N3" s="3464"/>
      <c r="O3" s="3464"/>
      <c r="P3" s="3464"/>
      <c r="Q3" s="3464"/>
    </row>
    <row r="4" spans="2:20" ht="21">
      <c r="B4" s="3463">
        <v>3</v>
      </c>
      <c r="C4" s="3464" t="s">
        <v>3461</v>
      </c>
      <c r="D4" s="3464" t="s">
        <v>3471</v>
      </c>
      <c r="E4" s="3464" t="s">
        <v>3472</v>
      </c>
      <c r="F4" s="3464" t="s">
        <v>3473</v>
      </c>
      <c r="G4" s="3467">
        <v>20.48</v>
      </c>
      <c r="H4" s="3466">
        <v>37923</v>
      </c>
      <c r="I4" s="3466">
        <v>54004</v>
      </c>
      <c r="J4" s="3464" t="s">
        <v>3464</v>
      </c>
      <c r="K4" s="3464" t="s">
        <v>3474</v>
      </c>
      <c r="L4" s="3464" t="s">
        <v>3475</v>
      </c>
      <c r="M4" s="3464"/>
      <c r="N4" s="3464"/>
      <c r="O4" s="3464"/>
      <c r="P4" s="3464"/>
      <c r="Q4" s="3464"/>
    </row>
    <row r="5" spans="2:20" ht="31.5">
      <c r="B5" s="3463">
        <v>4</v>
      </c>
      <c r="C5" s="3464" t="s">
        <v>3461</v>
      </c>
      <c r="D5" s="3464" t="s">
        <v>3476</v>
      </c>
      <c r="E5" s="3464" t="s">
        <v>3477</v>
      </c>
      <c r="F5" s="3464" t="s">
        <v>3478</v>
      </c>
      <c r="G5" s="3463">
        <v>13</v>
      </c>
      <c r="H5" s="3466">
        <v>48000</v>
      </c>
      <c r="I5" s="3466">
        <v>27083</v>
      </c>
      <c r="J5" s="3464" t="s">
        <v>3479</v>
      </c>
      <c r="K5" s="3464" t="s">
        <v>3480</v>
      </c>
      <c r="L5" s="3464" t="s">
        <v>3481</v>
      </c>
      <c r="M5" s="3464"/>
      <c r="N5" s="3464"/>
      <c r="O5" s="3464"/>
      <c r="P5" s="3464"/>
      <c r="Q5" s="3464"/>
    </row>
    <row r="6" spans="2:20" ht="21">
      <c r="B6" s="3463">
        <v>5</v>
      </c>
      <c r="C6" s="3464" t="s">
        <v>3461</v>
      </c>
      <c r="D6" s="3464" t="s">
        <v>21</v>
      </c>
      <c r="E6" s="3464" t="s">
        <v>3482</v>
      </c>
      <c r="F6" s="3464" t="s">
        <v>3483</v>
      </c>
      <c r="G6" s="3467">
        <v>10.84</v>
      </c>
      <c r="H6" s="3466">
        <v>24252</v>
      </c>
      <c r="I6" s="3468">
        <v>44697</v>
      </c>
      <c r="J6" s="3464" t="s">
        <v>3479</v>
      </c>
      <c r="K6" s="3464" t="s">
        <v>3484</v>
      </c>
      <c r="L6" s="3464" t="s">
        <v>3485</v>
      </c>
      <c r="M6" s="3464"/>
      <c r="N6" s="3464"/>
      <c r="O6" s="3464"/>
      <c r="P6" s="3464"/>
      <c r="Q6" s="3464"/>
    </row>
    <row r="7" spans="2:20" ht="21">
      <c r="B7" s="3463">
        <v>6</v>
      </c>
      <c r="C7" s="3464" t="s">
        <v>3486</v>
      </c>
      <c r="D7" s="3464" t="s">
        <v>21</v>
      </c>
      <c r="E7" s="3464" t="s">
        <v>3487</v>
      </c>
      <c r="F7" s="3464" t="s">
        <v>3468</v>
      </c>
      <c r="G7" s="3465">
        <v>26.5</v>
      </c>
      <c r="H7" s="3466">
        <v>35940</v>
      </c>
      <c r="I7" s="3466">
        <v>73734</v>
      </c>
      <c r="J7" s="3464" t="s">
        <v>3464</v>
      </c>
      <c r="K7" s="3464" t="s">
        <v>3488</v>
      </c>
      <c r="L7" s="3464" t="s">
        <v>3489</v>
      </c>
      <c r="M7" s="3464"/>
      <c r="N7" s="3464">
        <v>0.25</v>
      </c>
      <c r="O7" s="3464">
        <v>48000</v>
      </c>
      <c r="P7" s="3464">
        <v>55208</v>
      </c>
      <c r="Q7" s="3464"/>
    </row>
    <row r="8" spans="2:20" s="3527" customFormat="1" ht="31.5">
      <c r="B8" s="3619">
        <v>7</v>
      </c>
      <c r="C8" s="3464" t="s">
        <v>3486</v>
      </c>
      <c r="D8" s="3464" t="s">
        <v>21</v>
      </c>
      <c r="E8" s="3464" t="s">
        <v>3744</v>
      </c>
      <c r="F8" s="3464" t="s">
        <v>3473</v>
      </c>
      <c r="G8" s="3619">
        <v>24</v>
      </c>
      <c r="H8" s="3621">
        <v>52838</v>
      </c>
      <c r="I8" s="3621">
        <v>56777</v>
      </c>
      <c r="J8" s="3464" t="s">
        <v>3464</v>
      </c>
      <c r="K8" s="3464" t="s">
        <v>3490</v>
      </c>
      <c r="L8" s="3464" t="s">
        <v>3491</v>
      </c>
      <c r="M8" s="3464"/>
      <c r="N8" s="3464">
        <v>63204</v>
      </c>
      <c r="O8" s="3464">
        <v>10366</v>
      </c>
      <c r="P8" s="3464">
        <v>30</v>
      </c>
      <c r="Q8" s="3464">
        <v>5.6777319353495601</v>
      </c>
    </row>
    <row r="9" spans="2:20" ht="31.5">
      <c r="B9" s="3463">
        <v>8</v>
      </c>
      <c r="C9" s="3464" t="s">
        <v>3486</v>
      </c>
      <c r="D9" s="3464" t="s">
        <v>3492</v>
      </c>
      <c r="E9" s="3464" t="s">
        <v>3493</v>
      </c>
      <c r="F9" s="3464" t="s">
        <v>3468</v>
      </c>
      <c r="G9" s="3463">
        <v>25.64</v>
      </c>
      <c r="H9" s="3466"/>
      <c r="I9" s="3466"/>
      <c r="J9" s="3464" t="s">
        <v>3464</v>
      </c>
      <c r="K9" s="3464" t="s">
        <v>3494</v>
      </c>
      <c r="L9" s="3464" t="s">
        <v>3495</v>
      </c>
      <c r="M9" s="3464">
        <v>1</v>
      </c>
      <c r="N9" s="3464"/>
      <c r="O9" s="3464">
        <v>60000</v>
      </c>
      <c r="P9" s="3464">
        <v>85466</v>
      </c>
      <c r="Q9" s="3464"/>
    </row>
    <row r="10" spans="2:20" s="3527" customFormat="1" ht="21">
      <c r="B10" s="3619">
        <v>9</v>
      </c>
      <c r="C10" s="3464" t="s">
        <v>3496</v>
      </c>
      <c r="D10" s="3464" t="s">
        <v>21</v>
      </c>
      <c r="E10" s="3464" t="s">
        <v>3497</v>
      </c>
      <c r="F10" s="3464" t="s">
        <v>3468</v>
      </c>
      <c r="G10" s="3632">
        <v>8.5</v>
      </c>
      <c r="H10" s="3621">
        <v>15776</v>
      </c>
      <c r="I10" s="3621">
        <v>53879</v>
      </c>
      <c r="J10" s="3464" t="s">
        <v>3464</v>
      </c>
      <c r="K10" s="3464" t="s">
        <v>3498</v>
      </c>
      <c r="L10" s="3464" t="s">
        <v>3581</v>
      </c>
      <c r="M10" s="3464"/>
      <c r="N10" s="3464"/>
      <c r="O10" s="3464"/>
      <c r="P10" s="3464"/>
      <c r="Q10" s="3464"/>
    </row>
    <row r="11" spans="2:20" ht="21">
      <c r="B11" s="3463">
        <v>10</v>
      </c>
      <c r="C11" s="3464" t="s">
        <v>3496</v>
      </c>
      <c r="D11" s="3464" t="s">
        <v>21</v>
      </c>
      <c r="E11" s="3464" t="s">
        <v>3499</v>
      </c>
      <c r="F11" s="3464" t="s">
        <v>3500</v>
      </c>
      <c r="G11" s="3465">
        <v>15.05</v>
      </c>
      <c r="H11" s="3468">
        <v>17629.080000000002</v>
      </c>
      <c r="I11" s="3468">
        <v>85370</v>
      </c>
      <c r="J11" s="3464" t="s">
        <v>3479</v>
      </c>
      <c r="K11" s="3464" t="s">
        <v>3501</v>
      </c>
      <c r="L11" s="3464" t="s">
        <v>3502</v>
      </c>
      <c r="M11" s="3464"/>
      <c r="N11" s="3464">
        <v>0.46</v>
      </c>
      <c r="O11" s="3464">
        <v>32414</v>
      </c>
      <c r="P11" s="3464">
        <f>ROUND(G11*100000000/H11,0)</f>
        <v>85370</v>
      </c>
      <c r="Q11" s="3464"/>
      <c r="R11" s="3469"/>
      <c r="S11" s="3469"/>
      <c r="T11" s="3469"/>
    </row>
    <row r="12" spans="2:20">
      <c r="B12" s="3463">
        <v>11</v>
      </c>
      <c r="C12" s="3464" t="s">
        <v>3496</v>
      </c>
      <c r="D12" s="3464" t="s">
        <v>21</v>
      </c>
      <c r="E12" s="3464" t="s">
        <v>3503</v>
      </c>
      <c r="F12" s="3464" t="s">
        <v>3473</v>
      </c>
      <c r="G12" s="3467">
        <v>3.66</v>
      </c>
      <c r="H12" s="3468">
        <v>6938</v>
      </c>
      <c r="I12" s="3468">
        <v>52757</v>
      </c>
      <c r="J12" s="3464" t="s">
        <v>3464</v>
      </c>
      <c r="K12" s="3464" t="s">
        <v>3504</v>
      </c>
      <c r="L12" s="3464" t="s">
        <v>3505</v>
      </c>
      <c r="M12" s="3464"/>
      <c r="N12" s="3464"/>
      <c r="O12" s="3464"/>
      <c r="P12" s="3464"/>
      <c r="Q12" s="3464"/>
    </row>
    <row r="13" spans="2:20" ht="21">
      <c r="B13" s="3463">
        <v>12</v>
      </c>
      <c r="C13" s="3464" t="s">
        <v>3506</v>
      </c>
      <c r="D13" s="3464" t="s">
        <v>3476</v>
      </c>
      <c r="E13" s="3464" t="s">
        <v>3507</v>
      </c>
      <c r="F13" s="3464" t="s">
        <v>3468</v>
      </c>
      <c r="G13" s="3463">
        <v>6</v>
      </c>
      <c r="H13" s="3468">
        <v>15000</v>
      </c>
      <c r="I13" s="3468">
        <v>40000</v>
      </c>
      <c r="J13" s="3464" t="s">
        <v>3464</v>
      </c>
      <c r="K13" s="3464" t="s">
        <v>3508</v>
      </c>
      <c r="L13" s="3464" t="s">
        <v>3509</v>
      </c>
      <c r="M13" s="3464"/>
      <c r="N13" s="3464"/>
      <c r="O13" s="3464"/>
      <c r="P13" s="3464"/>
      <c r="Q13" s="3464"/>
    </row>
    <row r="14" spans="2:20">
      <c r="B14" s="3463">
        <v>13</v>
      </c>
      <c r="C14" s="3464" t="s">
        <v>3506</v>
      </c>
      <c r="D14" s="3464" t="s">
        <v>21</v>
      </c>
      <c r="E14" s="3464" t="s">
        <v>3510</v>
      </c>
      <c r="F14" s="3464" t="s">
        <v>3478</v>
      </c>
      <c r="G14" s="3467">
        <v>16.739999999999998</v>
      </c>
      <c r="H14" s="3468">
        <v>28829</v>
      </c>
      <c r="I14" s="3468">
        <v>58077</v>
      </c>
      <c r="J14" s="3464" t="s">
        <v>3479</v>
      </c>
      <c r="K14" s="3464" t="s">
        <v>3511</v>
      </c>
      <c r="L14" s="3464" t="s">
        <v>3512</v>
      </c>
      <c r="M14" s="3464"/>
      <c r="N14" s="3464"/>
      <c r="O14" s="3464"/>
      <c r="P14" s="3464"/>
      <c r="Q14" s="3464"/>
    </row>
    <row r="15" spans="2:20" ht="21">
      <c r="B15" s="3463">
        <v>14</v>
      </c>
      <c r="C15" s="3464" t="s">
        <v>3506</v>
      </c>
      <c r="D15" s="3464" t="s">
        <v>3476</v>
      </c>
      <c r="E15" s="3464" t="s">
        <v>3513</v>
      </c>
      <c r="F15" s="3464" t="s">
        <v>3463</v>
      </c>
      <c r="G15" s="3465">
        <v>7.2</v>
      </c>
      <c r="H15" s="3468">
        <v>41900</v>
      </c>
      <c r="I15" s="3468">
        <v>17184</v>
      </c>
      <c r="J15" s="3464" t="s">
        <v>3479</v>
      </c>
      <c r="K15" s="3464" t="s">
        <v>3514</v>
      </c>
      <c r="L15" s="3464" t="s">
        <v>3515</v>
      </c>
      <c r="M15" s="3464"/>
      <c r="N15" s="3464"/>
      <c r="O15" s="3464"/>
      <c r="P15" s="3464"/>
      <c r="Q15" s="3464"/>
      <c r="R15" s="3469"/>
      <c r="S15" s="3469"/>
      <c r="T15" s="3469"/>
    </row>
    <row r="16" spans="2:20" s="3527" customFormat="1" ht="31.5">
      <c r="B16" s="3619">
        <v>15</v>
      </c>
      <c r="C16" s="3464" t="s">
        <v>3516</v>
      </c>
      <c r="D16" s="3464" t="s">
        <v>21</v>
      </c>
      <c r="E16" s="3464" t="s">
        <v>3586</v>
      </c>
      <c r="F16" s="3464" t="s">
        <v>3468</v>
      </c>
      <c r="G16" s="3620">
        <v>5.61</v>
      </c>
      <c r="H16" s="3621">
        <v>11645</v>
      </c>
      <c r="I16" s="3621">
        <v>48158</v>
      </c>
      <c r="J16" s="3464" t="s">
        <v>3479</v>
      </c>
      <c r="K16" s="3464" t="s">
        <v>3517</v>
      </c>
      <c r="L16" s="3464" t="s">
        <v>3587</v>
      </c>
      <c r="M16" s="3464"/>
      <c r="N16" s="3464"/>
      <c r="O16" s="3464"/>
      <c r="P16" s="3464"/>
      <c r="Q16" s="3464"/>
      <c r="R16" s="3622"/>
      <c r="S16" s="3622"/>
      <c r="T16" s="3622"/>
    </row>
    <row r="17" spans="2:24" ht="21">
      <c r="B17" s="3463">
        <v>16</v>
      </c>
      <c r="C17" s="3464" t="s">
        <v>3516</v>
      </c>
      <c r="D17" s="3464" t="s">
        <v>21</v>
      </c>
      <c r="E17" s="3464" t="s">
        <v>3518</v>
      </c>
      <c r="F17" s="3464" t="s">
        <v>3473</v>
      </c>
      <c r="G17" s="3465">
        <v>90.6</v>
      </c>
      <c r="H17" s="3468">
        <v>107627</v>
      </c>
      <c r="I17" s="3468">
        <v>84180</v>
      </c>
      <c r="J17" s="3464" t="s">
        <v>3464</v>
      </c>
      <c r="K17" s="3464" t="s">
        <v>3519</v>
      </c>
      <c r="L17" s="3464" t="s">
        <v>3520</v>
      </c>
      <c r="M17" s="3464">
        <v>12.307255260677</v>
      </c>
      <c r="N17" s="3464">
        <v>0.12</v>
      </c>
      <c r="O17" s="3464">
        <v>122430.06</v>
      </c>
      <c r="P17" s="3464">
        <f>ROUND(G17*100000000/H17,0)</f>
        <v>84180</v>
      </c>
      <c r="Q17" s="3464"/>
      <c r="R17" s="3469">
        <v>14</v>
      </c>
      <c r="S17" s="3469">
        <v>8745.0042857142907</v>
      </c>
      <c r="T17" s="3469"/>
    </row>
    <row r="18" spans="2:24" ht="31.5">
      <c r="B18" s="3463">
        <v>17</v>
      </c>
      <c r="C18" s="3464" t="s">
        <v>3516</v>
      </c>
      <c r="D18" s="3464" t="s">
        <v>3492</v>
      </c>
      <c r="E18" s="3464" t="s">
        <v>3521</v>
      </c>
      <c r="F18" s="3464" t="s">
        <v>3483</v>
      </c>
      <c r="G18" s="3463">
        <v>40</v>
      </c>
      <c r="H18" s="3468">
        <v>100030</v>
      </c>
      <c r="I18" s="3468">
        <v>40000</v>
      </c>
      <c r="J18" s="3464" t="s">
        <v>3522</v>
      </c>
      <c r="K18" s="3464" t="s">
        <v>3523</v>
      </c>
      <c r="L18" s="3464" t="s">
        <v>3524</v>
      </c>
      <c r="M18" s="3464"/>
      <c r="N18" s="3464"/>
      <c r="O18" s="3464"/>
      <c r="P18" s="3464"/>
      <c r="Q18" s="3464"/>
      <c r="R18" s="3469"/>
      <c r="S18" s="3469"/>
      <c r="T18" s="3469"/>
    </row>
    <row r="19" spans="2:24" s="3633" customFormat="1" ht="21">
      <c r="B19" s="3634">
        <v>18</v>
      </c>
      <c r="C19" s="3624" t="s">
        <v>3525</v>
      </c>
      <c r="D19" s="3624" t="s">
        <v>3526</v>
      </c>
      <c r="E19" s="3624" t="s">
        <v>3527</v>
      </c>
      <c r="F19" s="3624" t="s">
        <v>3500</v>
      </c>
      <c r="G19" s="3635">
        <v>43.3</v>
      </c>
      <c r="H19" s="3636">
        <v>110996</v>
      </c>
      <c r="I19" s="3636">
        <v>55732</v>
      </c>
      <c r="J19" s="3624" t="s">
        <v>3528</v>
      </c>
      <c r="K19" s="3624" t="s">
        <v>3529</v>
      </c>
      <c r="L19" s="3624" t="s">
        <v>3582</v>
      </c>
      <c r="M19" s="3624"/>
      <c r="N19" s="3624">
        <v>0.23937832355682301</v>
      </c>
      <c r="O19" s="3624">
        <v>145928</v>
      </c>
      <c r="P19" s="3624">
        <v>42389</v>
      </c>
      <c r="Q19" s="3624">
        <f>ROUND((1-(2023-2009)/60)*0.4+85%*0.6,2)</f>
        <v>0.82</v>
      </c>
      <c r="R19" s="3637"/>
      <c r="S19" s="3637"/>
      <c r="T19" s="3637"/>
      <c r="U19" s="3633">
        <v>2009</v>
      </c>
      <c r="V19" s="3633">
        <f>U19-1995</f>
        <v>14</v>
      </c>
      <c r="W19" s="3633">
        <f>V19*X19</f>
        <v>3.5</v>
      </c>
      <c r="X19" s="3633">
        <v>0.25</v>
      </c>
    </row>
    <row r="20" spans="2:24" ht="31.5">
      <c r="B20" s="3463">
        <v>19</v>
      </c>
      <c r="C20" s="3464" t="s">
        <v>3530</v>
      </c>
      <c r="D20" s="3464" t="s">
        <v>3492</v>
      </c>
      <c r="E20" s="3464" t="s">
        <v>3531</v>
      </c>
      <c r="F20" s="3464" t="s">
        <v>3473</v>
      </c>
      <c r="G20" s="3467">
        <v>16.45</v>
      </c>
      <c r="H20" s="3468">
        <v>41197</v>
      </c>
      <c r="I20" s="3468">
        <v>39930</v>
      </c>
      <c r="J20" s="3464" t="s">
        <v>3479</v>
      </c>
      <c r="K20" s="3464" t="s">
        <v>3532</v>
      </c>
      <c r="L20" s="3470" t="s">
        <v>3533</v>
      </c>
      <c r="M20" s="3470"/>
      <c r="N20" s="3470"/>
      <c r="O20" s="3470"/>
      <c r="P20" s="3470"/>
      <c r="Q20" s="3470">
        <v>230000</v>
      </c>
      <c r="R20" s="3469">
        <v>55829.307959317397</v>
      </c>
      <c r="S20" s="3469">
        <v>0.71521739130434803</v>
      </c>
      <c r="T20" s="3469"/>
    </row>
    <row r="21" spans="2:24">
      <c r="B21" s="3463">
        <v>20</v>
      </c>
      <c r="C21" s="3464" t="s">
        <v>3530</v>
      </c>
      <c r="D21" s="3464" t="s">
        <v>21</v>
      </c>
      <c r="E21" s="3464" t="s">
        <v>3534</v>
      </c>
      <c r="F21" s="3464" t="s">
        <v>3535</v>
      </c>
      <c r="G21" s="3467">
        <v>20</v>
      </c>
      <c r="H21" s="3468">
        <v>49000</v>
      </c>
      <c r="I21" s="3468">
        <v>40816</v>
      </c>
      <c r="J21" s="3464" t="s">
        <v>3479</v>
      </c>
      <c r="K21" s="3464" t="s">
        <v>3536</v>
      </c>
      <c r="L21" s="3464" t="s">
        <v>3537</v>
      </c>
      <c r="M21" s="3464"/>
      <c r="N21" s="3464"/>
      <c r="O21" s="3464"/>
      <c r="P21" s="3464"/>
      <c r="Q21" s="3464"/>
      <c r="R21" s="3469"/>
      <c r="S21" s="3469"/>
      <c r="T21" s="3469"/>
    </row>
    <row r="22" spans="2:24" ht="31.5">
      <c r="B22" s="3463">
        <v>21</v>
      </c>
      <c r="C22" s="3464" t="s">
        <v>3530</v>
      </c>
      <c r="D22" s="3464" t="s">
        <v>3538</v>
      </c>
      <c r="E22" s="3464" t="s">
        <v>3539</v>
      </c>
      <c r="F22" s="3464" t="s">
        <v>3540</v>
      </c>
      <c r="G22" s="3467">
        <v>6.55</v>
      </c>
      <c r="H22" s="3468">
        <v>37002</v>
      </c>
      <c r="I22" s="3468">
        <v>17702</v>
      </c>
      <c r="J22" s="3464" t="s">
        <v>3464</v>
      </c>
      <c r="K22" s="3464" t="s">
        <v>3541</v>
      </c>
      <c r="L22" s="3464" t="s">
        <v>3542</v>
      </c>
      <c r="M22" s="3464"/>
      <c r="N22" s="3464"/>
      <c r="O22" s="3464"/>
      <c r="P22" s="3464"/>
      <c r="Q22" s="3464"/>
      <c r="R22" s="3469"/>
      <c r="S22" s="3469"/>
      <c r="T22" s="3469"/>
    </row>
    <row r="23" spans="2:24" ht="21">
      <c r="B23" s="3463">
        <v>22</v>
      </c>
      <c r="C23" s="3464" t="s">
        <v>3530</v>
      </c>
      <c r="D23" s="3464" t="s">
        <v>21</v>
      </c>
      <c r="E23" s="3464" t="s">
        <v>3543</v>
      </c>
      <c r="F23" s="3464" t="s">
        <v>3540</v>
      </c>
      <c r="G23" s="3467">
        <v>8.67</v>
      </c>
      <c r="H23" s="3468">
        <v>38464</v>
      </c>
      <c r="I23" s="3468">
        <v>22547</v>
      </c>
      <c r="J23" s="3464" t="s">
        <v>3479</v>
      </c>
      <c r="K23" s="3464" t="s">
        <v>3544</v>
      </c>
      <c r="L23" s="3464" t="s">
        <v>3545</v>
      </c>
      <c r="M23" s="3464"/>
      <c r="N23" s="3464"/>
      <c r="O23" s="3464"/>
      <c r="P23" s="3464"/>
      <c r="Q23" s="3464"/>
      <c r="R23" s="3469"/>
      <c r="S23" s="3469"/>
      <c r="T23" s="3469"/>
    </row>
    <row r="24" spans="2:24" ht="21">
      <c r="B24" s="3463">
        <v>23</v>
      </c>
      <c r="C24" s="3464" t="s">
        <v>3530</v>
      </c>
      <c r="D24" s="3464" t="s">
        <v>21</v>
      </c>
      <c r="E24" s="3464" t="s">
        <v>3546</v>
      </c>
      <c r="F24" s="3464" t="s">
        <v>3547</v>
      </c>
      <c r="G24" s="3467">
        <v>8.75</v>
      </c>
      <c r="H24" s="3468">
        <v>45240</v>
      </c>
      <c r="I24" s="3468">
        <v>19343</v>
      </c>
      <c r="J24" s="3464" t="s">
        <v>3479</v>
      </c>
      <c r="K24" s="3464" t="s">
        <v>3548</v>
      </c>
      <c r="L24" s="3464" t="s">
        <v>3549</v>
      </c>
      <c r="M24" s="3464"/>
      <c r="N24" s="3464"/>
      <c r="O24" s="3464"/>
      <c r="P24" s="3464"/>
      <c r="Q24" s="3464"/>
      <c r="R24" s="3469"/>
      <c r="S24" s="3469"/>
      <c r="T24" s="3469"/>
    </row>
    <row r="25" spans="2:24" ht="21">
      <c r="B25" s="3463">
        <v>24</v>
      </c>
      <c r="C25" s="3464" t="s">
        <v>3530</v>
      </c>
      <c r="D25" s="3464" t="s">
        <v>21</v>
      </c>
      <c r="E25" s="3464" t="s">
        <v>3550</v>
      </c>
      <c r="F25" s="3464" t="s">
        <v>3463</v>
      </c>
      <c r="G25" s="3467">
        <v>2.97</v>
      </c>
      <c r="H25" s="3468">
        <v>3507</v>
      </c>
      <c r="I25" s="3468">
        <v>84688</v>
      </c>
      <c r="J25" s="3464" t="s">
        <v>3479</v>
      </c>
      <c r="K25" s="3464" t="s">
        <v>3551</v>
      </c>
      <c r="L25" s="3464" t="s">
        <v>3552</v>
      </c>
      <c r="M25" s="3464">
        <v>3.5</v>
      </c>
      <c r="N25" s="3464">
        <v>0.19</v>
      </c>
      <c r="O25" s="3464">
        <v>3506.47</v>
      </c>
      <c r="P25" s="3464">
        <v>84701</v>
      </c>
      <c r="Q25" s="3464"/>
      <c r="R25" s="3469">
        <v>687.53</v>
      </c>
      <c r="S25" s="3469">
        <v>2818.94</v>
      </c>
      <c r="T25" s="3469">
        <v>10.5358751871271</v>
      </c>
    </row>
    <row r="26" spans="2:24" ht="21">
      <c r="B26" s="3463">
        <v>25</v>
      </c>
      <c r="C26" s="3464" t="s">
        <v>3553</v>
      </c>
      <c r="D26" s="3464" t="s">
        <v>21</v>
      </c>
      <c r="E26" s="3464" t="s">
        <v>3554</v>
      </c>
      <c r="F26" s="3464" t="s">
        <v>3463</v>
      </c>
      <c r="G26" s="3467">
        <v>16.440000000000001</v>
      </c>
      <c r="H26" s="3468">
        <v>66158</v>
      </c>
      <c r="I26" s="3468">
        <v>24847</v>
      </c>
      <c r="J26" s="3464" t="s">
        <v>3479</v>
      </c>
      <c r="K26" s="3464" t="s">
        <v>3555</v>
      </c>
      <c r="L26" s="3464" t="s">
        <v>3556</v>
      </c>
      <c r="M26" s="3464"/>
      <c r="N26" s="3464"/>
      <c r="O26" s="3464"/>
      <c r="P26" s="3464"/>
      <c r="Q26" s="3464"/>
      <c r="R26" s="3469"/>
      <c r="S26" s="3469"/>
      <c r="T26" s="3469"/>
    </row>
    <row r="27" spans="2:24" ht="31.5">
      <c r="B27" s="3463">
        <v>26</v>
      </c>
      <c r="C27" s="3464" t="s">
        <v>3553</v>
      </c>
      <c r="D27" s="3464" t="s">
        <v>21</v>
      </c>
      <c r="E27" s="3464" t="s">
        <v>3557</v>
      </c>
      <c r="F27" s="3464" t="s">
        <v>3468</v>
      </c>
      <c r="G27" s="3467">
        <v>3.08</v>
      </c>
      <c r="H27" s="3468">
        <v>11951</v>
      </c>
      <c r="I27" s="3468">
        <v>25751</v>
      </c>
      <c r="J27" s="3464" t="s">
        <v>3479</v>
      </c>
      <c r="K27" s="3464" t="s">
        <v>3558</v>
      </c>
      <c r="L27" s="3464" t="s">
        <v>3559</v>
      </c>
      <c r="M27" s="3464"/>
      <c r="N27" s="3464"/>
      <c r="O27" s="3464"/>
      <c r="P27" s="3464"/>
      <c r="Q27" s="3464"/>
      <c r="R27" s="3469"/>
      <c r="S27" s="3469"/>
      <c r="T27" s="3469"/>
    </row>
    <row r="28" spans="2:24" ht="21">
      <c r="B28" s="3463">
        <v>27</v>
      </c>
      <c r="C28" s="3464" t="s">
        <v>3560</v>
      </c>
      <c r="D28" s="3464" t="s">
        <v>3</v>
      </c>
      <c r="E28" s="3464" t="s">
        <v>3561</v>
      </c>
      <c r="F28" s="3464" t="s">
        <v>3535</v>
      </c>
      <c r="G28" s="3467">
        <v>1.7</v>
      </c>
      <c r="H28" s="3468">
        <v>5382</v>
      </c>
      <c r="I28" s="3468">
        <v>31587</v>
      </c>
      <c r="J28" s="3464" t="s">
        <v>3479</v>
      </c>
      <c r="K28" s="3464" t="s">
        <v>3562</v>
      </c>
      <c r="L28" s="3464" t="s">
        <v>3563</v>
      </c>
      <c r="M28" s="3464"/>
      <c r="N28" s="3464"/>
      <c r="O28" s="3464"/>
      <c r="P28" s="3464"/>
      <c r="Q28" s="3464"/>
      <c r="R28" s="3469"/>
      <c r="S28" s="3469"/>
      <c r="T28" s="3469"/>
    </row>
    <row r="29" spans="2:24" ht="31.5">
      <c r="B29" s="3463">
        <v>28</v>
      </c>
      <c r="C29" s="3464" t="s">
        <v>3560</v>
      </c>
      <c r="D29" s="3464" t="s">
        <v>3</v>
      </c>
      <c r="E29" s="3464" t="s">
        <v>3564</v>
      </c>
      <c r="F29" s="3464" t="s">
        <v>3565</v>
      </c>
      <c r="G29" s="3467">
        <v>10.5</v>
      </c>
      <c r="H29" s="3468">
        <v>9671</v>
      </c>
      <c r="I29" s="3468">
        <v>108567</v>
      </c>
      <c r="J29" s="3464" t="s">
        <v>3464</v>
      </c>
      <c r="K29" s="3464" t="s">
        <v>3566</v>
      </c>
      <c r="L29" s="3464" t="s">
        <v>3567</v>
      </c>
      <c r="M29" s="3464"/>
      <c r="N29" s="3464"/>
      <c r="O29" s="3464"/>
      <c r="P29" s="3464"/>
      <c r="Q29" s="3464"/>
      <c r="R29" s="3469"/>
      <c r="S29" s="3469"/>
      <c r="T29" s="3469"/>
    </row>
    <row r="30" spans="2:24" s="3628" customFormat="1" ht="21">
      <c r="B30" s="3623">
        <v>29</v>
      </c>
      <c r="C30" s="3624" t="s">
        <v>3560</v>
      </c>
      <c r="D30" s="3624" t="s">
        <v>21</v>
      </c>
      <c r="E30" s="3624" t="s">
        <v>3734</v>
      </c>
      <c r="F30" s="3624" t="s">
        <v>3568</v>
      </c>
      <c r="G30" s="3625">
        <v>15.75</v>
      </c>
      <c r="H30" s="3626">
        <v>27765</v>
      </c>
      <c r="I30" s="3626">
        <v>56726</v>
      </c>
      <c r="J30" s="3624" t="s">
        <v>3464</v>
      </c>
      <c r="K30" s="3624" t="s">
        <v>3569</v>
      </c>
      <c r="L30" s="3631" t="s">
        <v>3736</v>
      </c>
      <c r="M30" s="3624"/>
      <c r="N30" s="3624">
        <f>ROUND((O30-H30)/O30,2)</f>
        <v>0.27</v>
      </c>
      <c r="O30" s="3624">
        <v>38000</v>
      </c>
      <c r="P30" s="3624"/>
      <c r="Q30" s="3624">
        <f>ROUND((1-(2023-2008)/60)*0.4+85%*0.6,2)</f>
        <v>0.81</v>
      </c>
      <c r="R30" s="3627"/>
      <c r="S30" s="3627"/>
      <c r="T30" s="3627"/>
      <c r="U30" s="3628">
        <v>2008</v>
      </c>
      <c r="V30" s="3628">
        <f>U30-1995</f>
        <v>13</v>
      </c>
      <c r="W30" s="3628">
        <f>V30*X30</f>
        <v>3.25</v>
      </c>
      <c r="X30" s="3628">
        <v>0.25</v>
      </c>
    </row>
    <row r="31" spans="2:24" s="3628" customFormat="1" ht="31.5">
      <c r="B31" s="3623">
        <v>30</v>
      </c>
      <c r="C31" s="3629">
        <v>44835</v>
      </c>
      <c r="D31" s="3624" t="s">
        <v>3728</v>
      </c>
      <c r="E31" s="3624" t="s">
        <v>3727</v>
      </c>
      <c r="F31" s="3624" t="s">
        <v>3729</v>
      </c>
      <c r="G31" s="3625">
        <v>20.37</v>
      </c>
      <c r="H31" s="3626">
        <v>44759.39</v>
      </c>
      <c r="I31" s="3626">
        <f>ROUND(G31*10000/H31*10000,0)</f>
        <v>45510</v>
      </c>
      <c r="J31" s="3624" t="s">
        <v>3731</v>
      </c>
      <c r="K31" s="3624" t="s">
        <v>3733</v>
      </c>
      <c r="L31" s="3624" t="s">
        <v>3732</v>
      </c>
      <c r="M31" s="3624">
        <f>ROUND(H31/7374.49,2)</f>
        <v>6.07</v>
      </c>
      <c r="N31" s="3624">
        <f>ROUND(13479.99/O31,2)</f>
        <v>0.23</v>
      </c>
      <c r="O31" s="3624">
        <v>58239.38</v>
      </c>
      <c r="P31" s="3624"/>
      <c r="Q31" s="3624">
        <f>ROUND(((1-(2023-2012)/60)+90%)/2,2)</f>
        <v>0.86</v>
      </c>
      <c r="R31" s="3627"/>
      <c r="S31" s="3627"/>
      <c r="T31" s="3627"/>
      <c r="U31" s="3628">
        <v>2012</v>
      </c>
      <c r="V31" s="3628">
        <f>U31-1995</f>
        <v>17</v>
      </c>
      <c r="W31" s="3628">
        <f>V31*X31</f>
        <v>4.25</v>
      </c>
      <c r="X31" s="3628">
        <v>0.25</v>
      </c>
    </row>
    <row r="32" spans="2:24" ht="21">
      <c r="B32" s="3463">
        <v>31</v>
      </c>
      <c r="C32" s="3638">
        <v>44713</v>
      </c>
      <c r="D32" s="3464" t="s">
        <v>3738</v>
      </c>
      <c r="E32" s="3464" t="s">
        <v>3739</v>
      </c>
      <c r="F32" s="3464" t="s">
        <v>3740</v>
      </c>
      <c r="G32" s="3467">
        <v>50.15</v>
      </c>
      <c r="H32" s="3468">
        <f>ROUND(O32/47*42,0)</f>
        <v>131719</v>
      </c>
      <c r="I32" s="3468">
        <f>ROUND(G32*10000/H32*10000,0)</f>
        <v>38073</v>
      </c>
      <c r="J32" s="3464" t="s">
        <v>3741</v>
      </c>
      <c r="K32" s="3464" t="s">
        <v>3742</v>
      </c>
      <c r="L32" s="3464" t="s">
        <v>3743</v>
      </c>
      <c r="M32" s="3464"/>
      <c r="N32" s="3464">
        <f>ROUND(O32/47*5/O32,2)</f>
        <v>0.11</v>
      </c>
      <c r="O32" s="3464">
        <v>147400</v>
      </c>
      <c r="P32" s="3464"/>
      <c r="Q32" s="3464">
        <f>ROUND(1-(2023-2021)/60,2)</f>
        <v>0.97</v>
      </c>
      <c r="R32" s="3469" t="s">
        <v>3737</v>
      </c>
      <c r="S32" s="3469"/>
      <c r="T32" s="3469"/>
    </row>
  </sheetData>
  <phoneticPr fontId="134"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21</v>
      </c>
      <c r="D1" s="1359" t="s">
        <v>43</v>
      </c>
      <c r="E1" s="1360" t="s">
        <v>678</v>
      </c>
      <c r="F1" s="1059">
        <f ca="1">J53</f>
        <v>21.02</v>
      </c>
      <c r="G1" s="1375">
        <f>MATCH(C1,'数据-取费表'!A6:A16,0)+5</f>
        <v>6</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30155</v>
      </c>
      <c r="C2" s="1384" t="s">
        <v>805</v>
      </c>
      <c r="D2" s="1384"/>
      <c r="E2" s="1385"/>
      <c r="F2" s="1386"/>
      <c r="G2" s="2703"/>
      <c r="H2" s="2692"/>
      <c r="I2" s="2692"/>
      <c r="J2" s="2692"/>
      <c r="K2" s="2693"/>
      <c r="L2" s="2692"/>
      <c r="M2" s="2692"/>
    </row>
    <row r="3" spans="1:37" ht="18" customHeight="1" thickBot="1">
      <c r="A3" s="1387" t="s">
        <v>806</v>
      </c>
      <c r="B3" s="1388">
        <f ca="1">IF(ISERROR(B2*10000/F43),0,ROUND(B2*10000/F43,0))</f>
        <v>25129</v>
      </c>
      <c r="C3" s="1384" t="s">
        <v>807</v>
      </c>
      <c r="D3" s="1384"/>
      <c r="E3" s="1385"/>
      <c r="F3" s="1386"/>
      <c r="G3" s="2703"/>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2368</v>
      </c>
      <c r="D5" s="1361" t="s">
        <v>693</v>
      </c>
      <c r="E5" s="1068"/>
      <c r="F5" s="1069"/>
      <c r="G5" s="1381"/>
      <c r="H5" s="297">
        <v>1</v>
      </c>
      <c r="I5" s="298" t="s">
        <v>692</v>
      </c>
      <c r="J5" s="1067">
        <f ca="1">J6+J10+J12</f>
        <v>0</v>
      </c>
      <c r="K5" s="1361" t="s">
        <v>693</v>
      </c>
      <c r="L5" s="1068"/>
      <c r="M5" s="1069"/>
    </row>
    <row r="6" spans="1:37" ht="18" customHeight="1">
      <c r="A6" s="1066" t="s">
        <v>398</v>
      </c>
      <c r="B6" s="3842" t="s">
        <v>694</v>
      </c>
      <c r="C6" s="1071">
        <f ca="1">ROUND(F6*F8*F7*(1-F9)/10000,0)</f>
        <v>2365</v>
      </c>
      <c r="D6" s="153" t="s">
        <v>2109</v>
      </c>
      <c r="E6" s="300" t="s">
        <v>696</v>
      </c>
      <c r="F6" s="301">
        <f ca="1">INDIRECT("'数据-取费表'!u"&amp;$G$1)</f>
        <v>6</v>
      </c>
      <c r="G6" s="1381"/>
      <c r="H6" s="1066" t="s">
        <v>398</v>
      </c>
      <c r="I6" s="3842" t="s">
        <v>694</v>
      </c>
      <c r="J6" s="299">
        <f ca="1">ROUND(M6*M8*M7*(1-M9)/10000,0)</f>
        <v>0</v>
      </c>
      <c r="K6" s="153" t="s">
        <v>2108</v>
      </c>
      <c r="L6" s="300" t="s">
        <v>696</v>
      </c>
      <c r="M6" s="301">
        <f ca="1">INDIRECT("'数据-取费表'!z"&amp;$G$1)</f>
        <v>0</v>
      </c>
    </row>
    <row r="7" spans="1:37" ht="18" customHeight="1">
      <c r="A7" s="1070"/>
      <c r="B7" s="3843"/>
      <c r="C7" s="1072"/>
      <c r="D7" s="305"/>
      <c r="E7" s="1073" t="s">
        <v>697</v>
      </c>
      <c r="F7" s="301">
        <f ca="1">IF(INDIRECT("'数据-取费表'!ah"&amp;$G$1)="",INDIRECT("'数据-取费表'!k"&amp;$G$1),INDIRECT("'数据-取费表'!ah"&amp;$G$1))</f>
        <v>12000.23</v>
      </c>
      <c r="G7" s="1381"/>
      <c r="H7" s="302"/>
      <c r="I7" s="3843"/>
      <c r="J7" s="304"/>
      <c r="K7" s="305"/>
      <c r="L7" s="300" t="s">
        <v>697</v>
      </c>
      <c r="M7" s="301">
        <f ca="1">F7</f>
        <v>12000.23</v>
      </c>
    </row>
    <row r="8" spans="1:37" ht="18" customHeight="1">
      <c r="A8" s="302"/>
      <c r="B8" s="3843"/>
      <c r="C8" s="304"/>
      <c r="D8" s="305"/>
      <c r="E8" s="300" t="s">
        <v>698</v>
      </c>
      <c r="F8" s="301">
        <f ca="1">INDIRECT("'数据-取费表'!ai"&amp;$G$1)</f>
        <v>365</v>
      </c>
      <c r="G8" s="1381"/>
      <c r="H8" s="302"/>
      <c r="I8" s="3843"/>
      <c r="J8" s="304"/>
      <c r="K8" s="305"/>
      <c r="L8" s="300" t="s">
        <v>698</v>
      </c>
      <c r="M8" s="301">
        <f ca="1">INDIRECT("'数据-取费表'!ai"&amp;$G$1)</f>
        <v>365</v>
      </c>
    </row>
    <row r="9" spans="1:37" ht="18" customHeight="1">
      <c r="A9" s="302"/>
      <c r="B9" s="3844"/>
      <c r="C9" s="304"/>
      <c r="D9" s="305"/>
      <c r="E9" s="300" t="s">
        <v>699</v>
      </c>
      <c r="F9" s="310">
        <f ca="1">INDIRECT("'数据-取费表'!w"&amp;$G$1)</f>
        <v>0.1</v>
      </c>
      <c r="G9" s="1381"/>
      <c r="H9" s="302"/>
      <c r="I9" s="3844"/>
      <c r="J9" s="304"/>
      <c r="K9" s="305"/>
      <c r="L9" s="311" t="s">
        <v>699</v>
      </c>
      <c r="M9" s="312">
        <f ca="1">INDIRECT("'数据-取费表'!ab"&amp;$G$1)</f>
        <v>0</v>
      </c>
    </row>
    <row r="10" spans="1:37" ht="18" customHeight="1">
      <c r="A10" s="1066" t="s">
        <v>402</v>
      </c>
      <c r="B10" s="1362" t="s">
        <v>700</v>
      </c>
      <c r="C10" s="314">
        <f ca="1">ROUND(IF(F10="押一",C6/12*F11,IF(F10="押二",C6/12*2*F11,IF(F10="押三",C6/12*3*F11,C11*F11))),0)</f>
        <v>3</v>
      </c>
      <c r="D10" s="1363" t="s">
        <v>2117</v>
      </c>
      <c r="E10" s="311" t="s">
        <v>701</v>
      </c>
      <c r="F10" s="1113" t="s">
        <v>3435</v>
      </c>
      <c r="G10" s="1381"/>
      <c r="H10" s="1066" t="s">
        <v>402</v>
      </c>
      <c r="I10" s="1362" t="s">
        <v>700</v>
      </c>
      <c r="J10" s="299">
        <f ca="1">ROUND(IF(M10="押一",J6/12*M11,IF(M10="押二",J6/12*2*M11,IF(M10="押三",J6/12*3*M11,J11*M11))),0)</f>
        <v>0</v>
      </c>
      <c r="K10" s="1363" t="s">
        <v>2116</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904</v>
      </c>
      <c r="D13" s="1078" t="s">
        <v>705</v>
      </c>
      <c r="E13" s="1078" t="s">
        <v>706</v>
      </c>
      <c r="F13" s="1079">
        <f ca="1">INDIRECT("'数据-取费表'!y"&amp;$G$1)</f>
        <v>0.1</v>
      </c>
      <c r="G13" s="1381"/>
      <c r="H13" s="1076">
        <v>2</v>
      </c>
      <c r="I13" s="1077" t="s">
        <v>704</v>
      </c>
      <c r="J13" s="1065">
        <f ca="1">ROUND(J14*J15,0)</f>
        <v>0</v>
      </c>
      <c r="K13" s="1084" t="s">
        <v>705</v>
      </c>
      <c r="L13" s="1389"/>
      <c r="M13" s="1390"/>
    </row>
    <row r="14" spans="1:37" ht="18" customHeight="1">
      <c r="A14" s="979" t="s">
        <v>397</v>
      </c>
      <c r="B14" s="300" t="s">
        <v>707</v>
      </c>
      <c r="C14" s="316">
        <f ca="1">INDIRECT("'数据-取费表'!m"&amp;$G$1)+INDIRECT("'数据-取费表'!t"&amp;$G$1)</f>
        <v>5760</v>
      </c>
      <c r="D14" s="1342" t="s">
        <v>708</v>
      </c>
      <c r="E14" s="1339"/>
      <c r="F14" s="317"/>
      <c r="G14" s="1381"/>
      <c r="H14" s="979" t="s">
        <v>398</v>
      </c>
      <c r="I14" s="300" t="s">
        <v>709</v>
      </c>
      <c r="J14" s="21">
        <f ca="1">C29</f>
        <v>9042</v>
      </c>
      <c r="K14" s="12"/>
      <c r="L14" s="804"/>
      <c r="M14" s="805"/>
    </row>
    <row r="15" spans="1:37" s="1394" customFormat="1" ht="18" customHeight="1" thickBot="1">
      <c r="A15" s="979" t="s">
        <v>399</v>
      </c>
      <c r="B15" s="300" t="s">
        <v>710</v>
      </c>
      <c r="C15" s="21">
        <f ca="1">ROUND(C14*F15,0)</f>
        <v>288</v>
      </c>
      <c r="D15" s="318" t="s">
        <v>711</v>
      </c>
      <c r="E15" s="318" t="s">
        <v>712</v>
      </c>
      <c r="F15" s="319">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ROUND(J17+J22+J23+J24,0)</f>
        <v>92</v>
      </c>
      <c r="K16" s="1084" t="s">
        <v>715</v>
      </c>
      <c r="L16" s="1085"/>
      <c r="M16" s="1069"/>
    </row>
    <row r="17" spans="1:37" s="1394" customFormat="1" ht="18" customHeight="1">
      <c r="A17" s="979" t="s">
        <v>681</v>
      </c>
      <c r="B17" s="300" t="s">
        <v>716</v>
      </c>
      <c r="C17" s="21">
        <f ca="1">ROUND(F17*(F43+INDIRECT("'数据-取费表'!S"&amp;$G$1))/10000,0)</f>
        <v>240</v>
      </c>
      <c r="D17" s="300" t="s">
        <v>717</v>
      </c>
      <c r="E17" s="300" t="s">
        <v>718</v>
      </c>
      <c r="F17" s="23">
        <f>'数据-取费表'!B35</f>
        <v>200</v>
      </c>
      <c r="G17" s="1393"/>
      <c r="H17" s="979" t="s">
        <v>398</v>
      </c>
      <c r="I17" s="300" t="s">
        <v>719</v>
      </c>
      <c r="J17" s="2313">
        <f ca="1">ROUND(IF(AND(项目基本情况!B11="自然人",项目基本情况!B10="北京市"),J6*M17/(1+'数据-取费表'!C42),J18+J19+J20),2)</f>
        <v>1.92</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86</v>
      </c>
      <c r="D18" s="300" t="s">
        <v>711</v>
      </c>
      <c r="E18" s="300" t="s">
        <v>712</v>
      </c>
      <c r="F18" s="320">
        <f>'数据-取费表'!B36</f>
        <v>1.4999999999999999E-2</v>
      </c>
      <c r="G18" s="1393"/>
      <c r="H18" s="979" t="s">
        <v>397</v>
      </c>
      <c r="I18" s="300" t="s">
        <v>723</v>
      </c>
      <c r="J18" s="21">
        <f ca="1">ROUND(J6*M18/(1+'数据-取费表'!C42),2)</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6374</v>
      </c>
      <c r="D19" s="129" t="s">
        <v>726</v>
      </c>
      <c r="E19" s="1357"/>
      <c r="F19" s="23"/>
      <c r="G19" s="1381"/>
      <c r="H19" s="979" t="s">
        <v>399</v>
      </c>
      <c r="I19" s="300" t="s">
        <v>727</v>
      </c>
      <c r="J19" s="21">
        <f ca="1">IF(K19="按租金收入计税",ROUND(J6*M19/(1+'数据-取费表'!C42),2),ROUND(C29*M19*0.7,2))</f>
        <v>0</v>
      </c>
      <c r="K19" s="1367" t="s">
        <v>3343</v>
      </c>
      <c r="L19" s="300" t="s">
        <v>712</v>
      </c>
      <c r="M19" s="320">
        <f>IF(K19="按租金收入计税",'数据-取费表'!B51,'数据-取费表'!B50)</f>
        <v>0.12</v>
      </c>
    </row>
    <row r="20" spans="1:37" s="1394" customFormat="1" ht="18" customHeight="1">
      <c r="A20" s="979" t="s">
        <v>402</v>
      </c>
      <c r="B20" s="300" t="s">
        <v>728</v>
      </c>
      <c r="C20" s="21">
        <f ca="1">ROUND(C19*F20,0)</f>
        <v>191</v>
      </c>
      <c r="D20" s="321" t="s">
        <v>729</v>
      </c>
      <c r="E20" s="300" t="s">
        <v>712</v>
      </c>
      <c r="F20" s="320">
        <f>'数据-取费表'!B37</f>
        <v>0.03</v>
      </c>
      <c r="G20" s="1393"/>
      <c r="H20" s="979" t="s">
        <v>680</v>
      </c>
      <c r="I20" s="153" t="s">
        <v>730</v>
      </c>
      <c r="J20" s="22">
        <f ca="1">ROUND(M20*M21/10000,2)</f>
        <v>1.92</v>
      </c>
      <c r="K20" s="322" t="s">
        <v>731</v>
      </c>
      <c r="L20" s="300" t="s">
        <v>732</v>
      </c>
      <c r="M20" s="323">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0.03</v>
      </c>
      <c r="G21" s="1393"/>
      <c r="H21" s="324"/>
      <c r="I21" s="309"/>
      <c r="J21" s="26"/>
      <c r="K21" s="325"/>
      <c r="L21" s="300" t="s">
        <v>736</v>
      </c>
      <c r="M21" s="301">
        <f ca="1">INDIRECT("'数据-取费表'!r"&amp;$G$1)</f>
        <v>1066.21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ROUND(J14*M22,2)</f>
        <v>90.42</v>
      </c>
      <c r="K22" s="1341" t="s">
        <v>739</v>
      </c>
      <c r="L22" s="300" t="s">
        <v>712</v>
      </c>
      <c r="M22" s="326">
        <f ca="1">INDIRECT("'数据-取费表'!Ak"&amp;$G$1)</f>
        <v>0.01</v>
      </c>
    </row>
    <row r="23" spans="1:37" s="1394" customFormat="1" ht="18" customHeight="1">
      <c r="A23" s="979" t="s">
        <v>397</v>
      </c>
      <c r="B23" s="300" t="s">
        <v>740</v>
      </c>
      <c r="C23" s="21">
        <f ca="1">IF('数据-取费表'!B22&lt;=1,ROUND(C19*F24*F23/2,0)+ROUND(C20*F24*F23/2,0),ROUND(C19*(POWER((1+F24),F23/2)-1),0)+ROUND(C20*(POWER((1+F24),F23/2)-1),0))</f>
        <v>342</v>
      </c>
      <c r="D23" s="327" t="str">
        <f>IF(F23&lt;=1,"(建造成本+管理费用)×利率×(建设周期÷2)","(建造成本+管理费用)×((1+利率)^(建设周期÷2)-1)")</f>
        <v>(建造成本+管理费用)×((1+利率)^(建设周期÷2)-1)</v>
      </c>
      <c r="E23" s="300" t="s">
        <v>741</v>
      </c>
      <c r="F23" s="323">
        <f>'数据-取费表'!B20</f>
        <v>2.5</v>
      </c>
      <c r="G23" s="1393"/>
      <c r="H23" s="979" t="s">
        <v>437</v>
      </c>
      <c r="I23" s="300" t="s">
        <v>742</v>
      </c>
      <c r="J23" s="21">
        <f ca="1">ROUND(J13*M23,2)</f>
        <v>0</v>
      </c>
      <c r="K23" s="1341" t="s">
        <v>743</v>
      </c>
      <c r="L23" s="300" t="s">
        <v>744</v>
      </c>
      <c r="M23" s="328">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4.1499999999999995E-2</v>
      </c>
      <c r="G24" s="1393"/>
      <c r="H24" s="1086" t="s">
        <v>684</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-92</v>
      </c>
      <c r="K25" s="1092" t="s">
        <v>753</v>
      </c>
      <c r="L25" s="1093"/>
      <c r="M25" s="1094"/>
    </row>
    <row r="26" spans="1:37">
      <c r="A26" s="979" t="s">
        <v>397</v>
      </c>
      <c r="B26" s="300" t="s">
        <v>754</v>
      </c>
      <c r="C26" s="21">
        <f ca="1">ROUND((C19+C20)*F26,0)</f>
        <v>1313</v>
      </c>
      <c r="D26" s="321" t="s">
        <v>755</v>
      </c>
      <c r="E26" s="311" t="s">
        <v>756</v>
      </c>
      <c r="F26" s="310">
        <f ca="1">INDIRECT("'数据-取费表'!q"&amp;$G$1)</f>
        <v>0.2</v>
      </c>
      <c r="G26" s="1381"/>
      <c r="H26" s="297" t="s">
        <v>395</v>
      </c>
      <c r="I26" s="298" t="s">
        <v>757</v>
      </c>
      <c r="J26" s="299">
        <f ca="1">IF(J5&lt;&gt;0,ROUND(J25*(1-((1+M28)/(1+M26))^M27)/(M26-M28),0),0)</f>
        <v>0</v>
      </c>
      <c r="K26" s="322" t="s">
        <v>758</v>
      </c>
      <c r="L26" s="300" t="s">
        <v>759</v>
      </c>
      <c r="M26" s="310">
        <f ca="1">INDIRECT("'数据-取费表'!I"&amp;$G$1)</f>
        <v>5.5E-2</v>
      </c>
    </row>
    <row r="27" spans="1:37" ht="18" customHeight="1">
      <c r="A27" s="979" t="s">
        <v>399</v>
      </c>
      <c r="B27" s="300" t="s">
        <v>760</v>
      </c>
      <c r="C27" s="21">
        <f ca="1">ROUND(F21*F26,4)</f>
        <v>6.0000000000000001E-3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9042</v>
      </c>
      <c r="D29" s="1089"/>
      <c r="E29" s="1087"/>
      <c r="F29" s="1090"/>
      <c r="G29" s="1393"/>
      <c r="H29" s="332" t="s">
        <v>396</v>
      </c>
      <c r="I29" s="333" t="s">
        <v>768</v>
      </c>
      <c r="J29" s="334">
        <f ca="1">ROUND(J26/(1+F40)^F41,0)</f>
        <v>0</v>
      </c>
      <c r="K29" s="335" t="s">
        <v>769</v>
      </c>
      <c r="L29" s="336"/>
      <c r="M29" s="337">
        <f ca="1">INDIRECT("'数据-取费表'!k"&amp;$G$1)</f>
        <v>12000.23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514</v>
      </c>
      <c r="D30" s="1084" t="s">
        <v>715</v>
      </c>
      <c r="E30" s="1085"/>
      <c r="F30" s="1069"/>
      <c r="G30" s="1381"/>
      <c r="H30" s="2694"/>
      <c r="I30" s="1395"/>
      <c r="J30" s="1396"/>
      <c r="K30" s="2472"/>
      <c r="L30" s="2695"/>
      <c r="M30" s="2696"/>
    </row>
    <row r="31" spans="1:37" ht="18" customHeight="1">
      <c r="A31" s="979" t="s">
        <v>398</v>
      </c>
      <c r="B31" s="300" t="s">
        <v>719</v>
      </c>
      <c r="C31" s="2313">
        <f ca="1">ROUND(IF(AND(项目基本情况!B11="自然人",项目基本情况!B10="北京市"),C6*F31/(1+'数据-取费表'!C42),C32+C33+C34),2)</f>
        <v>398.34</v>
      </c>
      <c r="D31" s="1342" t="s">
        <v>720</v>
      </c>
      <c r="E31" s="1341" t="s">
        <v>770</v>
      </c>
      <c r="F31" s="2312" t="str">
        <f>IF(项目基本情况!B11="企业","——",IF(M47="住宅",IF(F6*F7*F8/12/(1+'数据-取费表'!F30)&gt;100000,4%,2.5%),IF(F6*F7*F8/12/(1+'数据-取费表'!F30)&gt;100000,12%,7%)))</f>
        <v>——</v>
      </c>
      <c r="G31" s="1381"/>
      <c r="H31" s="2805" t="s">
        <v>2310</v>
      </c>
      <c r="I31" s="1395"/>
      <c r="J31" s="1396"/>
      <c r="K31" s="2472"/>
      <c r="L31" s="2695"/>
      <c r="M31" s="2696"/>
    </row>
    <row r="32" spans="1:37" ht="18" customHeight="1">
      <c r="A32" s="979" t="s">
        <v>397</v>
      </c>
      <c r="B32" s="300" t="s">
        <v>723</v>
      </c>
      <c r="C32" s="21">
        <f ca="1">IF(项目基本情况!B11="自然人","——",ROUND(C6*F32/(1+'数据-取费表'!C42),2))</f>
        <v>126.13</v>
      </c>
      <c r="D32" s="1341" t="s">
        <v>724</v>
      </c>
      <c r="E32" s="300" t="s">
        <v>712</v>
      </c>
      <c r="F32" s="329">
        <f>'数据-取费表'!B41</f>
        <v>5.6000000000000001E-2</v>
      </c>
      <c r="G32" s="1381"/>
      <c r="H32" s="2694"/>
      <c r="I32" s="1395"/>
      <c r="J32" s="1396"/>
      <c r="K32" s="2472"/>
      <c r="L32" s="2695"/>
      <c r="M32" s="2696"/>
    </row>
    <row r="33" spans="1:18" ht="18" customHeight="1">
      <c r="A33" s="979" t="s">
        <v>399</v>
      </c>
      <c r="B33" s="300" t="s">
        <v>727</v>
      </c>
      <c r="C33" s="21">
        <f ca="1">IF(项目基本情况!B11="自然人","——",IF(D33="按租金收入计税",ROUND(C6*F33/(1+'数据-取费表'!C42),2),IF(D33="按房产原值计税",ROUND(C29*F33*0.7,2),INDIRECT("'数据-取费表'!Aj"&amp;$G$1))))</f>
        <v>270.29000000000002</v>
      </c>
      <c r="D33" s="1367" t="s">
        <v>3343</v>
      </c>
      <c r="E33" s="300" t="s">
        <v>712</v>
      </c>
      <c r="F33" s="320">
        <f>IF(D33="按票据","——",IF(D33="按租金收入计税",'数据-取费表'!B51,'数据-取费表'!B50))</f>
        <v>0.12</v>
      </c>
      <c r="G33" s="1381"/>
      <c r="H33" s="2697"/>
      <c r="I33" s="1395"/>
      <c r="J33" s="1396"/>
      <c r="K33" s="2698"/>
      <c r="L33" s="2697"/>
      <c r="M33" s="2697"/>
    </row>
    <row r="34" spans="1:18" ht="18" customHeight="1">
      <c r="A34" s="1066" t="s">
        <v>680</v>
      </c>
      <c r="B34" s="153" t="s">
        <v>730</v>
      </c>
      <c r="C34" s="22">
        <f ca="1">IF(项目基本情况!B11="自然人","——",ROUND(F34*F35/10000,2))</f>
        <v>1.92</v>
      </c>
      <c r="D34" s="322" t="s">
        <v>731</v>
      </c>
      <c r="E34" s="300" t="s">
        <v>732</v>
      </c>
      <c r="F34" s="323">
        <f>'数据-取费表'!B52</f>
        <v>18</v>
      </c>
      <c r="G34" s="1381"/>
      <c r="H34" s="2694"/>
      <c r="I34" s="1395"/>
      <c r="J34" s="1396"/>
      <c r="K34" s="2699"/>
      <c r="L34" s="2700"/>
      <c r="M34" s="2700"/>
    </row>
    <row r="35" spans="1:18" ht="18" customHeight="1">
      <c r="A35" s="1100"/>
      <c r="B35" s="1098"/>
      <c r="C35" s="26"/>
      <c r="D35" s="325"/>
      <c r="E35" s="300" t="s">
        <v>736</v>
      </c>
      <c r="F35" s="301">
        <f ca="1">INDIRECT("'数据-取费表'!r"&amp;$G$1)</f>
        <v>1066.21</v>
      </c>
      <c r="G35" s="1381"/>
      <c r="H35" s="2694"/>
      <c r="I35" s="1395"/>
      <c r="J35" s="1396"/>
      <c r="K35" s="2698"/>
      <c r="L35" s="2697"/>
      <c r="M35" s="2697"/>
    </row>
    <row r="36" spans="1:18" ht="18" customHeight="1">
      <c r="A36" s="1099" t="s">
        <v>402</v>
      </c>
      <c r="B36" s="300" t="s">
        <v>738</v>
      </c>
      <c r="C36" s="21">
        <f ca="1">ROUND(C29*F36,2)</f>
        <v>90.42</v>
      </c>
      <c r="D36" s="1341" t="s">
        <v>771</v>
      </c>
      <c r="E36" s="300" t="s">
        <v>712</v>
      </c>
      <c r="F36" s="326">
        <f ca="1">INDIRECT("'数据-取费表'!Ak"&amp;$G$1)</f>
        <v>0.01</v>
      </c>
      <c r="G36" s="1381"/>
      <c r="H36" s="2697"/>
      <c r="I36" s="1395"/>
      <c r="J36" s="1396"/>
      <c r="K36" s="2541"/>
      <c r="L36" s="2697"/>
      <c r="M36" s="2697"/>
    </row>
    <row r="37" spans="1:18" ht="18" customHeight="1">
      <c r="A37" s="979" t="s">
        <v>437</v>
      </c>
      <c r="B37" s="300" t="s">
        <v>742</v>
      </c>
      <c r="C37" s="21">
        <f ca="1">ROUND(C13*F37,2)</f>
        <v>1.36</v>
      </c>
      <c r="D37" s="1341" t="s">
        <v>743</v>
      </c>
      <c r="E37" s="300" t="s">
        <v>744</v>
      </c>
      <c r="F37" s="328">
        <f ca="1">INDIRECT("'数据-取费表'!Al"&amp;$G$1)</f>
        <v>1.5E-3</v>
      </c>
      <c r="G37" s="1381"/>
      <c r="H37" s="2697"/>
      <c r="I37" s="1395"/>
      <c r="J37" s="1396"/>
      <c r="K37" s="2541"/>
      <c r="L37" s="2697"/>
      <c r="M37" s="2697"/>
    </row>
    <row r="38" spans="1:18" ht="18" customHeight="1" thickBot="1">
      <c r="A38" s="1086" t="s">
        <v>684</v>
      </c>
      <c r="B38" s="1087" t="s">
        <v>728</v>
      </c>
      <c r="C38" s="1088">
        <f ca="1">ROUND(C5*F38,2)</f>
        <v>23.68</v>
      </c>
      <c r="D38" s="1089" t="s">
        <v>748</v>
      </c>
      <c r="E38" s="1087" t="s">
        <v>744</v>
      </c>
      <c r="F38" s="1083">
        <f ca="1">INDIRECT("'数据-取费表'!Am"&amp;$G$1)</f>
        <v>0.01</v>
      </c>
      <c r="G38" s="1381"/>
      <c r="H38" s="2697"/>
      <c r="I38" s="1395"/>
      <c r="J38" s="1396"/>
      <c r="K38" s="2701"/>
      <c r="L38" s="2697"/>
      <c r="M38" s="2697"/>
    </row>
    <row r="39" spans="1:18" ht="24.6" customHeight="1" thickTop="1">
      <c r="A39" s="1076" t="s">
        <v>394</v>
      </c>
      <c r="B39" s="1091" t="s">
        <v>772</v>
      </c>
      <c r="C39" s="308">
        <f ca="1">C5-C30</f>
        <v>1854</v>
      </c>
      <c r="D39" s="1092" t="s">
        <v>773</v>
      </c>
      <c r="E39" s="1093"/>
      <c r="F39" s="1094"/>
      <c r="G39" s="1381"/>
      <c r="H39" s="2697"/>
      <c r="I39" s="1395"/>
      <c r="J39" s="1396"/>
      <c r="K39" s="2701"/>
      <c r="L39" s="2697"/>
      <c r="M39" s="2697"/>
    </row>
    <row r="40" spans="1:18" ht="18" customHeight="1">
      <c r="A40" s="297" t="s">
        <v>395</v>
      </c>
      <c r="B40" s="298" t="s">
        <v>774</v>
      </c>
      <c r="C40" s="299">
        <f ca="1">ROUND(C39*(1-((1+F42)/(1+F40))^F41)/(F40-F42),0)</f>
        <v>29364</v>
      </c>
      <c r="D40" s="322" t="s">
        <v>758</v>
      </c>
      <c r="E40" s="300" t="s">
        <v>759</v>
      </c>
      <c r="F40" s="310">
        <f ca="1">INDIRECT("'数据-取费表'!I"&amp;$G$1)</f>
        <v>5.5E-2</v>
      </c>
      <c r="G40" s="1381"/>
      <c r="H40" s="1458"/>
      <c r="I40" s="1395"/>
      <c r="J40" s="1396"/>
      <c r="K40" s="2701"/>
      <c r="L40" s="1458"/>
      <c r="M40" s="1458"/>
    </row>
    <row r="41" spans="1:18" ht="18" customHeight="1">
      <c r="A41" s="302"/>
      <c r="B41" s="303"/>
      <c r="C41" s="304"/>
      <c r="D41" s="330" t="s">
        <v>775</v>
      </c>
      <c r="E41" s="300" t="s">
        <v>763</v>
      </c>
      <c r="F41" s="331">
        <f ca="1">IF(INDIRECT("'数据-取费表'!af"&amp;$G$1)=0,INDIRECT("'数据-取费表'!ae"&amp;$G$1),INDIRECT("'数据-取费表'!af"&amp;$G$1))</f>
        <v>21.02</v>
      </c>
      <c r="G41" s="1381"/>
      <c r="H41" s="1188"/>
      <c r="I41" s="1395"/>
      <c r="J41" s="1396"/>
      <c r="K41" s="2541"/>
      <c r="L41" s="1188"/>
      <c r="M41" s="1188"/>
    </row>
    <row r="42" spans="1:18" ht="18" customHeight="1">
      <c r="A42" s="306"/>
      <c r="B42" s="307"/>
      <c r="C42" s="308"/>
      <c r="D42" s="325"/>
      <c r="E42" s="300" t="s">
        <v>766</v>
      </c>
      <c r="F42" s="310">
        <f ca="1">INDIRECT("'数据-取费表'!v"&amp;$G$1)</f>
        <v>0.03</v>
      </c>
      <c r="G42" s="1381"/>
      <c r="H42" s="1188"/>
      <c r="I42" s="1395"/>
      <c r="J42" s="1396"/>
      <c r="K42" s="2541"/>
      <c r="L42" s="1188"/>
      <c r="M42" s="1188"/>
    </row>
    <row r="43" spans="1:18" ht="18" customHeight="1" thickBot="1">
      <c r="A43" s="332" t="s">
        <v>396</v>
      </c>
      <c r="B43" s="333" t="s">
        <v>776</v>
      </c>
      <c r="C43" s="334">
        <f ca="1">ROUND(C40*10000/F43,0)</f>
        <v>24470</v>
      </c>
      <c r="D43" s="335" t="s">
        <v>777</v>
      </c>
      <c r="E43" s="336" t="s">
        <v>778</v>
      </c>
      <c r="F43" s="337">
        <f ca="1">INDIRECT("'数据-取费表'!k"&amp;$G$1)</f>
        <v>12000.23</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2" t="s">
        <v>808</v>
      </c>
      <c r="P45" s="1458"/>
      <c r="Q45" s="1458"/>
      <c r="R45" s="1458"/>
    </row>
    <row r="46" spans="1:18" s="1381" customFormat="1" ht="13.5" thickBot="1">
      <c r="A46" s="1401" t="s">
        <v>809</v>
      </c>
      <c r="C46" s="1402">
        <f ca="1">C68-C40</f>
        <v>-30518</v>
      </c>
      <c r="D46" s="1403" t="str">
        <f>C2</f>
        <v>万元</v>
      </c>
      <c r="E46" s="1397"/>
      <c r="F46" s="1397"/>
      <c r="I46" s="1404" t="s">
        <v>810</v>
      </c>
      <c r="J46" s="1405"/>
      <c r="K46" s="1406"/>
      <c r="L46" s="1407">
        <f ca="1">IF(M47="住宅",0,IF(L48&gt;J51,L60,J60))</f>
        <v>791</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3436</v>
      </c>
      <c r="K47" s="1413" t="s">
        <v>816</v>
      </c>
      <c r="L47" s="1414">
        <f ca="1">INDIRECT("'数据-取费表'!d"&amp;$G$1)</f>
        <v>50</v>
      </c>
      <c r="M47" s="1377" t="str">
        <f>IF(ISNUMBER(FIND("住宅",C1)),"住宅","非住宅")</f>
        <v>非住宅</v>
      </c>
      <c r="O47" s="1415" t="s">
        <v>403</v>
      </c>
      <c r="P47" s="1416" t="s">
        <v>817</v>
      </c>
      <c r="Q47" s="1417">
        <f ca="1">C40+J29</f>
        <v>29364</v>
      </c>
      <c r="R47" s="1417" t="s">
        <v>818</v>
      </c>
    </row>
    <row r="48" spans="1:18" s="1381" customFormat="1" ht="28.5" thickBot="1">
      <c r="A48" s="1107" t="s">
        <v>438</v>
      </c>
      <c r="B48" s="298" t="s">
        <v>692</v>
      </c>
      <c r="C48" s="1356">
        <f ca="1">C49+C53+C55</f>
        <v>0</v>
      </c>
      <c r="D48" s="1109"/>
      <c r="E48" s="1110"/>
      <c r="F48" s="959"/>
      <c r="G48" s="719"/>
      <c r="H48" s="720"/>
      <c r="I48" s="1418" t="s">
        <v>819</v>
      </c>
      <c r="J48" s="1419" t="s">
        <v>3437</v>
      </c>
      <c r="K48" s="1420" t="s">
        <v>820</v>
      </c>
      <c r="L48" s="1421">
        <f ca="1">INDIRECT("'数据-取费表'!f"&amp;$G$1)</f>
        <v>21.02</v>
      </c>
      <c r="O48" s="1415" t="s">
        <v>404</v>
      </c>
      <c r="P48" s="1416" t="s">
        <v>821</v>
      </c>
      <c r="Q48" s="1417">
        <f ca="1">J60</f>
        <v>791</v>
      </c>
      <c r="R48" s="1417" t="s">
        <v>822</v>
      </c>
    </row>
    <row r="49" spans="1:18" s="1381" customFormat="1" ht="13.5" thickBot="1">
      <c r="A49" s="972" t="s">
        <v>439</v>
      </c>
      <c r="B49" s="1368" t="s">
        <v>779</v>
      </c>
      <c r="C49" s="1111">
        <f ca="1">ROUND(F49*F51*F50*(1-F52)/10000,0)</f>
        <v>0</v>
      </c>
      <c r="D49" s="1052" t="s">
        <v>2110</v>
      </c>
      <c r="E49" s="1369" t="s">
        <v>780</v>
      </c>
      <c r="F49" s="1057"/>
      <c r="G49" s="1422"/>
      <c r="H49" s="720"/>
      <c r="I49" s="1418" t="s">
        <v>823</v>
      </c>
      <c r="J49" s="1423">
        <v>1995</v>
      </c>
      <c r="K49" s="1420" t="s">
        <v>824</v>
      </c>
      <c r="L49" s="1424"/>
      <c r="O49" s="1425" t="s">
        <v>405</v>
      </c>
      <c r="P49" s="1416" t="s">
        <v>825</v>
      </c>
      <c r="Q49" s="1417">
        <f ca="1">C29</f>
        <v>9042</v>
      </c>
      <c r="R49" s="1417" t="s">
        <v>818</v>
      </c>
    </row>
    <row r="50" spans="1:18" s="1381" customFormat="1" ht="13.5" thickBot="1">
      <c r="A50" s="973"/>
      <c r="B50" s="976"/>
      <c r="C50" s="1115"/>
      <c r="D50" s="950"/>
      <c r="E50" s="1053" t="s">
        <v>697</v>
      </c>
      <c r="F50" s="1054">
        <f ca="1">F7</f>
        <v>12000.23</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32</v>
      </c>
      <c r="K51" s="1431" t="s">
        <v>830</v>
      </c>
      <c r="L51" s="1432">
        <f ca="1">ROUND(-PV(INDIRECT("'数据-取费表'!h"&amp;$G$1),J51,(C39-C13*C76),0),0)</f>
        <v>28298</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21.02</v>
      </c>
      <c r="R52" s="1417" t="s">
        <v>835</v>
      </c>
    </row>
    <row r="53" spans="1:18" s="1381" customFormat="1" ht="24.75" thickBot="1">
      <c r="A53" s="1149" t="s">
        <v>440</v>
      </c>
      <c r="B53" s="1370" t="s">
        <v>700</v>
      </c>
      <c r="C53" s="314">
        <f ca="1">ROUND(IF(F53="押一",C49/12*F11,IF(F53="押二",C49/12*2*F11,IF(F53="押三",C49/12*3*F11,C54*F11))),0)</f>
        <v>0</v>
      </c>
      <c r="D53" s="1363" t="s">
        <v>2116</v>
      </c>
      <c r="E53" s="311" t="s">
        <v>701</v>
      </c>
      <c r="F53" s="1113"/>
      <c r="I53" s="1436" t="s">
        <v>836</v>
      </c>
      <c r="J53" s="2165">
        <f ca="1">IF(M47="住宅",IF(D1="——",MAX(J51,L48),MAX(J51,L48-'数据-取费表'!B24)),IF(D1="——",MIN(J51,L48),MIN(J51,L48-'数据-取费表'!B24)))</f>
        <v>21.02</v>
      </c>
      <c r="K53" s="3845" t="s">
        <v>837</v>
      </c>
      <c r="L53" s="3846"/>
      <c r="O53" s="1415" t="s">
        <v>409</v>
      </c>
      <c r="P53" s="1416" t="s">
        <v>838</v>
      </c>
      <c r="Q53" s="1417">
        <f ca="1">Q47+Q48</f>
        <v>30155</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0.183</v>
      </c>
      <c r="K55" s="1442" t="s">
        <v>841</v>
      </c>
      <c r="L55" s="1443"/>
      <c r="O55" s="1408" t="s">
        <v>811</v>
      </c>
      <c r="P55" s="1409" t="s">
        <v>812</v>
      </c>
      <c r="Q55" s="1410" t="s">
        <v>813</v>
      </c>
      <c r="R55" s="1410" t="s">
        <v>814</v>
      </c>
    </row>
    <row r="56" spans="1:18" s="1381" customFormat="1" ht="25.5" thickTop="1" thickBot="1">
      <c r="A56" s="954">
        <v>2</v>
      </c>
      <c r="B56" s="955" t="s">
        <v>704</v>
      </c>
      <c r="C56" s="230">
        <f ca="1">C13</f>
        <v>904</v>
      </c>
      <c r="D56" s="1444"/>
      <c r="E56" s="1445"/>
      <c r="F56" s="1437"/>
      <c r="I56" s="1446" t="s">
        <v>842</v>
      </c>
      <c r="J56" s="1447" t="s">
        <v>3445</v>
      </c>
      <c r="K56" s="1418" t="s">
        <v>843</v>
      </c>
      <c r="L56" s="1421" t="str">
        <f ca="1">IF(L48&lt;J51,"——",L48-J53)</f>
        <v>——</v>
      </c>
      <c r="O56" s="1415" t="s">
        <v>403</v>
      </c>
      <c r="P56" s="1416" t="s">
        <v>817</v>
      </c>
      <c r="Q56" s="1417">
        <f ca="1">C40+J29</f>
        <v>29364</v>
      </c>
      <c r="R56" s="1417" t="s">
        <v>818</v>
      </c>
    </row>
    <row r="57" spans="1:18" s="1381" customFormat="1" ht="24.75" thickBot="1">
      <c r="A57" s="1448"/>
      <c r="B57" s="947" t="s">
        <v>767</v>
      </c>
      <c r="C57" s="236">
        <f ca="1">C29</f>
        <v>9042</v>
      </c>
      <c r="D57" s="1449"/>
      <c r="E57" s="1450"/>
      <c r="F57" s="1451"/>
      <c r="I57" s="1452" t="s">
        <v>844</v>
      </c>
      <c r="J57" s="1453">
        <f ca="1">IF(OR(M47="住宅",J51&lt;L48,J56="是"),"——",J51-L48)</f>
        <v>10.98</v>
      </c>
      <c r="K57" s="1418" t="s">
        <v>845</v>
      </c>
      <c r="L57" s="1421" t="str">
        <f ca="1">IF(L48&lt;J51,"——",IF(L55="比较法",L49,IF(L55="基准地价",L50,L51)))</f>
        <v>——</v>
      </c>
      <c r="O57" s="1415" t="s">
        <v>404</v>
      </c>
      <c r="P57" s="1416" t="s">
        <v>846</v>
      </c>
      <c r="Q57" s="1417">
        <f ca="1">L60</f>
        <v>0</v>
      </c>
      <c r="R57" s="1417" t="s">
        <v>847</v>
      </c>
    </row>
    <row r="58" spans="1:18" s="1381" customFormat="1" ht="24.75" thickBot="1">
      <c r="A58" s="313" t="s">
        <v>393</v>
      </c>
      <c r="B58" s="955" t="s">
        <v>714</v>
      </c>
      <c r="C58" s="314">
        <f ca="1">ROUND(C59+C64+C65+C66,0)</f>
        <v>94</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2</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3617</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29">
        <f t="shared" ref="F60:F66" si="0">F32</f>
        <v>5.6000000000000001E-2</v>
      </c>
      <c r="I60" s="1455" t="s">
        <v>853</v>
      </c>
      <c r="J60" s="1456">
        <f ca="1">IF(OR(M47="住宅",J51&lt;L48,J56="是"),"0",ROUND(J59/(1+J52)^J53,0))</f>
        <v>791</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3343</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1.92</v>
      </c>
      <c r="D62" s="962" t="s">
        <v>786</v>
      </c>
      <c r="E62" s="947" t="s">
        <v>787</v>
      </c>
      <c r="F62" s="323">
        <f t="shared" si="0"/>
        <v>18</v>
      </c>
      <c r="I62" s="1459" t="s">
        <v>858</v>
      </c>
      <c r="J62" s="1460" t="s">
        <v>859</v>
      </c>
      <c r="K62" s="1460" t="s">
        <v>860</v>
      </c>
      <c r="L62" s="1460" t="s">
        <v>861</v>
      </c>
      <c r="M62" s="1461" t="s">
        <v>862</v>
      </c>
      <c r="O62" s="1415" t="s">
        <v>409</v>
      </c>
      <c r="P62" s="1416" t="s">
        <v>863</v>
      </c>
      <c r="Q62" s="1417">
        <f ca="1">Q56+Q57</f>
        <v>29364</v>
      </c>
      <c r="R62" s="1417" t="s">
        <v>410</v>
      </c>
    </row>
    <row r="63" spans="1:18" s="1381" customFormat="1" ht="13.5" thickBot="1">
      <c r="A63" s="324"/>
      <c r="B63" s="953"/>
      <c r="C63" s="26"/>
      <c r="D63" s="963"/>
      <c r="E63" s="947" t="s">
        <v>788</v>
      </c>
      <c r="F63" s="301">
        <f t="shared" ca="1" si="0"/>
        <v>1066.21</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90.42</v>
      </c>
      <c r="D64" s="961" t="s">
        <v>791</v>
      </c>
      <c r="E64" s="947" t="s">
        <v>783</v>
      </c>
      <c r="F64" s="326">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1.36</v>
      </c>
      <c r="D65" s="961" t="s">
        <v>743</v>
      </c>
      <c r="E65" s="947" t="s">
        <v>744</v>
      </c>
      <c r="F65" s="328">
        <f t="shared" ca="1" si="0"/>
        <v>1.5E-3</v>
      </c>
      <c r="I65" s="1459" t="s">
        <v>867</v>
      </c>
      <c r="J65" s="1460">
        <v>40</v>
      </c>
      <c r="K65" s="1460">
        <v>30</v>
      </c>
      <c r="L65" s="1460">
        <v>50</v>
      </c>
      <c r="M65" s="1462">
        <v>0.02</v>
      </c>
      <c r="O65" s="1415" t="s">
        <v>403</v>
      </c>
      <c r="P65" s="1416" t="s">
        <v>868</v>
      </c>
      <c r="Q65" s="1417">
        <f ca="1">C40+J29</f>
        <v>29364</v>
      </c>
      <c r="R65" s="1417" t="s">
        <v>818</v>
      </c>
    </row>
    <row r="66" spans="1:18" s="1381" customFormat="1" ht="16.5" thickBot="1">
      <c r="A66" s="979" t="s">
        <v>793</v>
      </c>
      <c r="B66" s="947" t="s">
        <v>728</v>
      </c>
      <c r="C66" s="21">
        <f ca="1">ROUND(C48*F66,2)</f>
        <v>0</v>
      </c>
      <c r="D66" s="961" t="s">
        <v>794</v>
      </c>
      <c r="E66" s="947" t="s">
        <v>712</v>
      </c>
      <c r="F66" s="310">
        <f t="shared" ca="1" si="0"/>
        <v>0.01</v>
      </c>
      <c r="O66" s="1415" t="s">
        <v>404</v>
      </c>
      <c r="P66" s="1416" t="s">
        <v>846</v>
      </c>
      <c r="Q66" s="1417">
        <f ca="1">L60</f>
        <v>0</v>
      </c>
      <c r="R66" s="1417" t="s">
        <v>869</v>
      </c>
    </row>
    <row r="67" spans="1:18" s="1381" customFormat="1" ht="16.5" thickBot="1">
      <c r="A67" s="954" t="s">
        <v>394</v>
      </c>
      <c r="B67" s="964" t="s">
        <v>752</v>
      </c>
      <c r="C67" s="314">
        <f ca="1">C48-C58</f>
        <v>-94</v>
      </c>
      <c r="D67" s="960" t="s">
        <v>753</v>
      </c>
      <c r="E67" s="965"/>
      <c r="F67" s="966"/>
      <c r="O67" s="1425" t="s">
        <v>405</v>
      </c>
      <c r="P67" s="1416" t="s">
        <v>850</v>
      </c>
      <c r="Q67" s="1463">
        <f ca="1">L51</f>
        <v>28298</v>
      </c>
      <c r="R67" s="1417" t="s">
        <v>870</v>
      </c>
    </row>
    <row r="68" spans="1:18" s="1381" customFormat="1" ht="16.5" thickBot="1">
      <c r="A68" s="944" t="s">
        <v>395</v>
      </c>
      <c r="B68" s="945" t="s">
        <v>774</v>
      </c>
      <c r="C68" s="299">
        <f ca="1">ROUND(C67*(1-((1+F70)/(1+F68))^F69)/(F68-F70),0)</f>
        <v>-1154</v>
      </c>
      <c r="D68" s="962" t="s">
        <v>758</v>
      </c>
      <c r="E68" s="947" t="s">
        <v>759</v>
      </c>
      <c r="F68" s="310">
        <f ca="1">F40</f>
        <v>5.5E-2</v>
      </c>
      <c r="O68" s="1425" t="s">
        <v>406</v>
      </c>
      <c r="P68" s="1464" t="s">
        <v>871</v>
      </c>
      <c r="Q68" s="1417">
        <f ca="1">ROUND(Q69-Q70*Q71,0)</f>
        <v>1791</v>
      </c>
      <c r="R68" s="1417" t="s">
        <v>414</v>
      </c>
    </row>
    <row r="69" spans="1:18" s="1381" customFormat="1" ht="13.5" thickBot="1">
      <c r="A69" s="948"/>
      <c r="B69" s="949"/>
      <c r="C69" s="304"/>
      <c r="D69" s="967" t="s">
        <v>762</v>
      </c>
      <c r="E69" s="947" t="s">
        <v>763</v>
      </c>
      <c r="F69" s="331">
        <f ca="1">F41</f>
        <v>21.02</v>
      </c>
      <c r="O69" s="1425" t="s">
        <v>411</v>
      </c>
      <c r="P69" s="1464" t="s">
        <v>872</v>
      </c>
      <c r="Q69" s="1417">
        <f ca="1">C39</f>
        <v>1854</v>
      </c>
      <c r="R69" s="1417" t="s">
        <v>818</v>
      </c>
    </row>
    <row r="70" spans="1:18" s="1381" customFormat="1" ht="13.5" thickBot="1">
      <c r="A70" s="951"/>
      <c r="B70" s="952"/>
      <c r="C70" s="308"/>
      <c r="D70" s="963"/>
      <c r="E70" s="947" t="s">
        <v>766</v>
      </c>
      <c r="F70" s="1051"/>
      <c r="O70" s="1425" t="s">
        <v>412</v>
      </c>
      <c r="P70" s="1464" t="s">
        <v>873</v>
      </c>
      <c r="Q70" s="1417">
        <f ca="1">C13</f>
        <v>904</v>
      </c>
      <c r="R70" s="1417" t="s">
        <v>818</v>
      </c>
    </row>
    <row r="71" spans="1:18" s="1381" customFormat="1" ht="13.5" thickBot="1">
      <c r="A71" s="968" t="s">
        <v>396</v>
      </c>
      <c r="B71" s="969" t="s">
        <v>776</v>
      </c>
      <c r="C71" s="334">
        <f ca="1">ROUND(C68*10000/F71,0)</f>
        <v>-962</v>
      </c>
      <c r="D71" s="970" t="s">
        <v>777</v>
      </c>
      <c r="E71" s="971" t="s">
        <v>778</v>
      </c>
      <c r="F71" s="337">
        <f ca="1">F43</f>
        <v>12000.23</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63</v>
      </c>
      <c r="D75" s="1381"/>
      <c r="E75" s="1381"/>
      <c r="F75" s="1381"/>
      <c r="K75" s="1399"/>
      <c r="L75" s="1381"/>
      <c r="O75" s="1415" t="s">
        <v>409</v>
      </c>
      <c r="P75" s="1416" t="s">
        <v>838</v>
      </c>
      <c r="Q75" s="1417">
        <f ca="1">Q65+Q66</f>
        <v>29364</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0.96599999999999997</v>
      </c>
    </row>
    <row r="80" spans="1:18">
      <c r="B80" s="338" t="s">
        <v>800</v>
      </c>
      <c r="C80" s="272">
        <f ca="1">ROUND(C75/C39,3)</f>
        <v>3.4000000000000002E-2</v>
      </c>
    </row>
    <row r="81" spans="2:3">
      <c r="B81" s="268" t="s">
        <v>801</v>
      </c>
      <c r="C81" s="236"/>
    </row>
    <row r="82" spans="2:3">
      <c r="B82" s="271" t="s">
        <v>802</v>
      </c>
      <c r="C82" s="273">
        <f ca="1">1-C83</f>
        <v>0.96899999999999997</v>
      </c>
    </row>
    <row r="83" spans="2:3">
      <c r="B83" s="271" t="s">
        <v>803</v>
      </c>
      <c r="C83" s="272">
        <f ca="1">ROUND(C13/C40,3)</f>
        <v>3.1E-2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9"/>
  <sheetViews>
    <sheetView workbookViewId="0">
      <selection activeCell="D14" sqref="D14"/>
    </sheetView>
  </sheetViews>
  <sheetFormatPr defaultColWidth="9" defaultRowHeight="13.5"/>
  <cols>
    <col min="1" max="1" width="4.75" style="3462" bestFit="1" customWidth="1"/>
    <col min="2" max="2" width="11" style="3525" customWidth="1"/>
    <col min="3" max="3" width="30.5" style="3462" customWidth="1"/>
    <col min="4" max="4" width="24" style="3462" customWidth="1"/>
    <col min="5" max="5" width="11.25" style="3526" customWidth="1"/>
    <col min="6" max="6" width="8.75" style="3462" customWidth="1"/>
    <col min="7" max="7" width="6.75" style="3462" customWidth="1"/>
    <col min="8" max="8" width="5.5" style="3462" customWidth="1"/>
    <col min="9" max="9" width="10.625" style="3527" customWidth="1"/>
    <col min="10" max="10" width="12" style="3527" customWidth="1"/>
    <col min="11" max="11" width="9.875" style="3527" customWidth="1"/>
    <col min="12" max="12" width="12.25" style="3527" customWidth="1"/>
    <col min="13" max="13" width="12.875" style="3527" customWidth="1"/>
    <col min="257" max="257" width="4.75" bestFit="1" customWidth="1"/>
    <col min="258" max="258" width="11" customWidth="1"/>
    <col min="259" max="259" width="30.5" customWidth="1"/>
    <col min="260" max="260" width="24" customWidth="1"/>
    <col min="261" max="261" width="11.25" customWidth="1"/>
    <col min="262" max="262" width="8.75" customWidth="1"/>
    <col min="263" max="263" width="6.75" customWidth="1"/>
    <col min="264" max="264" width="5.5" customWidth="1"/>
    <col min="265" max="265" width="10.625" customWidth="1"/>
    <col min="266" max="266" width="12" customWidth="1"/>
    <col min="267" max="267" width="9.875" customWidth="1"/>
    <col min="268" max="268" width="12.25" customWidth="1"/>
    <col min="269" max="269" width="12.875" customWidth="1"/>
    <col min="513" max="513" width="4.75" bestFit="1" customWidth="1"/>
    <col min="514" max="514" width="11" customWidth="1"/>
    <col min="515" max="515" width="30.5" customWidth="1"/>
    <col min="516" max="516" width="24" customWidth="1"/>
    <col min="517" max="517" width="11.25" customWidth="1"/>
    <col min="518" max="518" width="8.75" customWidth="1"/>
    <col min="519" max="519" width="6.75" customWidth="1"/>
    <col min="520" max="520" width="5.5" customWidth="1"/>
    <col min="521" max="521" width="10.625" customWidth="1"/>
    <col min="522" max="522" width="12" customWidth="1"/>
    <col min="523" max="523" width="9.875" customWidth="1"/>
    <col min="524" max="524" width="12.25" customWidth="1"/>
    <col min="525" max="525" width="12.875" customWidth="1"/>
    <col min="769" max="769" width="4.75" bestFit="1" customWidth="1"/>
    <col min="770" max="770" width="11" customWidth="1"/>
    <col min="771" max="771" width="30.5" customWidth="1"/>
    <col min="772" max="772" width="24" customWidth="1"/>
    <col min="773" max="773" width="11.25" customWidth="1"/>
    <col min="774" max="774" width="8.75" customWidth="1"/>
    <col min="775" max="775" width="6.75" customWidth="1"/>
    <col min="776" max="776" width="5.5" customWidth="1"/>
    <col min="777" max="777" width="10.625" customWidth="1"/>
    <col min="778" max="778" width="12" customWidth="1"/>
    <col min="779" max="779" width="9.875" customWidth="1"/>
    <col min="780" max="780" width="12.25" customWidth="1"/>
    <col min="781" max="781" width="12.875" customWidth="1"/>
    <col min="1025" max="1025" width="4.75" bestFit="1" customWidth="1"/>
    <col min="1026" max="1026" width="11" customWidth="1"/>
    <col min="1027" max="1027" width="30.5" customWidth="1"/>
    <col min="1028" max="1028" width="24" customWidth="1"/>
    <col min="1029" max="1029" width="11.25" customWidth="1"/>
    <col min="1030" max="1030" width="8.75" customWidth="1"/>
    <col min="1031" max="1031" width="6.75" customWidth="1"/>
    <col min="1032" max="1032" width="5.5" customWidth="1"/>
    <col min="1033" max="1033" width="10.625" customWidth="1"/>
    <col min="1034" max="1034" width="12" customWidth="1"/>
    <col min="1035" max="1035" width="9.875" customWidth="1"/>
    <col min="1036" max="1036" width="12.25" customWidth="1"/>
    <col min="1037" max="1037" width="12.875" customWidth="1"/>
    <col min="1281" max="1281" width="4.75" bestFit="1" customWidth="1"/>
    <col min="1282" max="1282" width="11" customWidth="1"/>
    <col min="1283" max="1283" width="30.5" customWidth="1"/>
    <col min="1284" max="1284" width="24" customWidth="1"/>
    <col min="1285" max="1285" width="11.25" customWidth="1"/>
    <col min="1286" max="1286" width="8.75" customWidth="1"/>
    <col min="1287" max="1287" width="6.75" customWidth="1"/>
    <col min="1288" max="1288" width="5.5" customWidth="1"/>
    <col min="1289" max="1289" width="10.625" customWidth="1"/>
    <col min="1290" max="1290" width="12" customWidth="1"/>
    <col min="1291" max="1291" width="9.875" customWidth="1"/>
    <col min="1292" max="1292" width="12.25" customWidth="1"/>
    <col min="1293" max="1293" width="12.875" customWidth="1"/>
    <col min="1537" max="1537" width="4.75" bestFit="1" customWidth="1"/>
    <col min="1538" max="1538" width="11" customWidth="1"/>
    <col min="1539" max="1539" width="30.5" customWidth="1"/>
    <col min="1540" max="1540" width="24" customWidth="1"/>
    <col min="1541" max="1541" width="11.25" customWidth="1"/>
    <col min="1542" max="1542" width="8.75" customWidth="1"/>
    <col min="1543" max="1543" width="6.75" customWidth="1"/>
    <col min="1544" max="1544" width="5.5" customWidth="1"/>
    <col min="1545" max="1545" width="10.625" customWidth="1"/>
    <col min="1546" max="1546" width="12" customWidth="1"/>
    <col min="1547" max="1547" width="9.875" customWidth="1"/>
    <col min="1548" max="1548" width="12.25" customWidth="1"/>
    <col min="1549" max="1549" width="12.875" customWidth="1"/>
    <col min="1793" max="1793" width="4.75" bestFit="1" customWidth="1"/>
    <col min="1794" max="1794" width="11" customWidth="1"/>
    <col min="1795" max="1795" width="30.5" customWidth="1"/>
    <col min="1796" max="1796" width="24" customWidth="1"/>
    <col min="1797" max="1797" width="11.25" customWidth="1"/>
    <col min="1798" max="1798" width="8.75" customWidth="1"/>
    <col min="1799" max="1799" width="6.75" customWidth="1"/>
    <col min="1800" max="1800" width="5.5" customWidth="1"/>
    <col min="1801" max="1801" width="10.625" customWidth="1"/>
    <col min="1802" max="1802" width="12" customWidth="1"/>
    <col min="1803" max="1803" width="9.875" customWidth="1"/>
    <col min="1804" max="1804" width="12.25" customWidth="1"/>
    <col min="1805" max="1805" width="12.875" customWidth="1"/>
    <col min="2049" max="2049" width="4.75" bestFit="1" customWidth="1"/>
    <col min="2050" max="2050" width="11" customWidth="1"/>
    <col min="2051" max="2051" width="30.5" customWidth="1"/>
    <col min="2052" max="2052" width="24" customWidth="1"/>
    <col min="2053" max="2053" width="11.25" customWidth="1"/>
    <col min="2054" max="2054" width="8.75" customWidth="1"/>
    <col min="2055" max="2055" width="6.75" customWidth="1"/>
    <col min="2056" max="2056" width="5.5" customWidth="1"/>
    <col min="2057" max="2057" width="10.625" customWidth="1"/>
    <col min="2058" max="2058" width="12" customWidth="1"/>
    <col min="2059" max="2059" width="9.875" customWidth="1"/>
    <col min="2060" max="2060" width="12.25" customWidth="1"/>
    <col min="2061" max="2061" width="12.875" customWidth="1"/>
    <col min="2305" max="2305" width="4.75" bestFit="1" customWidth="1"/>
    <col min="2306" max="2306" width="11" customWidth="1"/>
    <col min="2307" max="2307" width="30.5" customWidth="1"/>
    <col min="2308" max="2308" width="24" customWidth="1"/>
    <col min="2309" max="2309" width="11.25" customWidth="1"/>
    <col min="2310" max="2310" width="8.75" customWidth="1"/>
    <col min="2311" max="2311" width="6.75" customWidth="1"/>
    <col min="2312" max="2312" width="5.5" customWidth="1"/>
    <col min="2313" max="2313" width="10.625" customWidth="1"/>
    <col min="2314" max="2314" width="12" customWidth="1"/>
    <col min="2315" max="2315" width="9.875" customWidth="1"/>
    <col min="2316" max="2316" width="12.25" customWidth="1"/>
    <col min="2317" max="2317" width="12.875" customWidth="1"/>
    <col min="2561" max="2561" width="4.75" bestFit="1" customWidth="1"/>
    <col min="2562" max="2562" width="11" customWidth="1"/>
    <col min="2563" max="2563" width="30.5" customWidth="1"/>
    <col min="2564" max="2564" width="24" customWidth="1"/>
    <col min="2565" max="2565" width="11.25" customWidth="1"/>
    <col min="2566" max="2566" width="8.75" customWidth="1"/>
    <col min="2567" max="2567" width="6.75" customWidth="1"/>
    <col min="2568" max="2568" width="5.5" customWidth="1"/>
    <col min="2569" max="2569" width="10.625" customWidth="1"/>
    <col min="2570" max="2570" width="12" customWidth="1"/>
    <col min="2571" max="2571" width="9.875" customWidth="1"/>
    <col min="2572" max="2572" width="12.25" customWidth="1"/>
    <col min="2573" max="2573" width="12.875" customWidth="1"/>
    <col min="2817" max="2817" width="4.75" bestFit="1" customWidth="1"/>
    <col min="2818" max="2818" width="11" customWidth="1"/>
    <col min="2819" max="2819" width="30.5" customWidth="1"/>
    <col min="2820" max="2820" width="24" customWidth="1"/>
    <col min="2821" max="2821" width="11.25" customWidth="1"/>
    <col min="2822" max="2822" width="8.75" customWidth="1"/>
    <col min="2823" max="2823" width="6.75" customWidth="1"/>
    <col min="2824" max="2824" width="5.5" customWidth="1"/>
    <col min="2825" max="2825" width="10.625" customWidth="1"/>
    <col min="2826" max="2826" width="12" customWidth="1"/>
    <col min="2827" max="2827" width="9.875" customWidth="1"/>
    <col min="2828" max="2828" width="12.25" customWidth="1"/>
    <col min="2829" max="2829" width="12.875" customWidth="1"/>
    <col min="3073" max="3073" width="4.75" bestFit="1" customWidth="1"/>
    <col min="3074" max="3074" width="11" customWidth="1"/>
    <col min="3075" max="3075" width="30.5" customWidth="1"/>
    <col min="3076" max="3076" width="24" customWidth="1"/>
    <col min="3077" max="3077" width="11.25" customWidth="1"/>
    <col min="3078" max="3078" width="8.75" customWidth="1"/>
    <col min="3079" max="3079" width="6.75" customWidth="1"/>
    <col min="3080" max="3080" width="5.5" customWidth="1"/>
    <col min="3081" max="3081" width="10.625" customWidth="1"/>
    <col min="3082" max="3082" width="12" customWidth="1"/>
    <col min="3083" max="3083" width="9.875" customWidth="1"/>
    <col min="3084" max="3084" width="12.25" customWidth="1"/>
    <col min="3085" max="3085" width="12.875" customWidth="1"/>
    <col min="3329" max="3329" width="4.75" bestFit="1" customWidth="1"/>
    <col min="3330" max="3330" width="11" customWidth="1"/>
    <col min="3331" max="3331" width="30.5" customWidth="1"/>
    <col min="3332" max="3332" width="24" customWidth="1"/>
    <col min="3333" max="3333" width="11.25" customWidth="1"/>
    <col min="3334" max="3334" width="8.75" customWidth="1"/>
    <col min="3335" max="3335" width="6.75" customWidth="1"/>
    <col min="3336" max="3336" width="5.5" customWidth="1"/>
    <col min="3337" max="3337" width="10.625" customWidth="1"/>
    <col min="3338" max="3338" width="12" customWidth="1"/>
    <col min="3339" max="3339" width="9.875" customWidth="1"/>
    <col min="3340" max="3340" width="12.25" customWidth="1"/>
    <col min="3341" max="3341" width="12.875" customWidth="1"/>
    <col min="3585" max="3585" width="4.75" bestFit="1" customWidth="1"/>
    <col min="3586" max="3586" width="11" customWidth="1"/>
    <col min="3587" max="3587" width="30.5" customWidth="1"/>
    <col min="3588" max="3588" width="24" customWidth="1"/>
    <col min="3589" max="3589" width="11.25" customWidth="1"/>
    <col min="3590" max="3590" width="8.75" customWidth="1"/>
    <col min="3591" max="3591" width="6.75" customWidth="1"/>
    <col min="3592" max="3592" width="5.5" customWidth="1"/>
    <col min="3593" max="3593" width="10.625" customWidth="1"/>
    <col min="3594" max="3594" width="12" customWidth="1"/>
    <col min="3595" max="3595" width="9.875" customWidth="1"/>
    <col min="3596" max="3596" width="12.25" customWidth="1"/>
    <col min="3597" max="3597" width="12.875" customWidth="1"/>
    <col min="3841" max="3841" width="4.75" bestFit="1" customWidth="1"/>
    <col min="3842" max="3842" width="11" customWidth="1"/>
    <col min="3843" max="3843" width="30.5" customWidth="1"/>
    <col min="3844" max="3844" width="24" customWidth="1"/>
    <col min="3845" max="3845" width="11.25" customWidth="1"/>
    <col min="3846" max="3846" width="8.75" customWidth="1"/>
    <col min="3847" max="3847" width="6.75" customWidth="1"/>
    <col min="3848" max="3848" width="5.5" customWidth="1"/>
    <col min="3849" max="3849" width="10.625" customWidth="1"/>
    <col min="3850" max="3850" width="12" customWidth="1"/>
    <col min="3851" max="3851" width="9.875" customWidth="1"/>
    <col min="3852" max="3852" width="12.25" customWidth="1"/>
    <col min="3853" max="3853" width="12.875" customWidth="1"/>
    <col min="4097" max="4097" width="4.75" bestFit="1" customWidth="1"/>
    <col min="4098" max="4098" width="11" customWidth="1"/>
    <col min="4099" max="4099" width="30.5" customWidth="1"/>
    <col min="4100" max="4100" width="24" customWidth="1"/>
    <col min="4101" max="4101" width="11.25" customWidth="1"/>
    <col min="4102" max="4102" width="8.75" customWidth="1"/>
    <col min="4103" max="4103" width="6.75" customWidth="1"/>
    <col min="4104" max="4104" width="5.5" customWidth="1"/>
    <col min="4105" max="4105" width="10.625" customWidth="1"/>
    <col min="4106" max="4106" width="12" customWidth="1"/>
    <col min="4107" max="4107" width="9.875" customWidth="1"/>
    <col min="4108" max="4108" width="12.25" customWidth="1"/>
    <col min="4109" max="4109" width="12.875" customWidth="1"/>
    <col min="4353" max="4353" width="4.75" bestFit="1" customWidth="1"/>
    <col min="4354" max="4354" width="11" customWidth="1"/>
    <col min="4355" max="4355" width="30.5" customWidth="1"/>
    <col min="4356" max="4356" width="24" customWidth="1"/>
    <col min="4357" max="4357" width="11.25" customWidth="1"/>
    <col min="4358" max="4358" width="8.75" customWidth="1"/>
    <col min="4359" max="4359" width="6.75" customWidth="1"/>
    <col min="4360" max="4360" width="5.5" customWidth="1"/>
    <col min="4361" max="4361" width="10.625" customWidth="1"/>
    <col min="4362" max="4362" width="12" customWidth="1"/>
    <col min="4363" max="4363" width="9.875" customWidth="1"/>
    <col min="4364" max="4364" width="12.25" customWidth="1"/>
    <col min="4365" max="4365" width="12.875" customWidth="1"/>
    <col min="4609" max="4609" width="4.75" bestFit="1" customWidth="1"/>
    <col min="4610" max="4610" width="11" customWidth="1"/>
    <col min="4611" max="4611" width="30.5" customWidth="1"/>
    <col min="4612" max="4612" width="24" customWidth="1"/>
    <col min="4613" max="4613" width="11.25" customWidth="1"/>
    <col min="4614" max="4614" width="8.75" customWidth="1"/>
    <col min="4615" max="4615" width="6.75" customWidth="1"/>
    <col min="4616" max="4616" width="5.5" customWidth="1"/>
    <col min="4617" max="4617" width="10.625" customWidth="1"/>
    <col min="4618" max="4618" width="12" customWidth="1"/>
    <col min="4619" max="4619" width="9.875" customWidth="1"/>
    <col min="4620" max="4620" width="12.25" customWidth="1"/>
    <col min="4621" max="4621" width="12.875" customWidth="1"/>
    <col min="4865" max="4865" width="4.75" bestFit="1" customWidth="1"/>
    <col min="4866" max="4866" width="11" customWidth="1"/>
    <col min="4867" max="4867" width="30.5" customWidth="1"/>
    <col min="4868" max="4868" width="24" customWidth="1"/>
    <col min="4869" max="4869" width="11.25" customWidth="1"/>
    <col min="4870" max="4870" width="8.75" customWidth="1"/>
    <col min="4871" max="4871" width="6.75" customWidth="1"/>
    <col min="4872" max="4872" width="5.5" customWidth="1"/>
    <col min="4873" max="4873" width="10.625" customWidth="1"/>
    <col min="4874" max="4874" width="12" customWidth="1"/>
    <col min="4875" max="4875" width="9.875" customWidth="1"/>
    <col min="4876" max="4876" width="12.25" customWidth="1"/>
    <col min="4877" max="4877" width="12.875" customWidth="1"/>
    <col min="5121" max="5121" width="4.75" bestFit="1" customWidth="1"/>
    <col min="5122" max="5122" width="11" customWidth="1"/>
    <col min="5123" max="5123" width="30.5" customWidth="1"/>
    <col min="5124" max="5124" width="24" customWidth="1"/>
    <col min="5125" max="5125" width="11.25" customWidth="1"/>
    <col min="5126" max="5126" width="8.75" customWidth="1"/>
    <col min="5127" max="5127" width="6.75" customWidth="1"/>
    <col min="5128" max="5128" width="5.5" customWidth="1"/>
    <col min="5129" max="5129" width="10.625" customWidth="1"/>
    <col min="5130" max="5130" width="12" customWidth="1"/>
    <col min="5131" max="5131" width="9.875" customWidth="1"/>
    <col min="5132" max="5132" width="12.25" customWidth="1"/>
    <col min="5133" max="5133" width="12.875" customWidth="1"/>
    <col min="5377" max="5377" width="4.75" bestFit="1" customWidth="1"/>
    <col min="5378" max="5378" width="11" customWidth="1"/>
    <col min="5379" max="5379" width="30.5" customWidth="1"/>
    <col min="5380" max="5380" width="24" customWidth="1"/>
    <col min="5381" max="5381" width="11.25" customWidth="1"/>
    <col min="5382" max="5382" width="8.75" customWidth="1"/>
    <col min="5383" max="5383" width="6.75" customWidth="1"/>
    <col min="5384" max="5384" width="5.5" customWidth="1"/>
    <col min="5385" max="5385" width="10.625" customWidth="1"/>
    <col min="5386" max="5386" width="12" customWidth="1"/>
    <col min="5387" max="5387" width="9.875" customWidth="1"/>
    <col min="5388" max="5388" width="12.25" customWidth="1"/>
    <col min="5389" max="5389" width="12.875" customWidth="1"/>
    <col min="5633" max="5633" width="4.75" bestFit="1" customWidth="1"/>
    <col min="5634" max="5634" width="11" customWidth="1"/>
    <col min="5635" max="5635" width="30.5" customWidth="1"/>
    <col min="5636" max="5636" width="24" customWidth="1"/>
    <col min="5637" max="5637" width="11.25" customWidth="1"/>
    <col min="5638" max="5638" width="8.75" customWidth="1"/>
    <col min="5639" max="5639" width="6.75" customWidth="1"/>
    <col min="5640" max="5640" width="5.5" customWidth="1"/>
    <col min="5641" max="5641" width="10.625" customWidth="1"/>
    <col min="5642" max="5642" width="12" customWidth="1"/>
    <col min="5643" max="5643" width="9.875" customWidth="1"/>
    <col min="5644" max="5644" width="12.25" customWidth="1"/>
    <col min="5645" max="5645" width="12.875" customWidth="1"/>
    <col min="5889" max="5889" width="4.75" bestFit="1" customWidth="1"/>
    <col min="5890" max="5890" width="11" customWidth="1"/>
    <col min="5891" max="5891" width="30.5" customWidth="1"/>
    <col min="5892" max="5892" width="24" customWidth="1"/>
    <col min="5893" max="5893" width="11.25" customWidth="1"/>
    <col min="5894" max="5894" width="8.75" customWidth="1"/>
    <col min="5895" max="5895" width="6.75" customWidth="1"/>
    <col min="5896" max="5896" width="5.5" customWidth="1"/>
    <col min="5897" max="5897" width="10.625" customWidth="1"/>
    <col min="5898" max="5898" width="12" customWidth="1"/>
    <col min="5899" max="5899" width="9.875" customWidth="1"/>
    <col min="5900" max="5900" width="12.25" customWidth="1"/>
    <col min="5901" max="5901" width="12.875" customWidth="1"/>
    <col min="6145" max="6145" width="4.75" bestFit="1" customWidth="1"/>
    <col min="6146" max="6146" width="11" customWidth="1"/>
    <col min="6147" max="6147" width="30.5" customWidth="1"/>
    <col min="6148" max="6148" width="24" customWidth="1"/>
    <col min="6149" max="6149" width="11.25" customWidth="1"/>
    <col min="6150" max="6150" width="8.75" customWidth="1"/>
    <col min="6151" max="6151" width="6.75" customWidth="1"/>
    <col min="6152" max="6152" width="5.5" customWidth="1"/>
    <col min="6153" max="6153" width="10.625" customWidth="1"/>
    <col min="6154" max="6154" width="12" customWidth="1"/>
    <col min="6155" max="6155" width="9.875" customWidth="1"/>
    <col min="6156" max="6156" width="12.25" customWidth="1"/>
    <col min="6157" max="6157" width="12.875" customWidth="1"/>
    <col min="6401" max="6401" width="4.75" bestFit="1" customWidth="1"/>
    <col min="6402" max="6402" width="11" customWidth="1"/>
    <col min="6403" max="6403" width="30.5" customWidth="1"/>
    <col min="6404" max="6404" width="24" customWidth="1"/>
    <col min="6405" max="6405" width="11.25" customWidth="1"/>
    <col min="6406" max="6406" width="8.75" customWidth="1"/>
    <col min="6407" max="6407" width="6.75" customWidth="1"/>
    <col min="6408" max="6408" width="5.5" customWidth="1"/>
    <col min="6409" max="6409" width="10.625" customWidth="1"/>
    <col min="6410" max="6410" width="12" customWidth="1"/>
    <col min="6411" max="6411" width="9.875" customWidth="1"/>
    <col min="6412" max="6412" width="12.25" customWidth="1"/>
    <col min="6413" max="6413" width="12.875" customWidth="1"/>
    <col min="6657" max="6657" width="4.75" bestFit="1" customWidth="1"/>
    <col min="6658" max="6658" width="11" customWidth="1"/>
    <col min="6659" max="6659" width="30.5" customWidth="1"/>
    <col min="6660" max="6660" width="24" customWidth="1"/>
    <col min="6661" max="6661" width="11.25" customWidth="1"/>
    <col min="6662" max="6662" width="8.75" customWidth="1"/>
    <col min="6663" max="6663" width="6.75" customWidth="1"/>
    <col min="6664" max="6664" width="5.5" customWidth="1"/>
    <col min="6665" max="6665" width="10.625" customWidth="1"/>
    <col min="6666" max="6666" width="12" customWidth="1"/>
    <col min="6667" max="6667" width="9.875" customWidth="1"/>
    <col min="6668" max="6668" width="12.25" customWidth="1"/>
    <col min="6669" max="6669" width="12.875" customWidth="1"/>
    <col min="6913" max="6913" width="4.75" bestFit="1" customWidth="1"/>
    <col min="6914" max="6914" width="11" customWidth="1"/>
    <col min="6915" max="6915" width="30.5" customWidth="1"/>
    <col min="6916" max="6916" width="24" customWidth="1"/>
    <col min="6917" max="6917" width="11.25" customWidth="1"/>
    <col min="6918" max="6918" width="8.75" customWidth="1"/>
    <col min="6919" max="6919" width="6.75" customWidth="1"/>
    <col min="6920" max="6920" width="5.5" customWidth="1"/>
    <col min="6921" max="6921" width="10.625" customWidth="1"/>
    <col min="6922" max="6922" width="12" customWidth="1"/>
    <col min="6923" max="6923" width="9.875" customWidth="1"/>
    <col min="6924" max="6924" width="12.25" customWidth="1"/>
    <col min="6925" max="6925" width="12.875" customWidth="1"/>
    <col min="7169" max="7169" width="4.75" bestFit="1" customWidth="1"/>
    <col min="7170" max="7170" width="11" customWidth="1"/>
    <col min="7171" max="7171" width="30.5" customWidth="1"/>
    <col min="7172" max="7172" width="24" customWidth="1"/>
    <col min="7173" max="7173" width="11.25" customWidth="1"/>
    <col min="7174" max="7174" width="8.75" customWidth="1"/>
    <col min="7175" max="7175" width="6.75" customWidth="1"/>
    <col min="7176" max="7176" width="5.5" customWidth="1"/>
    <col min="7177" max="7177" width="10.625" customWidth="1"/>
    <col min="7178" max="7178" width="12" customWidth="1"/>
    <col min="7179" max="7179" width="9.875" customWidth="1"/>
    <col min="7180" max="7180" width="12.25" customWidth="1"/>
    <col min="7181" max="7181" width="12.875" customWidth="1"/>
    <col min="7425" max="7425" width="4.75" bestFit="1" customWidth="1"/>
    <col min="7426" max="7426" width="11" customWidth="1"/>
    <col min="7427" max="7427" width="30.5" customWidth="1"/>
    <col min="7428" max="7428" width="24" customWidth="1"/>
    <col min="7429" max="7429" width="11.25" customWidth="1"/>
    <col min="7430" max="7430" width="8.75" customWidth="1"/>
    <col min="7431" max="7431" width="6.75" customWidth="1"/>
    <col min="7432" max="7432" width="5.5" customWidth="1"/>
    <col min="7433" max="7433" width="10.625" customWidth="1"/>
    <col min="7434" max="7434" width="12" customWidth="1"/>
    <col min="7435" max="7435" width="9.875" customWidth="1"/>
    <col min="7436" max="7436" width="12.25" customWidth="1"/>
    <col min="7437" max="7437" width="12.875" customWidth="1"/>
    <col min="7681" max="7681" width="4.75" bestFit="1" customWidth="1"/>
    <col min="7682" max="7682" width="11" customWidth="1"/>
    <col min="7683" max="7683" width="30.5" customWidth="1"/>
    <col min="7684" max="7684" width="24" customWidth="1"/>
    <col min="7685" max="7685" width="11.25" customWidth="1"/>
    <col min="7686" max="7686" width="8.75" customWidth="1"/>
    <col min="7687" max="7687" width="6.75" customWidth="1"/>
    <col min="7688" max="7688" width="5.5" customWidth="1"/>
    <col min="7689" max="7689" width="10.625" customWidth="1"/>
    <col min="7690" max="7690" width="12" customWidth="1"/>
    <col min="7691" max="7691" width="9.875" customWidth="1"/>
    <col min="7692" max="7692" width="12.25" customWidth="1"/>
    <col min="7693" max="7693" width="12.875" customWidth="1"/>
    <col min="7937" max="7937" width="4.75" bestFit="1" customWidth="1"/>
    <col min="7938" max="7938" width="11" customWidth="1"/>
    <col min="7939" max="7939" width="30.5" customWidth="1"/>
    <col min="7940" max="7940" width="24" customWidth="1"/>
    <col min="7941" max="7941" width="11.25" customWidth="1"/>
    <col min="7942" max="7942" width="8.75" customWidth="1"/>
    <col min="7943" max="7943" width="6.75" customWidth="1"/>
    <col min="7944" max="7944" width="5.5" customWidth="1"/>
    <col min="7945" max="7945" width="10.625" customWidth="1"/>
    <col min="7946" max="7946" width="12" customWidth="1"/>
    <col min="7947" max="7947" width="9.875" customWidth="1"/>
    <col min="7948" max="7948" width="12.25" customWidth="1"/>
    <col min="7949" max="7949" width="12.875" customWidth="1"/>
    <col min="8193" max="8193" width="4.75" bestFit="1" customWidth="1"/>
    <col min="8194" max="8194" width="11" customWidth="1"/>
    <col min="8195" max="8195" width="30.5" customWidth="1"/>
    <col min="8196" max="8196" width="24" customWidth="1"/>
    <col min="8197" max="8197" width="11.25" customWidth="1"/>
    <col min="8198" max="8198" width="8.75" customWidth="1"/>
    <col min="8199" max="8199" width="6.75" customWidth="1"/>
    <col min="8200" max="8200" width="5.5" customWidth="1"/>
    <col min="8201" max="8201" width="10.625" customWidth="1"/>
    <col min="8202" max="8202" width="12" customWidth="1"/>
    <col min="8203" max="8203" width="9.875" customWidth="1"/>
    <col min="8204" max="8204" width="12.25" customWidth="1"/>
    <col min="8205" max="8205" width="12.875" customWidth="1"/>
    <col min="8449" max="8449" width="4.75" bestFit="1" customWidth="1"/>
    <col min="8450" max="8450" width="11" customWidth="1"/>
    <col min="8451" max="8451" width="30.5" customWidth="1"/>
    <col min="8452" max="8452" width="24" customWidth="1"/>
    <col min="8453" max="8453" width="11.25" customWidth="1"/>
    <col min="8454" max="8454" width="8.75" customWidth="1"/>
    <col min="8455" max="8455" width="6.75" customWidth="1"/>
    <col min="8456" max="8456" width="5.5" customWidth="1"/>
    <col min="8457" max="8457" width="10.625" customWidth="1"/>
    <col min="8458" max="8458" width="12" customWidth="1"/>
    <col min="8459" max="8459" width="9.875" customWidth="1"/>
    <col min="8460" max="8460" width="12.25" customWidth="1"/>
    <col min="8461" max="8461" width="12.875" customWidth="1"/>
    <col min="8705" max="8705" width="4.75" bestFit="1" customWidth="1"/>
    <col min="8706" max="8706" width="11" customWidth="1"/>
    <col min="8707" max="8707" width="30.5" customWidth="1"/>
    <col min="8708" max="8708" width="24" customWidth="1"/>
    <col min="8709" max="8709" width="11.25" customWidth="1"/>
    <col min="8710" max="8710" width="8.75" customWidth="1"/>
    <col min="8711" max="8711" width="6.75" customWidth="1"/>
    <col min="8712" max="8712" width="5.5" customWidth="1"/>
    <col min="8713" max="8713" width="10.625" customWidth="1"/>
    <col min="8714" max="8714" width="12" customWidth="1"/>
    <col min="8715" max="8715" width="9.875" customWidth="1"/>
    <col min="8716" max="8716" width="12.25" customWidth="1"/>
    <col min="8717" max="8717" width="12.875" customWidth="1"/>
    <col min="8961" max="8961" width="4.75" bestFit="1" customWidth="1"/>
    <col min="8962" max="8962" width="11" customWidth="1"/>
    <col min="8963" max="8963" width="30.5" customWidth="1"/>
    <col min="8964" max="8964" width="24" customWidth="1"/>
    <col min="8965" max="8965" width="11.25" customWidth="1"/>
    <col min="8966" max="8966" width="8.75" customWidth="1"/>
    <col min="8967" max="8967" width="6.75" customWidth="1"/>
    <col min="8968" max="8968" width="5.5" customWidth="1"/>
    <col min="8969" max="8969" width="10.625" customWidth="1"/>
    <col min="8970" max="8970" width="12" customWidth="1"/>
    <col min="8971" max="8971" width="9.875" customWidth="1"/>
    <col min="8972" max="8972" width="12.25" customWidth="1"/>
    <col min="8973" max="8973" width="12.875" customWidth="1"/>
    <col min="9217" max="9217" width="4.75" bestFit="1" customWidth="1"/>
    <col min="9218" max="9218" width="11" customWidth="1"/>
    <col min="9219" max="9219" width="30.5" customWidth="1"/>
    <col min="9220" max="9220" width="24" customWidth="1"/>
    <col min="9221" max="9221" width="11.25" customWidth="1"/>
    <col min="9222" max="9222" width="8.75" customWidth="1"/>
    <col min="9223" max="9223" width="6.75" customWidth="1"/>
    <col min="9224" max="9224" width="5.5" customWidth="1"/>
    <col min="9225" max="9225" width="10.625" customWidth="1"/>
    <col min="9226" max="9226" width="12" customWidth="1"/>
    <col min="9227" max="9227" width="9.875" customWidth="1"/>
    <col min="9228" max="9228" width="12.25" customWidth="1"/>
    <col min="9229" max="9229" width="12.875" customWidth="1"/>
    <col min="9473" max="9473" width="4.75" bestFit="1" customWidth="1"/>
    <col min="9474" max="9474" width="11" customWidth="1"/>
    <col min="9475" max="9475" width="30.5" customWidth="1"/>
    <col min="9476" max="9476" width="24" customWidth="1"/>
    <col min="9477" max="9477" width="11.25" customWidth="1"/>
    <col min="9478" max="9478" width="8.75" customWidth="1"/>
    <col min="9479" max="9479" width="6.75" customWidth="1"/>
    <col min="9480" max="9480" width="5.5" customWidth="1"/>
    <col min="9481" max="9481" width="10.625" customWidth="1"/>
    <col min="9482" max="9482" width="12" customWidth="1"/>
    <col min="9483" max="9483" width="9.875" customWidth="1"/>
    <col min="9484" max="9484" width="12.25" customWidth="1"/>
    <col min="9485" max="9485" width="12.875" customWidth="1"/>
    <col min="9729" max="9729" width="4.75" bestFit="1" customWidth="1"/>
    <col min="9730" max="9730" width="11" customWidth="1"/>
    <col min="9731" max="9731" width="30.5" customWidth="1"/>
    <col min="9732" max="9732" width="24" customWidth="1"/>
    <col min="9733" max="9733" width="11.25" customWidth="1"/>
    <col min="9734" max="9734" width="8.75" customWidth="1"/>
    <col min="9735" max="9735" width="6.75" customWidth="1"/>
    <col min="9736" max="9736" width="5.5" customWidth="1"/>
    <col min="9737" max="9737" width="10.625" customWidth="1"/>
    <col min="9738" max="9738" width="12" customWidth="1"/>
    <col min="9739" max="9739" width="9.875" customWidth="1"/>
    <col min="9740" max="9740" width="12.25" customWidth="1"/>
    <col min="9741" max="9741" width="12.875" customWidth="1"/>
    <col min="9985" max="9985" width="4.75" bestFit="1" customWidth="1"/>
    <col min="9986" max="9986" width="11" customWidth="1"/>
    <col min="9987" max="9987" width="30.5" customWidth="1"/>
    <col min="9988" max="9988" width="24" customWidth="1"/>
    <col min="9989" max="9989" width="11.25" customWidth="1"/>
    <col min="9990" max="9990" width="8.75" customWidth="1"/>
    <col min="9991" max="9991" width="6.75" customWidth="1"/>
    <col min="9992" max="9992" width="5.5" customWidth="1"/>
    <col min="9993" max="9993" width="10.625" customWidth="1"/>
    <col min="9994" max="9994" width="12" customWidth="1"/>
    <col min="9995" max="9995" width="9.875" customWidth="1"/>
    <col min="9996" max="9996" width="12.25" customWidth="1"/>
    <col min="9997" max="9997" width="12.875" customWidth="1"/>
    <col min="10241" max="10241" width="4.75" bestFit="1" customWidth="1"/>
    <col min="10242" max="10242" width="11" customWidth="1"/>
    <col min="10243" max="10243" width="30.5" customWidth="1"/>
    <col min="10244" max="10244" width="24" customWidth="1"/>
    <col min="10245" max="10245" width="11.25" customWidth="1"/>
    <col min="10246" max="10246" width="8.75" customWidth="1"/>
    <col min="10247" max="10247" width="6.75" customWidth="1"/>
    <col min="10248" max="10248" width="5.5" customWidth="1"/>
    <col min="10249" max="10249" width="10.625" customWidth="1"/>
    <col min="10250" max="10250" width="12" customWidth="1"/>
    <col min="10251" max="10251" width="9.875" customWidth="1"/>
    <col min="10252" max="10252" width="12.25" customWidth="1"/>
    <col min="10253" max="10253" width="12.875" customWidth="1"/>
    <col min="10497" max="10497" width="4.75" bestFit="1" customWidth="1"/>
    <col min="10498" max="10498" width="11" customWidth="1"/>
    <col min="10499" max="10499" width="30.5" customWidth="1"/>
    <col min="10500" max="10500" width="24" customWidth="1"/>
    <col min="10501" max="10501" width="11.25" customWidth="1"/>
    <col min="10502" max="10502" width="8.75" customWidth="1"/>
    <col min="10503" max="10503" width="6.75" customWidth="1"/>
    <col min="10504" max="10504" width="5.5" customWidth="1"/>
    <col min="10505" max="10505" width="10.625" customWidth="1"/>
    <col min="10506" max="10506" width="12" customWidth="1"/>
    <col min="10507" max="10507" width="9.875" customWidth="1"/>
    <col min="10508" max="10508" width="12.25" customWidth="1"/>
    <col min="10509" max="10509" width="12.875" customWidth="1"/>
    <col min="10753" max="10753" width="4.75" bestFit="1" customWidth="1"/>
    <col min="10754" max="10754" width="11" customWidth="1"/>
    <col min="10755" max="10755" width="30.5" customWidth="1"/>
    <col min="10756" max="10756" width="24" customWidth="1"/>
    <col min="10757" max="10757" width="11.25" customWidth="1"/>
    <col min="10758" max="10758" width="8.75" customWidth="1"/>
    <col min="10759" max="10759" width="6.75" customWidth="1"/>
    <col min="10760" max="10760" width="5.5" customWidth="1"/>
    <col min="10761" max="10761" width="10.625" customWidth="1"/>
    <col min="10762" max="10762" width="12" customWidth="1"/>
    <col min="10763" max="10763" width="9.875" customWidth="1"/>
    <col min="10764" max="10764" width="12.25" customWidth="1"/>
    <col min="10765" max="10765" width="12.875" customWidth="1"/>
    <col min="11009" max="11009" width="4.75" bestFit="1" customWidth="1"/>
    <col min="11010" max="11010" width="11" customWidth="1"/>
    <col min="11011" max="11011" width="30.5" customWidth="1"/>
    <col min="11012" max="11012" width="24" customWidth="1"/>
    <col min="11013" max="11013" width="11.25" customWidth="1"/>
    <col min="11014" max="11014" width="8.75" customWidth="1"/>
    <col min="11015" max="11015" width="6.75" customWidth="1"/>
    <col min="11016" max="11016" width="5.5" customWidth="1"/>
    <col min="11017" max="11017" width="10.625" customWidth="1"/>
    <col min="11018" max="11018" width="12" customWidth="1"/>
    <col min="11019" max="11019" width="9.875" customWidth="1"/>
    <col min="11020" max="11020" width="12.25" customWidth="1"/>
    <col min="11021" max="11021" width="12.875" customWidth="1"/>
    <col min="11265" max="11265" width="4.75" bestFit="1" customWidth="1"/>
    <col min="11266" max="11266" width="11" customWidth="1"/>
    <col min="11267" max="11267" width="30.5" customWidth="1"/>
    <col min="11268" max="11268" width="24" customWidth="1"/>
    <col min="11269" max="11269" width="11.25" customWidth="1"/>
    <col min="11270" max="11270" width="8.75" customWidth="1"/>
    <col min="11271" max="11271" width="6.75" customWidth="1"/>
    <col min="11272" max="11272" width="5.5" customWidth="1"/>
    <col min="11273" max="11273" width="10.625" customWidth="1"/>
    <col min="11274" max="11274" width="12" customWidth="1"/>
    <col min="11275" max="11275" width="9.875" customWidth="1"/>
    <col min="11276" max="11276" width="12.25" customWidth="1"/>
    <col min="11277" max="11277" width="12.875" customWidth="1"/>
    <col min="11521" max="11521" width="4.75" bestFit="1" customWidth="1"/>
    <col min="11522" max="11522" width="11" customWidth="1"/>
    <col min="11523" max="11523" width="30.5" customWidth="1"/>
    <col min="11524" max="11524" width="24" customWidth="1"/>
    <col min="11525" max="11525" width="11.25" customWidth="1"/>
    <col min="11526" max="11526" width="8.75" customWidth="1"/>
    <col min="11527" max="11527" width="6.75" customWidth="1"/>
    <col min="11528" max="11528" width="5.5" customWidth="1"/>
    <col min="11529" max="11529" width="10.625" customWidth="1"/>
    <col min="11530" max="11530" width="12" customWidth="1"/>
    <col min="11531" max="11531" width="9.875" customWidth="1"/>
    <col min="11532" max="11532" width="12.25" customWidth="1"/>
    <col min="11533" max="11533" width="12.875" customWidth="1"/>
    <col min="11777" max="11777" width="4.75" bestFit="1" customWidth="1"/>
    <col min="11778" max="11778" width="11" customWidth="1"/>
    <col min="11779" max="11779" width="30.5" customWidth="1"/>
    <col min="11780" max="11780" width="24" customWidth="1"/>
    <col min="11781" max="11781" width="11.25" customWidth="1"/>
    <col min="11782" max="11782" width="8.75" customWidth="1"/>
    <col min="11783" max="11783" width="6.75" customWidth="1"/>
    <col min="11784" max="11784" width="5.5" customWidth="1"/>
    <col min="11785" max="11785" width="10.625" customWidth="1"/>
    <col min="11786" max="11786" width="12" customWidth="1"/>
    <col min="11787" max="11787" width="9.875" customWidth="1"/>
    <col min="11788" max="11788" width="12.25" customWidth="1"/>
    <col min="11789" max="11789" width="12.875" customWidth="1"/>
    <col min="12033" max="12033" width="4.75" bestFit="1" customWidth="1"/>
    <col min="12034" max="12034" width="11" customWidth="1"/>
    <col min="12035" max="12035" width="30.5" customWidth="1"/>
    <col min="12036" max="12036" width="24" customWidth="1"/>
    <col min="12037" max="12037" width="11.25" customWidth="1"/>
    <col min="12038" max="12038" width="8.75" customWidth="1"/>
    <col min="12039" max="12039" width="6.75" customWidth="1"/>
    <col min="12040" max="12040" width="5.5" customWidth="1"/>
    <col min="12041" max="12041" width="10.625" customWidth="1"/>
    <col min="12042" max="12042" width="12" customWidth="1"/>
    <col min="12043" max="12043" width="9.875" customWidth="1"/>
    <col min="12044" max="12044" width="12.25" customWidth="1"/>
    <col min="12045" max="12045" width="12.875" customWidth="1"/>
    <col min="12289" max="12289" width="4.75" bestFit="1" customWidth="1"/>
    <col min="12290" max="12290" width="11" customWidth="1"/>
    <col min="12291" max="12291" width="30.5" customWidth="1"/>
    <col min="12292" max="12292" width="24" customWidth="1"/>
    <col min="12293" max="12293" width="11.25" customWidth="1"/>
    <col min="12294" max="12294" width="8.75" customWidth="1"/>
    <col min="12295" max="12295" width="6.75" customWidth="1"/>
    <col min="12296" max="12296" width="5.5" customWidth="1"/>
    <col min="12297" max="12297" width="10.625" customWidth="1"/>
    <col min="12298" max="12298" width="12" customWidth="1"/>
    <col min="12299" max="12299" width="9.875" customWidth="1"/>
    <col min="12300" max="12300" width="12.25" customWidth="1"/>
    <col min="12301" max="12301" width="12.875" customWidth="1"/>
    <col min="12545" max="12545" width="4.75" bestFit="1" customWidth="1"/>
    <col min="12546" max="12546" width="11" customWidth="1"/>
    <col min="12547" max="12547" width="30.5" customWidth="1"/>
    <col min="12548" max="12548" width="24" customWidth="1"/>
    <col min="12549" max="12549" width="11.25" customWidth="1"/>
    <col min="12550" max="12550" width="8.75" customWidth="1"/>
    <col min="12551" max="12551" width="6.75" customWidth="1"/>
    <col min="12552" max="12552" width="5.5" customWidth="1"/>
    <col min="12553" max="12553" width="10.625" customWidth="1"/>
    <col min="12554" max="12554" width="12" customWidth="1"/>
    <col min="12555" max="12555" width="9.875" customWidth="1"/>
    <col min="12556" max="12556" width="12.25" customWidth="1"/>
    <col min="12557" max="12557" width="12.875" customWidth="1"/>
    <col min="12801" max="12801" width="4.75" bestFit="1" customWidth="1"/>
    <col min="12802" max="12802" width="11" customWidth="1"/>
    <col min="12803" max="12803" width="30.5" customWidth="1"/>
    <col min="12804" max="12804" width="24" customWidth="1"/>
    <col min="12805" max="12805" width="11.25" customWidth="1"/>
    <col min="12806" max="12806" width="8.75" customWidth="1"/>
    <col min="12807" max="12807" width="6.75" customWidth="1"/>
    <col min="12808" max="12808" width="5.5" customWidth="1"/>
    <col min="12809" max="12809" width="10.625" customWidth="1"/>
    <col min="12810" max="12810" width="12" customWidth="1"/>
    <col min="12811" max="12811" width="9.875" customWidth="1"/>
    <col min="12812" max="12812" width="12.25" customWidth="1"/>
    <col min="12813" max="12813" width="12.875" customWidth="1"/>
    <col min="13057" max="13057" width="4.75" bestFit="1" customWidth="1"/>
    <col min="13058" max="13058" width="11" customWidth="1"/>
    <col min="13059" max="13059" width="30.5" customWidth="1"/>
    <col min="13060" max="13060" width="24" customWidth="1"/>
    <col min="13061" max="13061" width="11.25" customWidth="1"/>
    <col min="13062" max="13062" width="8.75" customWidth="1"/>
    <col min="13063" max="13063" width="6.75" customWidth="1"/>
    <col min="13064" max="13064" width="5.5" customWidth="1"/>
    <col min="13065" max="13065" width="10.625" customWidth="1"/>
    <col min="13066" max="13066" width="12" customWidth="1"/>
    <col min="13067" max="13067" width="9.875" customWidth="1"/>
    <col min="13068" max="13068" width="12.25" customWidth="1"/>
    <col min="13069" max="13069" width="12.875" customWidth="1"/>
    <col min="13313" max="13313" width="4.75" bestFit="1" customWidth="1"/>
    <col min="13314" max="13314" width="11" customWidth="1"/>
    <col min="13315" max="13315" width="30.5" customWidth="1"/>
    <col min="13316" max="13316" width="24" customWidth="1"/>
    <col min="13317" max="13317" width="11.25" customWidth="1"/>
    <col min="13318" max="13318" width="8.75" customWidth="1"/>
    <col min="13319" max="13319" width="6.75" customWidth="1"/>
    <col min="13320" max="13320" width="5.5" customWidth="1"/>
    <col min="13321" max="13321" width="10.625" customWidth="1"/>
    <col min="13322" max="13322" width="12" customWidth="1"/>
    <col min="13323" max="13323" width="9.875" customWidth="1"/>
    <col min="13324" max="13324" width="12.25" customWidth="1"/>
    <col min="13325" max="13325" width="12.875" customWidth="1"/>
    <col min="13569" max="13569" width="4.75" bestFit="1" customWidth="1"/>
    <col min="13570" max="13570" width="11" customWidth="1"/>
    <col min="13571" max="13571" width="30.5" customWidth="1"/>
    <col min="13572" max="13572" width="24" customWidth="1"/>
    <col min="13573" max="13573" width="11.25" customWidth="1"/>
    <col min="13574" max="13574" width="8.75" customWidth="1"/>
    <col min="13575" max="13575" width="6.75" customWidth="1"/>
    <col min="13576" max="13576" width="5.5" customWidth="1"/>
    <col min="13577" max="13577" width="10.625" customWidth="1"/>
    <col min="13578" max="13578" width="12" customWidth="1"/>
    <col min="13579" max="13579" width="9.875" customWidth="1"/>
    <col min="13580" max="13580" width="12.25" customWidth="1"/>
    <col min="13581" max="13581" width="12.875" customWidth="1"/>
    <col min="13825" max="13825" width="4.75" bestFit="1" customWidth="1"/>
    <col min="13826" max="13826" width="11" customWidth="1"/>
    <col min="13827" max="13827" width="30.5" customWidth="1"/>
    <col min="13828" max="13828" width="24" customWidth="1"/>
    <col min="13829" max="13829" width="11.25" customWidth="1"/>
    <col min="13830" max="13830" width="8.75" customWidth="1"/>
    <col min="13831" max="13831" width="6.75" customWidth="1"/>
    <col min="13832" max="13832" width="5.5" customWidth="1"/>
    <col min="13833" max="13833" width="10.625" customWidth="1"/>
    <col min="13834" max="13834" width="12" customWidth="1"/>
    <col min="13835" max="13835" width="9.875" customWidth="1"/>
    <col min="13836" max="13836" width="12.25" customWidth="1"/>
    <col min="13837" max="13837" width="12.875" customWidth="1"/>
    <col min="14081" max="14081" width="4.75" bestFit="1" customWidth="1"/>
    <col min="14082" max="14082" width="11" customWidth="1"/>
    <col min="14083" max="14083" width="30.5" customWidth="1"/>
    <col min="14084" max="14084" width="24" customWidth="1"/>
    <col min="14085" max="14085" width="11.25" customWidth="1"/>
    <col min="14086" max="14086" width="8.75" customWidth="1"/>
    <col min="14087" max="14087" width="6.75" customWidth="1"/>
    <col min="14088" max="14088" width="5.5" customWidth="1"/>
    <col min="14089" max="14089" width="10.625" customWidth="1"/>
    <col min="14090" max="14090" width="12" customWidth="1"/>
    <col min="14091" max="14091" width="9.875" customWidth="1"/>
    <col min="14092" max="14092" width="12.25" customWidth="1"/>
    <col min="14093" max="14093" width="12.875" customWidth="1"/>
    <col min="14337" max="14337" width="4.75" bestFit="1" customWidth="1"/>
    <col min="14338" max="14338" width="11" customWidth="1"/>
    <col min="14339" max="14339" width="30.5" customWidth="1"/>
    <col min="14340" max="14340" width="24" customWidth="1"/>
    <col min="14341" max="14341" width="11.25" customWidth="1"/>
    <col min="14342" max="14342" width="8.75" customWidth="1"/>
    <col min="14343" max="14343" width="6.75" customWidth="1"/>
    <col min="14344" max="14344" width="5.5" customWidth="1"/>
    <col min="14345" max="14345" width="10.625" customWidth="1"/>
    <col min="14346" max="14346" width="12" customWidth="1"/>
    <col min="14347" max="14347" width="9.875" customWidth="1"/>
    <col min="14348" max="14348" width="12.25" customWidth="1"/>
    <col min="14349" max="14349" width="12.875" customWidth="1"/>
    <col min="14593" max="14593" width="4.75" bestFit="1" customWidth="1"/>
    <col min="14594" max="14594" width="11" customWidth="1"/>
    <col min="14595" max="14595" width="30.5" customWidth="1"/>
    <col min="14596" max="14596" width="24" customWidth="1"/>
    <col min="14597" max="14597" width="11.25" customWidth="1"/>
    <col min="14598" max="14598" width="8.75" customWidth="1"/>
    <col min="14599" max="14599" width="6.75" customWidth="1"/>
    <col min="14600" max="14600" width="5.5" customWidth="1"/>
    <col min="14601" max="14601" width="10.625" customWidth="1"/>
    <col min="14602" max="14602" width="12" customWidth="1"/>
    <col min="14603" max="14603" width="9.875" customWidth="1"/>
    <col min="14604" max="14604" width="12.25" customWidth="1"/>
    <col min="14605" max="14605" width="12.875" customWidth="1"/>
    <col min="14849" max="14849" width="4.75" bestFit="1" customWidth="1"/>
    <col min="14850" max="14850" width="11" customWidth="1"/>
    <col min="14851" max="14851" width="30.5" customWidth="1"/>
    <col min="14852" max="14852" width="24" customWidth="1"/>
    <col min="14853" max="14853" width="11.25" customWidth="1"/>
    <col min="14854" max="14854" width="8.75" customWidth="1"/>
    <col min="14855" max="14855" width="6.75" customWidth="1"/>
    <col min="14856" max="14856" width="5.5" customWidth="1"/>
    <col min="14857" max="14857" width="10.625" customWidth="1"/>
    <col min="14858" max="14858" width="12" customWidth="1"/>
    <col min="14859" max="14859" width="9.875" customWidth="1"/>
    <col min="14860" max="14860" width="12.25" customWidth="1"/>
    <col min="14861" max="14861" width="12.875" customWidth="1"/>
    <col min="15105" max="15105" width="4.75" bestFit="1" customWidth="1"/>
    <col min="15106" max="15106" width="11" customWidth="1"/>
    <col min="15107" max="15107" width="30.5" customWidth="1"/>
    <col min="15108" max="15108" width="24" customWidth="1"/>
    <col min="15109" max="15109" width="11.25" customWidth="1"/>
    <col min="15110" max="15110" width="8.75" customWidth="1"/>
    <col min="15111" max="15111" width="6.75" customWidth="1"/>
    <col min="15112" max="15112" width="5.5" customWidth="1"/>
    <col min="15113" max="15113" width="10.625" customWidth="1"/>
    <col min="15114" max="15114" width="12" customWidth="1"/>
    <col min="15115" max="15115" width="9.875" customWidth="1"/>
    <col min="15116" max="15116" width="12.25" customWidth="1"/>
    <col min="15117" max="15117" width="12.875" customWidth="1"/>
    <col min="15361" max="15361" width="4.75" bestFit="1" customWidth="1"/>
    <col min="15362" max="15362" width="11" customWidth="1"/>
    <col min="15363" max="15363" width="30.5" customWidth="1"/>
    <col min="15364" max="15364" width="24" customWidth="1"/>
    <col min="15365" max="15365" width="11.25" customWidth="1"/>
    <col min="15366" max="15366" width="8.75" customWidth="1"/>
    <col min="15367" max="15367" width="6.75" customWidth="1"/>
    <col min="15368" max="15368" width="5.5" customWidth="1"/>
    <col min="15369" max="15369" width="10.625" customWidth="1"/>
    <col min="15370" max="15370" width="12" customWidth="1"/>
    <col min="15371" max="15371" width="9.875" customWidth="1"/>
    <col min="15372" max="15372" width="12.25" customWidth="1"/>
    <col min="15373" max="15373" width="12.875" customWidth="1"/>
    <col min="15617" max="15617" width="4.75" bestFit="1" customWidth="1"/>
    <col min="15618" max="15618" width="11" customWidth="1"/>
    <col min="15619" max="15619" width="30.5" customWidth="1"/>
    <col min="15620" max="15620" width="24" customWidth="1"/>
    <col min="15621" max="15621" width="11.25" customWidth="1"/>
    <col min="15622" max="15622" width="8.75" customWidth="1"/>
    <col min="15623" max="15623" width="6.75" customWidth="1"/>
    <col min="15624" max="15624" width="5.5" customWidth="1"/>
    <col min="15625" max="15625" width="10.625" customWidth="1"/>
    <col min="15626" max="15626" width="12" customWidth="1"/>
    <col min="15627" max="15627" width="9.875" customWidth="1"/>
    <col min="15628" max="15628" width="12.25" customWidth="1"/>
    <col min="15629" max="15629" width="12.875" customWidth="1"/>
    <col min="15873" max="15873" width="4.75" bestFit="1" customWidth="1"/>
    <col min="15874" max="15874" width="11" customWidth="1"/>
    <col min="15875" max="15875" width="30.5" customWidth="1"/>
    <col min="15876" max="15876" width="24" customWidth="1"/>
    <col min="15877" max="15877" width="11.25" customWidth="1"/>
    <col min="15878" max="15878" width="8.75" customWidth="1"/>
    <col min="15879" max="15879" width="6.75" customWidth="1"/>
    <col min="15880" max="15880" width="5.5" customWidth="1"/>
    <col min="15881" max="15881" width="10.625" customWidth="1"/>
    <col min="15882" max="15882" width="12" customWidth="1"/>
    <col min="15883" max="15883" width="9.875" customWidth="1"/>
    <col min="15884" max="15884" width="12.25" customWidth="1"/>
    <col min="15885" max="15885" width="12.875" customWidth="1"/>
    <col min="16129" max="16129" width="4.75" bestFit="1" customWidth="1"/>
    <col min="16130" max="16130" width="11" customWidth="1"/>
    <col min="16131" max="16131" width="30.5" customWidth="1"/>
    <col min="16132" max="16132" width="24" customWidth="1"/>
    <col min="16133" max="16133" width="11.25" customWidth="1"/>
    <col min="16134" max="16134" width="8.75" customWidth="1"/>
    <col min="16135" max="16135" width="6.75" customWidth="1"/>
    <col min="16136" max="16136" width="5.5" customWidth="1"/>
    <col min="16137" max="16137" width="10.625" customWidth="1"/>
    <col min="16138" max="16138" width="12" customWidth="1"/>
    <col min="16139" max="16139" width="9.875" customWidth="1"/>
    <col min="16140" max="16140" width="12.25" customWidth="1"/>
    <col min="16141" max="16141" width="12.875" customWidth="1"/>
  </cols>
  <sheetData>
    <row r="1" spans="1:13">
      <c r="A1" s="3997" t="s">
        <v>3589</v>
      </c>
      <c r="B1" s="3998"/>
      <c r="C1" s="3998"/>
      <c r="D1" s="3998"/>
      <c r="E1" s="3998"/>
      <c r="F1" s="3998"/>
      <c r="G1" s="3998"/>
      <c r="H1" s="3998"/>
      <c r="I1" s="3998"/>
      <c r="J1" s="3998"/>
      <c r="K1" s="3998"/>
      <c r="L1" s="3998"/>
      <c r="M1" s="3998"/>
    </row>
    <row r="2" spans="1:13" ht="24" customHeight="1">
      <c r="A2" s="3998"/>
      <c r="B2" s="3998"/>
      <c r="C2" s="3998"/>
      <c r="D2" s="3998"/>
      <c r="E2" s="3998"/>
      <c r="F2" s="3998"/>
      <c r="G2" s="3998"/>
      <c r="H2" s="3998"/>
      <c r="I2" s="3998"/>
      <c r="J2" s="3998"/>
      <c r="K2" s="3998"/>
      <c r="L2" s="3998"/>
      <c r="M2" s="3998"/>
    </row>
    <row r="3" spans="1:13" s="3484" customFormat="1" ht="47.25" customHeight="1">
      <c r="A3" s="3478" t="s">
        <v>3590</v>
      </c>
      <c r="B3" s="3479" t="s">
        <v>3591</v>
      </c>
      <c r="C3" s="3480" t="s">
        <v>3592</v>
      </c>
      <c r="D3" s="3480" t="s">
        <v>3593</v>
      </c>
      <c r="E3" s="3481" t="s">
        <v>3594</v>
      </c>
      <c r="F3" s="3482" t="s">
        <v>3595</v>
      </c>
      <c r="G3" s="3480" t="s">
        <v>3596</v>
      </c>
      <c r="H3" s="3480" t="s">
        <v>3597</v>
      </c>
      <c r="I3" s="3483" t="s">
        <v>3598</v>
      </c>
      <c r="J3" s="3483" t="s">
        <v>3599</v>
      </c>
      <c r="K3" s="3483" t="s">
        <v>3600</v>
      </c>
      <c r="L3" s="3483" t="s">
        <v>3601</v>
      </c>
      <c r="M3" s="3483" t="s">
        <v>3602</v>
      </c>
    </row>
    <row r="4" spans="1:13" s="3493" customFormat="1" ht="48" customHeight="1">
      <c r="A4" s="3485"/>
      <c r="B4" s="3486" t="s">
        <v>3603</v>
      </c>
      <c r="C4" s="3487" t="s">
        <v>3604</v>
      </c>
      <c r="D4" s="3488" t="s">
        <v>3605</v>
      </c>
      <c r="E4" s="3489">
        <v>1300</v>
      </c>
      <c r="F4" s="3490">
        <v>7.4</v>
      </c>
      <c r="G4" s="3485">
        <v>1</v>
      </c>
      <c r="H4" s="3485" t="s">
        <v>3606</v>
      </c>
      <c r="I4" s="3491">
        <v>292608.33</v>
      </c>
      <c r="J4" s="3491">
        <f>237250/6</f>
        <v>39541.666666666664</v>
      </c>
      <c r="K4" s="3491">
        <f t="shared" ref="K4:L6" si="0">I4*12</f>
        <v>3511299.96</v>
      </c>
      <c r="L4" s="3491">
        <f t="shared" si="0"/>
        <v>474500</v>
      </c>
      <c r="M4" s="3492">
        <f t="shared" ref="M4:M47" si="1">SUM(K4:L4)</f>
        <v>3985799.96</v>
      </c>
    </row>
    <row r="5" spans="1:13" s="3493" customFormat="1" ht="30.6" customHeight="1">
      <c r="A5" s="3485"/>
      <c r="B5" s="3494" t="s">
        <v>3607</v>
      </c>
      <c r="C5" s="3495" t="s">
        <v>3608</v>
      </c>
      <c r="D5" s="3496" t="s">
        <v>3609</v>
      </c>
      <c r="E5" s="3497">
        <v>440</v>
      </c>
      <c r="F5" s="3498">
        <v>5.8</v>
      </c>
      <c r="G5" s="3485">
        <v>1</v>
      </c>
      <c r="H5" s="3485" t="s">
        <v>3610</v>
      </c>
      <c r="I5" s="3499">
        <v>77623</v>
      </c>
      <c r="J5" s="3499">
        <f>SUM(E5*G5)*365/12</f>
        <v>13383.333333333334</v>
      </c>
      <c r="K5" s="3500">
        <f t="shared" si="0"/>
        <v>931476</v>
      </c>
      <c r="L5" s="3500">
        <f t="shared" si="0"/>
        <v>160600</v>
      </c>
      <c r="M5" s="3492">
        <f t="shared" si="1"/>
        <v>1092076</v>
      </c>
    </row>
    <row r="6" spans="1:13" s="3511" customFormat="1" ht="45" customHeight="1">
      <c r="A6" s="3501"/>
      <c r="B6" s="3502" t="s">
        <v>3611</v>
      </c>
      <c r="C6" s="3503" t="s">
        <v>3612</v>
      </c>
      <c r="D6" s="3504" t="s">
        <v>3613</v>
      </c>
      <c r="E6" s="3505">
        <v>267</v>
      </c>
      <c r="F6" s="3506">
        <v>4.8</v>
      </c>
      <c r="G6" s="3507">
        <v>1</v>
      </c>
      <c r="H6" s="3507" t="s">
        <v>3610</v>
      </c>
      <c r="I6" s="3508">
        <v>38982</v>
      </c>
      <c r="J6" s="3509">
        <v>8121.25</v>
      </c>
      <c r="K6" s="3510">
        <f t="shared" si="0"/>
        <v>467784</v>
      </c>
      <c r="L6" s="3510">
        <f t="shared" si="0"/>
        <v>97455</v>
      </c>
      <c r="M6" s="3510">
        <f t="shared" si="1"/>
        <v>565239</v>
      </c>
    </row>
    <row r="7" spans="1:13" s="3511" customFormat="1" ht="43.9" customHeight="1">
      <c r="A7" s="3507"/>
      <c r="B7" s="3512" t="s">
        <v>3614</v>
      </c>
      <c r="C7" s="3503" t="s">
        <v>3612</v>
      </c>
      <c r="D7" s="3504" t="s">
        <v>3615</v>
      </c>
      <c r="E7" s="3513">
        <v>25</v>
      </c>
      <c r="F7" s="3506">
        <v>2.5</v>
      </c>
      <c r="G7" s="3507">
        <v>1</v>
      </c>
      <c r="H7" s="3507" t="s">
        <v>3610</v>
      </c>
      <c r="I7" s="3514">
        <v>1901.04</v>
      </c>
      <c r="J7" s="3514">
        <v>760</v>
      </c>
      <c r="K7" s="3510">
        <f>I7*12</f>
        <v>22812.48</v>
      </c>
      <c r="L7" s="3510">
        <f>SUM(J7)*12</f>
        <v>9120</v>
      </c>
      <c r="M7" s="3510">
        <f t="shared" si="1"/>
        <v>31932.48</v>
      </c>
    </row>
    <row r="8" spans="1:13" s="3511" customFormat="1" ht="29.25" customHeight="1">
      <c r="A8" s="3507"/>
      <c r="B8" s="3512" t="s">
        <v>3616</v>
      </c>
      <c r="C8" s="3515" t="s">
        <v>3617</v>
      </c>
      <c r="D8" s="3516" t="s">
        <v>3618</v>
      </c>
      <c r="E8" s="3513">
        <v>25</v>
      </c>
      <c r="F8" s="3506">
        <v>5.25</v>
      </c>
      <c r="G8" s="3507"/>
      <c r="H8" s="3507" t="s">
        <v>3619</v>
      </c>
      <c r="I8" s="3517">
        <f>47906.25/12</f>
        <v>3992.1875</v>
      </c>
      <c r="J8" s="3517"/>
      <c r="K8" s="3518">
        <v>47006.25</v>
      </c>
      <c r="L8" s="3517"/>
      <c r="M8" s="3518">
        <f t="shared" si="1"/>
        <v>47006.25</v>
      </c>
    </row>
    <row r="9" spans="1:13" s="3511" customFormat="1" ht="57.6" customHeight="1">
      <c r="A9" s="3507"/>
      <c r="B9" s="3519" t="s">
        <v>3620</v>
      </c>
      <c r="C9" s="3520" t="s">
        <v>3621</v>
      </c>
      <c r="D9" s="3999" t="s">
        <v>3622</v>
      </c>
      <c r="E9" s="3505">
        <v>470</v>
      </c>
      <c r="F9" s="3506">
        <v>5.05</v>
      </c>
      <c r="G9" s="3507">
        <v>1</v>
      </c>
      <c r="H9" s="3507" t="s">
        <v>3610</v>
      </c>
      <c r="I9" s="3521">
        <v>57898.13</v>
      </c>
      <c r="J9" s="3522">
        <v>14295.83</v>
      </c>
      <c r="K9" s="3510">
        <f t="shared" ref="K9:L13" si="2">I9*12</f>
        <v>694777.55999999994</v>
      </c>
      <c r="L9" s="3510">
        <f t="shared" si="2"/>
        <v>171549.96</v>
      </c>
      <c r="M9" s="3510">
        <f t="shared" si="1"/>
        <v>866327.5199999999</v>
      </c>
    </row>
    <row r="10" spans="1:13" s="3511" customFormat="1" ht="58.9" customHeight="1">
      <c r="A10" s="3507"/>
      <c r="B10" s="3519" t="s">
        <v>3623</v>
      </c>
      <c r="C10" s="3520" t="s">
        <v>3624</v>
      </c>
      <c r="D10" s="3999"/>
      <c r="E10" s="3505">
        <v>566</v>
      </c>
      <c r="F10" s="3506">
        <v>5.05</v>
      </c>
      <c r="G10" s="3507">
        <v>1</v>
      </c>
      <c r="H10" s="3507" t="s">
        <v>3610</v>
      </c>
      <c r="I10" s="3521">
        <v>69724.13</v>
      </c>
      <c r="J10" s="3522">
        <v>17215.830000000002</v>
      </c>
      <c r="K10" s="3510">
        <f t="shared" si="2"/>
        <v>836689.56</v>
      </c>
      <c r="L10" s="3510">
        <f t="shared" si="2"/>
        <v>206589.96000000002</v>
      </c>
      <c r="M10" s="3510">
        <f t="shared" si="1"/>
        <v>1043279.52</v>
      </c>
    </row>
    <row r="11" spans="1:13" s="3511" customFormat="1" ht="54" customHeight="1">
      <c r="A11" s="3507"/>
      <c r="B11" s="3519" t="s">
        <v>3625</v>
      </c>
      <c r="C11" s="3523" t="s">
        <v>3626</v>
      </c>
      <c r="D11" s="3999"/>
      <c r="E11" s="3524">
        <v>567</v>
      </c>
      <c r="F11" s="3506">
        <v>5.05</v>
      </c>
      <c r="G11" s="3507">
        <v>1</v>
      </c>
      <c r="H11" s="3507" t="s">
        <v>3610</v>
      </c>
      <c r="I11" s="3521">
        <v>69847.31</v>
      </c>
      <c r="J11" s="3522">
        <v>17246.25</v>
      </c>
      <c r="K11" s="3510">
        <f t="shared" si="2"/>
        <v>838167.72</v>
      </c>
      <c r="L11" s="3510">
        <f t="shared" si="2"/>
        <v>206955</v>
      </c>
      <c r="M11" s="3510">
        <f t="shared" si="1"/>
        <v>1045122.72</v>
      </c>
    </row>
    <row r="13" spans="1:13" s="3511" customFormat="1" ht="34.9" customHeight="1">
      <c r="A13" s="3507"/>
      <c r="B13" s="3512" t="s">
        <v>3627</v>
      </c>
      <c r="C13" s="3515" t="s">
        <v>3628</v>
      </c>
      <c r="D13" s="3516" t="s">
        <v>3629</v>
      </c>
      <c r="E13" s="3528">
        <v>26</v>
      </c>
      <c r="F13" s="3529">
        <v>2</v>
      </c>
      <c r="G13" s="3507">
        <v>1</v>
      </c>
      <c r="H13" s="3507" t="s">
        <v>3610</v>
      </c>
      <c r="I13" s="3530">
        <f>SUM(E13)*(3-1)*365/12</f>
        <v>1581.6666666666667</v>
      </c>
      <c r="J13" s="3509">
        <f>SUM(E13)*1*365/12</f>
        <v>790.83333333333337</v>
      </c>
      <c r="K13" s="3510">
        <f t="shared" si="2"/>
        <v>18980</v>
      </c>
      <c r="L13" s="3510">
        <f t="shared" si="2"/>
        <v>9490</v>
      </c>
      <c r="M13" s="3510">
        <f t="shared" si="1"/>
        <v>28470</v>
      </c>
    </row>
    <row r="14" spans="1:13" s="3511" customFormat="1" ht="21.75" customHeight="1">
      <c r="A14" s="3507"/>
      <c r="B14" s="3531" t="s">
        <v>3630</v>
      </c>
      <c r="C14" s="3515" t="s">
        <v>3628</v>
      </c>
      <c r="D14" s="3516" t="s">
        <v>3631</v>
      </c>
      <c r="E14" s="3528">
        <v>68</v>
      </c>
      <c r="F14" s="3529">
        <v>2</v>
      </c>
      <c r="G14" s="3507">
        <v>1</v>
      </c>
      <c r="H14" s="3507" t="s">
        <v>3610</v>
      </c>
      <c r="I14" s="3530">
        <v>4137</v>
      </c>
      <c r="J14" s="3509">
        <f>SUM(E14)*(6-5)*365/12</f>
        <v>2068.3333333333335</v>
      </c>
      <c r="K14" s="3510">
        <f>SUM(I14)*12</f>
        <v>49644</v>
      </c>
      <c r="L14" s="3532">
        <f>SUM(J14)*12</f>
        <v>24820</v>
      </c>
      <c r="M14" s="3510">
        <f t="shared" si="1"/>
        <v>74464</v>
      </c>
    </row>
    <row r="15" spans="1:13" s="3511" customFormat="1" ht="51" customHeight="1">
      <c r="A15" s="3507"/>
      <c r="B15" s="3502" t="s">
        <v>3632</v>
      </c>
      <c r="C15" s="3520" t="s">
        <v>3628</v>
      </c>
      <c r="D15" s="3533" t="s">
        <v>3633</v>
      </c>
      <c r="E15" s="3534">
        <v>267</v>
      </c>
      <c r="F15" s="3529">
        <v>4.05</v>
      </c>
      <c r="G15" s="3507">
        <v>1</v>
      </c>
      <c r="H15" s="3507" t="s">
        <v>3610</v>
      </c>
      <c r="I15" s="3535">
        <v>32891.06</v>
      </c>
      <c r="J15" s="3509">
        <v>8121</v>
      </c>
      <c r="K15" s="3536">
        <f t="shared" ref="K15:L30" si="3">I15*12</f>
        <v>394692.72</v>
      </c>
      <c r="L15" s="3536">
        <f t="shared" si="3"/>
        <v>97452</v>
      </c>
      <c r="M15" s="3510">
        <f t="shared" si="1"/>
        <v>492144.72</v>
      </c>
    </row>
    <row r="16" spans="1:13" s="3511" customFormat="1" ht="51" customHeight="1">
      <c r="A16" s="3507"/>
      <c r="B16" s="3502" t="s">
        <v>3634</v>
      </c>
      <c r="C16" s="3520" t="s">
        <v>3628</v>
      </c>
      <c r="D16" s="3533" t="s">
        <v>3633</v>
      </c>
      <c r="E16" s="3537">
        <v>590</v>
      </c>
      <c r="F16" s="3529">
        <v>4.05</v>
      </c>
      <c r="G16" s="3507">
        <v>1</v>
      </c>
      <c r="H16" s="3507" t="s">
        <v>3610</v>
      </c>
      <c r="I16" s="3535">
        <v>72680.63</v>
      </c>
      <c r="J16" s="3509">
        <v>17945.830000000002</v>
      </c>
      <c r="K16" s="3536">
        <f t="shared" si="3"/>
        <v>872167.56</v>
      </c>
      <c r="L16" s="3536">
        <f t="shared" si="3"/>
        <v>215349.96000000002</v>
      </c>
      <c r="M16" s="3510">
        <f t="shared" si="1"/>
        <v>1087517.52</v>
      </c>
    </row>
    <row r="17" spans="1:20" s="3511" customFormat="1" ht="51" customHeight="1">
      <c r="A17" s="3507"/>
      <c r="B17" s="3502" t="s">
        <v>3635</v>
      </c>
      <c r="C17" s="3520" t="s">
        <v>3628</v>
      </c>
      <c r="D17" s="3533" t="s">
        <v>3633</v>
      </c>
      <c r="E17" s="3524">
        <v>429</v>
      </c>
      <c r="F17" s="3529">
        <v>4.05</v>
      </c>
      <c r="G17" s="3507">
        <v>1</v>
      </c>
      <c r="H17" s="3507" t="s">
        <v>3610</v>
      </c>
      <c r="I17" s="3535">
        <v>52847.44</v>
      </c>
      <c r="J17" s="3509">
        <v>13048</v>
      </c>
      <c r="K17" s="3536">
        <f t="shared" si="3"/>
        <v>634169.28</v>
      </c>
      <c r="L17" s="3536">
        <f t="shared" si="3"/>
        <v>156576</v>
      </c>
      <c r="M17" s="3510">
        <f t="shared" si="1"/>
        <v>790745.28</v>
      </c>
    </row>
    <row r="18" spans="1:20" s="3542" customFormat="1" ht="65.45" customHeight="1">
      <c r="A18" s="3501"/>
      <c r="B18" s="3538" t="s">
        <v>3636</v>
      </c>
      <c r="C18" s="3520" t="s">
        <v>3637</v>
      </c>
      <c r="D18" s="3539" t="s">
        <v>3638</v>
      </c>
      <c r="E18" s="3540">
        <v>590</v>
      </c>
      <c r="F18" s="3529">
        <v>4.05</v>
      </c>
      <c r="G18" s="3501">
        <v>1</v>
      </c>
      <c r="H18" s="3501" t="s">
        <v>3610</v>
      </c>
      <c r="I18" s="3541">
        <v>72680.63</v>
      </c>
      <c r="J18" s="3509">
        <v>17945.830000000002</v>
      </c>
      <c r="K18" s="3510">
        <f>I18*12</f>
        <v>872167.56</v>
      </c>
      <c r="L18" s="3510">
        <f>J18*12</f>
        <v>215349.96000000002</v>
      </c>
      <c r="M18" s="3510">
        <f t="shared" si="1"/>
        <v>1087517.52</v>
      </c>
    </row>
    <row r="19" spans="1:20" s="3511" customFormat="1" ht="54" customHeight="1">
      <c r="A19" s="3507"/>
      <c r="B19" s="3519" t="s">
        <v>3639</v>
      </c>
      <c r="C19" s="3543" t="s">
        <v>3640</v>
      </c>
      <c r="D19" s="3544" t="s">
        <v>3641</v>
      </c>
      <c r="E19" s="3524">
        <v>267</v>
      </c>
      <c r="F19" s="3529">
        <v>4.05</v>
      </c>
      <c r="G19" s="3507">
        <v>1</v>
      </c>
      <c r="H19" s="3507" t="s">
        <v>3610</v>
      </c>
      <c r="I19" s="3521">
        <v>32891.06</v>
      </c>
      <c r="J19" s="3545">
        <v>8121.25</v>
      </c>
      <c r="K19" s="3510"/>
      <c r="L19" s="3510">
        <f>J19*12</f>
        <v>97455</v>
      </c>
      <c r="M19" s="3510">
        <f t="shared" si="1"/>
        <v>97455</v>
      </c>
    </row>
    <row r="20" spans="1:20" s="3511" customFormat="1" ht="65.45" customHeight="1">
      <c r="A20" s="3507"/>
      <c r="B20" s="3516" t="s">
        <v>3642</v>
      </c>
      <c r="C20" s="3520" t="s">
        <v>3637</v>
      </c>
      <c r="D20" s="3533" t="s">
        <v>3643</v>
      </c>
      <c r="E20" s="3513">
        <v>186</v>
      </c>
      <c r="F20" s="3546">
        <v>4.5999999999999996</v>
      </c>
      <c r="G20" s="3507">
        <v>1</v>
      </c>
      <c r="H20" s="3507" t="s">
        <v>3610</v>
      </c>
      <c r="I20" s="3514">
        <v>26025</v>
      </c>
      <c r="J20" s="3509">
        <f>SUM(E20*G20)*365/12</f>
        <v>5657.5</v>
      </c>
      <c r="K20" s="3510">
        <f t="shared" si="3"/>
        <v>312300</v>
      </c>
      <c r="L20" s="3510">
        <f t="shared" si="3"/>
        <v>67890</v>
      </c>
      <c r="M20" s="3510">
        <f t="shared" si="1"/>
        <v>380190</v>
      </c>
    </row>
    <row r="21" spans="1:20" s="3511" customFormat="1" ht="65.45" customHeight="1">
      <c r="A21" s="3507"/>
      <c r="B21" s="3516" t="s">
        <v>3644</v>
      </c>
      <c r="C21" s="3520" t="s">
        <v>3637</v>
      </c>
      <c r="D21" s="3533" t="s">
        <v>3645</v>
      </c>
      <c r="E21" s="3513">
        <v>45</v>
      </c>
      <c r="F21" s="3546">
        <v>2</v>
      </c>
      <c r="G21" s="3507">
        <v>1</v>
      </c>
      <c r="H21" s="3507" t="s">
        <v>3610</v>
      </c>
      <c r="I21" s="3514">
        <v>2737.5</v>
      </c>
      <c r="J21" s="3509">
        <v>1368.75</v>
      </c>
      <c r="K21" s="3510"/>
      <c r="L21" s="3510">
        <f t="shared" si="3"/>
        <v>16425</v>
      </c>
      <c r="M21" s="3510">
        <f t="shared" si="1"/>
        <v>16425</v>
      </c>
    </row>
    <row r="22" spans="1:20" s="3511" customFormat="1" ht="78" customHeight="1">
      <c r="A22" s="3507"/>
      <c r="B22" s="3502" t="s">
        <v>3646</v>
      </c>
      <c r="C22" s="3543" t="s">
        <v>3647</v>
      </c>
      <c r="D22" s="3547" t="s">
        <v>3648</v>
      </c>
      <c r="E22" s="3524">
        <v>168</v>
      </c>
      <c r="F22" s="3529">
        <v>10.25</v>
      </c>
      <c r="G22" s="3507">
        <v>1</v>
      </c>
      <c r="H22" s="3507" t="s">
        <v>3610</v>
      </c>
      <c r="I22" s="3508">
        <v>52377.5</v>
      </c>
      <c r="J22" s="3508">
        <f>E22*(1)*365/12</f>
        <v>5110</v>
      </c>
      <c r="K22" s="3508">
        <f t="shared" si="3"/>
        <v>628530</v>
      </c>
      <c r="L22" s="3508">
        <f t="shared" si="3"/>
        <v>61320</v>
      </c>
      <c r="M22" s="3510">
        <f t="shared" si="1"/>
        <v>689850</v>
      </c>
    </row>
    <row r="23" spans="1:20" s="3511" customFormat="1" ht="38.450000000000003" customHeight="1">
      <c r="A23" s="3507"/>
      <c r="B23" s="3502" t="s">
        <v>3649</v>
      </c>
      <c r="C23" s="3548" t="s">
        <v>3650</v>
      </c>
      <c r="D23" s="3549" t="s">
        <v>3651</v>
      </c>
      <c r="E23" s="3537">
        <v>111</v>
      </c>
      <c r="F23" s="3546">
        <v>4.8</v>
      </c>
      <c r="G23" s="3507">
        <v>1</v>
      </c>
      <c r="H23" s="3507" t="s">
        <v>3610</v>
      </c>
      <c r="I23" s="3508">
        <v>16206</v>
      </c>
      <c r="J23" s="3508">
        <f>E23*(1)*365/12</f>
        <v>3376.25</v>
      </c>
      <c r="K23" s="3510">
        <f t="shared" si="3"/>
        <v>194472</v>
      </c>
      <c r="L23" s="3510">
        <f t="shared" si="3"/>
        <v>40515</v>
      </c>
      <c r="M23" s="3510">
        <f t="shared" si="1"/>
        <v>234987</v>
      </c>
      <c r="T23" s="3550"/>
    </row>
    <row r="24" spans="1:20" s="3511" customFormat="1" ht="46.15" customHeight="1">
      <c r="A24" s="3507"/>
      <c r="B24" s="3502" t="s">
        <v>3652</v>
      </c>
      <c r="C24" s="3551" t="s">
        <v>3653</v>
      </c>
      <c r="D24" s="3547" t="s">
        <v>3654</v>
      </c>
      <c r="E24" s="3552">
        <v>29</v>
      </c>
      <c r="F24" s="3529">
        <v>5.67</v>
      </c>
      <c r="G24" s="3507">
        <v>1</v>
      </c>
      <c r="H24" s="3507" t="s">
        <v>3610</v>
      </c>
      <c r="I24" s="3509">
        <v>5001</v>
      </c>
      <c r="J24" s="3509">
        <f>E24*(1)*365/12</f>
        <v>882.08333333333337</v>
      </c>
      <c r="K24" s="3508">
        <f t="shared" si="3"/>
        <v>60012</v>
      </c>
      <c r="L24" s="3508">
        <f t="shared" si="3"/>
        <v>10585</v>
      </c>
      <c r="M24" s="3510">
        <f t="shared" si="1"/>
        <v>70597</v>
      </c>
    </row>
    <row r="25" spans="1:20" s="3511" customFormat="1" ht="65.45" customHeight="1">
      <c r="A25" s="3507"/>
      <c r="B25" s="3502" t="s">
        <v>3655</v>
      </c>
      <c r="C25" s="3551" t="s">
        <v>3656</v>
      </c>
      <c r="D25" s="3547" t="s">
        <v>3654</v>
      </c>
      <c r="E25" s="3552">
        <v>20</v>
      </c>
      <c r="F25" s="3529">
        <v>5.67</v>
      </c>
      <c r="G25" s="3507">
        <v>1</v>
      </c>
      <c r="H25" s="3507" t="s">
        <v>3610</v>
      </c>
      <c r="I25" s="3509">
        <v>3449</v>
      </c>
      <c r="J25" s="3509">
        <f>E25*(1)*365/12</f>
        <v>608.33333333333337</v>
      </c>
      <c r="K25" s="3508">
        <f t="shared" si="3"/>
        <v>41388</v>
      </c>
      <c r="L25" s="3508">
        <f t="shared" si="3"/>
        <v>7300</v>
      </c>
      <c r="M25" s="3510">
        <f t="shared" si="1"/>
        <v>48688</v>
      </c>
    </row>
    <row r="26" spans="1:20" s="3511" customFormat="1" ht="75.599999999999994" customHeight="1">
      <c r="A26" s="3507"/>
      <c r="B26" s="3502" t="s">
        <v>3657</v>
      </c>
      <c r="C26" s="3553" t="s">
        <v>3658</v>
      </c>
      <c r="D26" s="3533" t="s">
        <v>3659</v>
      </c>
      <c r="E26" s="3537">
        <v>313</v>
      </c>
      <c r="F26" s="3546">
        <v>5.67</v>
      </c>
      <c r="G26" s="3507">
        <v>1</v>
      </c>
      <c r="H26" s="3507" t="s">
        <v>3610</v>
      </c>
      <c r="I26" s="3536">
        <v>53981</v>
      </c>
      <c r="J26" s="3536">
        <f>E26*1*365/12</f>
        <v>9520.4166666666661</v>
      </c>
      <c r="K26" s="3536">
        <f t="shared" si="3"/>
        <v>647772</v>
      </c>
      <c r="L26" s="3536">
        <f t="shared" si="3"/>
        <v>114245</v>
      </c>
      <c r="M26" s="3510">
        <f t="shared" si="1"/>
        <v>762017</v>
      </c>
    </row>
    <row r="27" spans="1:20" s="3511" customFormat="1" ht="57.6" customHeight="1">
      <c r="A27" s="3507">
        <v>23</v>
      </c>
      <c r="B27" s="3502" t="s">
        <v>3660</v>
      </c>
      <c r="C27" s="3554" t="s">
        <v>3658</v>
      </c>
      <c r="D27" s="3533" t="s">
        <v>3661</v>
      </c>
      <c r="E27" s="3537">
        <v>444</v>
      </c>
      <c r="F27" s="3529">
        <v>4.8</v>
      </c>
      <c r="G27" s="3507">
        <v>1</v>
      </c>
      <c r="H27" s="3507" t="s">
        <v>3610</v>
      </c>
      <c r="I27" s="3508">
        <v>64824</v>
      </c>
      <c r="J27" s="3508">
        <f>E27*1*365/12</f>
        <v>13505</v>
      </c>
      <c r="K27" s="3508">
        <f t="shared" si="3"/>
        <v>777888</v>
      </c>
      <c r="L27" s="3508">
        <f t="shared" si="3"/>
        <v>162060</v>
      </c>
      <c r="M27" s="3510">
        <f t="shared" si="1"/>
        <v>939948</v>
      </c>
    </row>
    <row r="28" spans="1:20" s="3511" customFormat="1" ht="63.6" customHeight="1">
      <c r="A28" s="4000"/>
      <c r="B28" s="3502" t="s">
        <v>3662</v>
      </c>
      <c r="C28" s="3503" t="s">
        <v>3663</v>
      </c>
      <c r="D28" s="3547" t="s">
        <v>3664</v>
      </c>
      <c r="E28" s="3505">
        <v>267</v>
      </c>
      <c r="F28" s="3506">
        <v>5.25</v>
      </c>
      <c r="G28" s="3507">
        <v>1</v>
      </c>
      <c r="H28" s="3507" t="s">
        <v>3610</v>
      </c>
      <c r="I28" s="3508">
        <v>42637</v>
      </c>
      <c r="J28" s="3555">
        <f>E28*(1)*365/12</f>
        <v>8121.25</v>
      </c>
      <c r="K28" s="3510">
        <f t="shared" si="3"/>
        <v>511644</v>
      </c>
      <c r="L28" s="3510">
        <f t="shared" si="3"/>
        <v>97455</v>
      </c>
      <c r="M28" s="3510">
        <f t="shared" si="1"/>
        <v>609099</v>
      </c>
    </row>
    <row r="29" spans="1:20" s="3511" customFormat="1" ht="60" customHeight="1">
      <c r="A29" s="4001"/>
      <c r="B29" s="3502" t="s">
        <v>3665</v>
      </c>
      <c r="C29" s="3503" t="s">
        <v>3666</v>
      </c>
      <c r="D29" s="3547" t="s">
        <v>3664</v>
      </c>
      <c r="E29" s="3505">
        <v>252</v>
      </c>
      <c r="F29" s="3506">
        <v>5.25</v>
      </c>
      <c r="G29" s="3507">
        <v>1</v>
      </c>
      <c r="H29" s="3507" t="s">
        <v>3610</v>
      </c>
      <c r="I29" s="3556">
        <v>40241</v>
      </c>
      <c r="J29" s="3510">
        <f>E29*(1)*365/12</f>
        <v>7665</v>
      </c>
      <c r="K29" s="3510">
        <f t="shared" si="3"/>
        <v>482892</v>
      </c>
      <c r="L29" s="3510">
        <f t="shared" si="3"/>
        <v>91980</v>
      </c>
      <c r="M29" s="3510">
        <f t="shared" si="1"/>
        <v>574872</v>
      </c>
    </row>
    <row r="30" spans="1:20" s="3511" customFormat="1" ht="52.15" customHeight="1">
      <c r="A30" s="3507"/>
      <c r="B30" s="3502" t="s">
        <v>3667</v>
      </c>
      <c r="C30" s="3503" t="s">
        <v>3668</v>
      </c>
      <c r="D30" s="3547" t="s">
        <v>3669</v>
      </c>
      <c r="E30" s="3505">
        <v>296</v>
      </c>
      <c r="F30" s="3506">
        <v>5.25</v>
      </c>
      <c r="G30" s="3507">
        <v>1</v>
      </c>
      <c r="H30" s="3507" t="s">
        <v>3610</v>
      </c>
      <c r="I30" s="3508">
        <v>47268</v>
      </c>
      <c r="J30" s="3509">
        <f>E30*(1)*365/12</f>
        <v>9003.3333333333339</v>
      </c>
      <c r="K30" s="3510">
        <f t="shared" si="3"/>
        <v>567216</v>
      </c>
      <c r="L30" s="3510">
        <f t="shared" si="3"/>
        <v>108040</v>
      </c>
      <c r="M30" s="3510">
        <f t="shared" si="1"/>
        <v>675256</v>
      </c>
    </row>
    <row r="31" spans="1:20" s="3511" customFormat="1" ht="69.599999999999994" customHeight="1">
      <c r="A31" s="3507"/>
      <c r="B31" s="3502" t="s">
        <v>3670</v>
      </c>
      <c r="C31" s="3557" t="s">
        <v>3671</v>
      </c>
      <c r="D31" s="3516" t="s">
        <v>3672</v>
      </c>
      <c r="E31" s="3513">
        <v>133</v>
      </c>
      <c r="F31" s="3558">
        <v>4.74</v>
      </c>
      <c r="G31" s="3559">
        <v>1</v>
      </c>
      <c r="H31" s="3559" t="s">
        <v>3610</v>
      </c>
      <c r="I31" s="3555">
        <v>19175</v>
      </c>
      <c r="J31" s="3510">
        <v>4045</v>
      </c>
      <c r="K31" s="3510">
        <f t="shared" ref="K31:L31" si="4">I31*12</f>
        <v>230100</v>
      </c>
      <c r="L31" s="3532">
        <f t="shared" si="4"/>
        <v>48540</v>
      </c>
      <c r="M31" s="3510">
        <f t="shared" si="1"/>
        <v>278640</v>
      </c>
    </row>
    <row r="32" spans="1:20" s="3511" customFormat="1" ht="30" customHeight="1">
      <c r="A32" s="3507">
        <v>35</v>
      </c>
      <c r="B32" s="3512" t="s">
        <v>3673</v>
      </c>
      <c r="C32" s="3557" t="s">
        <v>3674</v>
      </c>
      <c r="D32" s="3516" t="s">
        <v>3675</v>
      </c>
      <c r="E32" s="3528">
        <v>50</v>
      </c>
      <c r="F32" s="3506">
        <v>1.2</v>
      </c>
      <c r="G32" s="3507">
        <v>1</v>
      </c>
      <c r="H32" s="3507" t="s">
        <v>3610</v>
      </c>
      <c r="I32" s="3514">
        <v>1825</v>
      </c>
      <c r="J32" s="3509">
        <v>1520.83</v>
      </c>
      <c r="K32" s="3510">
        <f>I32*12</f>
        <v>21900</v>
      </c>
      <c r="L32" s="3508">
        <f>J32*12</f>
        <v>18249.96</v>
      </c>
      <c r="M32" s="3532">
        <f t="shared" si="1"/>
        <v>40149.96</v>
      </c>
    </row>
    <row r="34" spans="1:20" s="3511" customFormat="1" ht="42" customHeight="1">
      <c r="A34" s="3507"/>
      <c r="B34" s="3502" t="s">
        <v>3676</v>
      </c>
      <c r="C34" s="3503" t="s">
        <v>3677</v>
      </c>
      <c r="D34" s="3504" t="s">
        <v>3678</v>
      </c>
      <c r="E34" s="3560">
        <v>70</v>
      </c>
      <c r="F34" s="3506">
        <v>4.8</v>
      </c>
      <c r="G34" s="3507">
        <v>1</v>
      </c>
      <c r="H34" s="3507" t="s">
        <v>3610</v>
      </c>
      <c r="I34" s="3508">
        <v>10220</v>
      </c>
      <c r="J34" s="3508">
        <f>SUM(E34*G34)*365/12</f>
        <v>2129.1666666666665</v>
      </c>
      <c r="K34" s="3508">
        <f>SUM(I34)*12</f>
        <v>122640</v>
      </c>
      <c r="L34" s="3508">
        <f>SUM(J34)*12</f>
        <v>25550</v>
      </c>
      <c r="M34" s="3510">
        <f t="shared" si="1"/>
        <v>148190</v>
      </c>
    </row>
    <row r="35" spans="1:20" s="3511" customFormat="1" ht="46.15" customHeight="1">
      <c r="A35" s="3507"/>
      <c r="B35" s="3502" t="s">
        <v>3679</v>
      </c>
      <c r="C35" s="3561" t="s">
        <v>3680</v>
      </c>
      <c r="D35" s="3504" t="s">
        <v>3678</v>
      </c>
      <c r="E35" s="3560">
        <v>50</v>
      </c>
      <c r="F35" s="3506">
        <v>4.8</v>
      </c>
      <c r="G35" s="3507">
        <v>1</v>
      </c>
      <c r="H35" s="3507" t="s">
        <v>3610</v>
      </c>
      <c r="I35" s="3508">
        <v>7300</v>
      </c>
      <c r="J35" s="3508">
        <f>SUM(E35*G35)*365/12</f>
        <v>1520.8333333333333</v>
      </c>
      <c r="K35" s="3508">
        <f>I35*12</f>
        <v>87600</v>
      </c>
      <c r="L35" s="3508">
        <f>J35*12</f>
        <v>18250</v>
      </c>
      <c r="M35" s="3508">
        <f t="shared" si="1"/>
        <v>105850</v>
      </c>
    </row>
    <row r="36" spans="1:20" s="3569" customFormat="1" ht="47.45" customHeight="1">
      <c r="A36" s="3562"/>
      <c r="B36" s="3563" t="s">
        <v>3681</v>
      </c>
      <c r="C36" s="3564" t="s">
        <v>3682</v>
      </c>
      <c r="D36" s="3564" t="s">
        <v>3683</v>
      </c>
      <c r="E36" s="3565"/>
      <c r="F36" s="3566"/>
      <c r="G36" s="3562"/>
      <c r="H36" s="3562"/>
      <c r="I36" s="3567"/>
      <c r="J36" s="3568"/>
      <c r="K36" s="3567">
        <f>I36*12</f>
        <v>0</v>
      </c>
      <c r="L36" s="3567">
        <f>J36*12</f>
        <v>0</v>
      </c>
      <c r="M36" s="3567">
        <f t="shared" si="1"/>
        <v>0</v>
      </c>
    </row>
    <row r="37" spans="1:20" s="3569" customFormat="1" ht="56.45" customHeight="1">
      <c r="A37" s="3562"/>
      <c r="B37" s="3570" t="s">
        <v>3684</v>
      </c>
      <c r="C37" s="3571" t="s">
        <v>3685</v>
      </c>
      <c r="D37" s="3572" t="s">
        <v>3683</v>
      </c>
      <c r="E37" s="3573">
        <v>108</v>
      </c>
      <c r="F37" s="3574">
        <v>4.8</v>
      </c>
      <c r="G37" s="3562">
        <v>1</v>
      </c>
      <c r="H37" s="3562" t="s">
        <v>3610</v>
      </c>
      <c r="I37" s="3567">
        <v>15768</v>
      </c>
      <c r="J37" s="3575">
        <v>3285</v>
      </c>
      <c r="K37" s="3567">
        <f>I37*12</f>
        <v>189216</v>
      </c>
      <c r="L37" s="3567">
        <f>J37*12-4</f>
        <v>39416</v>
      </c>
      <c r="M37" s="3567">
        <f t="shared" si="1"/>
        <v>228632</v>
      </c>
    </row>
    <row r="38" spans="1:20" s="3511" customFormat="1" ht="40.9" customHeight="1">
      <c r="A38" s="3507"/>
      <c r="B38" s="3576" t="s">
        <v>3686</v>
      </c>
      <c r="C38" s="3561" t="s">
        <v>3682</v>
      </c>
      <c r="D38" s="3504" t="s">
        <v>3687</v>
      </c>
      <c r="E38" s="3560">
        <v>34</v>
      </c>
      <c r="F38" s="3506">
        <v>4.8</v>
      </c>
      <c r="G38" s="3507">
        <v>1</v>
      </c>
      <c r="H38" s="3507" t="s">
        <v>3610</v>
      </c>
      <c r="I38" s="3508">
        <v>4964</v>
      </c>
      <c r="J38" s="3577">
        <v>1034.17</v>
      </c>
      <c r="K38" s="3508">
        <f>I38*12</f>
        <v>59568</v>
      </c>
      <c r="L38" s="3508">
        <f>J38*12-2</f>
        <v>12408.04</v>
      </c>
      <c r="M38" s="3508">
        <f t="shared" si="1"/>
        <v>71976.040000000008</v>
      </c>
    </row>
    <row r="39" spans="1:20" s="3511" customFormat="1" ht="29.45" customHeight="1">
      <c r="A39" s="3507"/>
      <c r="B39" s="3531" t="s">
        <v>3688</v>
      </c>
      <c r="C39" s="3503" t="s">
        <v>3689</v>
      </c>
      <c r="D39" s="3504" t="s">
        <v>3690</v>
      </c>
      <c r="E39" s="3560">
        <v>18</v>
      </c>
      <c r="F39" s="3506">
        <v>2</v>
      </c>
      <c r="G39" s="3507">
        <v>1</v>
      </c>
      <c r="H39" s="3507" t="s">
        <v>3610</v>
      </c>
      <c r="I39" s="3508">
        <v>1095</v>
      </c>
      <c r="J39" s="3577">
        <v>548</v>
      </c>
      <c r="K39" s="3508">
        <f t="shared" ref="K39:L42" si="5">SUM(I39)*12</f>
        <v>13140</v>
      </c>
      <c r="L39" s="3508">
        <f t="shared" si="5"/>
        <v>6576</v>
      </c>
      <c r="M39" s="3510">
        <f t="shared" si="1"/>
        <v>19716</v>
      </c>
    </row>
    <row r="40" spans="1:20" s="3511" customFormat="1" ht="43.9" customHeight="1">
      <c r="A40" s="3507"/>
      <c r="B40" s="3502" t="s">
        <v>3691</v>
      </c>
      <c r="C40" s="3543" t="s">
        <v>3692</v>
      </c>
      <c r="D40" s="3547" t="s">
        <v>3693</v>
      </c>
      <c r="E40" s="3524">
        <v>236</v>
      </c>
      <c r="F40" s="3529">
        <v>4.5999999999999996</v>
      </c>
      <c r="G40" s="3507">
        <v>1</v>
      </c>
      <c r="H40" s="3507" t="s">
        <v>3610</v>
      </c>
      <c r="I40" s="3508">
        <v>33020</v>
      </c>
      <c r="J40" s="3509">
        <v>7178</v>
      </c>
      <c r="K40" s="3508">
        <f>I40*12</f>
        <v>396240</v>
      </c>
      <c r="L40" s="3508">
        <f>J40*12</f>
        <v>86136</v>
      </c>
      <c r="M40" s="3510">
        <f t="shared" si="1"/>
        <v>482376</v>
      </c>
    </row>
    <row r="41" spans="1:20" s="3511" customFormat="1" ht="29.45" customHeight="1">
      <c r="A41" s="3507" t="s">
        <v>3694</v>
      </c>
      <c r="B41" s="3578" t="s">
        <v>3695</v>
      </c>
      <c r="C41" s="3543" t="s">
        <v>3696</v>
      </c>
      <c r="D41" s="3504" t="s">
        <v>3697</v>
      </c>
      <c r="E41" s="3524">
        <v>20</v>
      </c>
      <c r="F41" s="3529">
        <v>2.5</v>
      </c>
      <c r="G41" s="3507">
        <v>1</v>
      </c>
      <c r="H41" s="3507" t="s">
        <v>3610</v>
      </c>
      <c r="I41" s="3508">
        <v>1521</v>
      </c>
      <c r="J41" s="3577">
        <v>608</v>
      </c>
      <c r="K41" s="3508">
        <f t="shared" si="5"/>
        <v>18252</v>
      </c>
      <c r="L41" s="3508">
        <f t="shared" si="5"/>
        <v>7296</v>
      </c>
      <c r="M41" s="3510">
        <f t="shared" si="1"/>
        <v>25548</v>
      </c>
    </row>
    <row r="42" spans="1:20" s="3511" customFormat="1" ht="21.75" customHeight="1">
      <c r="A42" s="3507"/>
      <c r="B42" s="3512" t="s">
        <v>3698</v>
      </c>
      <c r="C42" s="3543" t="s">
        <v>3699</v>
      </c>
      <c r="D42" s="3504" t="s">
        <v>3700</v>
      </c>
      <c r="E42" s="3524">
        <v>121</v>
      </c>
      <c r="F42" s="3529">
        <v>4.5</v>
      </c>
      <c r="G42" s="3507">
        <v>1</v>
      </c>
      <c r="H42" s="3507" t="s">
        <v>3701</v>
      </c>
      <c r="I42" s="3508">
        <v>16561.88</v>
      </c>
      <c r="J42" s="3508">
        <v>3680.42</v>
      </c>
      <c r="K42" s="3508">
        <f t="shared" si="5"/>
        <v>198742.56</v>
      </c>
      <c r="L42" s="3508">
        <f t="shared" si="5"/>
        <v>44165.04</v>
      </c>
      <c r="M42" s="3510">
        <f t="shared" si="1"/>
        <v>242907.6</v>
      </c>
    </row>
    <row r="43" spans="1:20" s="3511" customFormat="1" ht="38.450000000000003" customHeight="1">
      <c r="A43" s="3507"/>
      <c r="B43" s="3502" t="s">
        <v>3702</v>
      </c>
      <c r="C43" s="3553" t="s">
        <v>3703</v>
      </c>
      <c r="D43" s="3579" t="s">
        <v>3704</v>
      </c>
      <c r="E43" s="3537">
        <v>264</v>
      </c>
      <c r="F43" s="3546">
        <v>4.3</v>
      </c>
      <c r="G43" s="3507">
        <v>1</v>
      </c>
      <c r="H43" s="3507" t="s">
        <v>3701</v>
      </c>
      <c r="I43" s="3508">
        <v>34529</v>
      </c>
      <c r="J43" s="3508">
        <v>8030</v>
      </c>
      <c r="K43" s="3510">
        <f t="shared" ref="K43:L47" si="6">I43*12</f>
        <v>414348</v>
      </c>
      <c r="L43" s="3510">
        <f t="shared" si="6"/>
        <v>96360</v>
      </c>
      <c r="M43" s="3510">
        <f t="shared" si="1"/>
        <v>510708</v>
      </c>
      <c r="T43" s="3580"/>
    </row>
    <row r="44" spans="1:20" s="3511" customFormat="1" ht="38.450000000000003" customHeight="1">
      <c r="A44" s="3507"/>
      <c r="B44" s="3502" t="s">
        <v>3705</v>
      </c>
      <c r="C44" s="3553" t="s">
        <v>3706</v>
      </c>
      <c r="D44" s="3579" t="s">
        <v>3704</v>
      </c>
      <c r="E44" s="3537">
        <v>148.5</v>
      </c>
      <c r="F44" s="3546">
        <v>4.3</v>
      </c>
      <c r="G44" s="3507">
        <v>1</v>
      </c>
      <c r="H44" s="3507" t="s">
        <v>3701</v>
      </c>
      <c r="I44" s="3508">
        <v>19422.560000000001</v>
      </c>
      <c r="J44" s="3508">
        <v>4516.87</v>
      </c>
      <c r="K44" s="3510">
        <f t="shared" si="6"/>
        <v>233070.72000000003</v>
      </c>
      <c r="L44" s="3510">
        <f t="shared" si="6"/>
        <v>54202.44</v>
      </c>
      <c r="M44" s="3510">
        <f t="shared" si="1"/>
        <v>287273.16000000003</v>
      </c>
      <c r="T44" s="3580"/>
    </row>
    <row r="45" spans="1:20" s="3511" customFormat="1" ht="38.450000000000003" customHeight="1">
      <c r="A45" s="3507"/>
      <c r="B45" s="3502" t="s">
        <v>3707</v>
      </c>
      <c r="C45" s="3553" t="s">
        <v>3708</v>
      </c>
      <c r="D45" s="3579" t="s">
        <v>3704</v>
      </c>
      <c r="E45" s="3537">
        <v>97.5</v>
      </c>
      <c r="F45" s="3546">
        <v>4.3</v>
      </c>
      <c r="G45" s="3507">
        <v>1</v>
      </c>
      <c r="H45" s="3507" t="s">
        <v>3701</v>
      </c>
      <c r="I45" s="3508">
        <v>12752.19</v>
      </c>
      <c r="J45" s="3508">
        <v>2965.62</v>
      </c>
      <c r="K45" s="3510">
        <f t="shared" si="6"/>
        <v>153026.28</v>
      </c>
      <c r="L45" s="3510">
        <f t="shared" si="6"/>
        <v>35587.440000000002</v>
      </c>
      <c r="M45" s="3510">
        <f t="shared" si="1"/>
        <v>188613.72</v>
      </c>
      <c r="T45" s="3580"/>
    </row>
    <row r="46" spans="1:20" s="3511" customFormat="1" ht="38.450000000000003" customHeight="1">
      <c r="A46" s="3507"/>
      <c r="B46" s="3502" t="s">
        <v>3709</v>
      </c>
      <c r="C46" s="3553" t="s">
        <v>3710</v>
      </c>
      <c r="D46" s="3579" t="s">
        <v>3704</v>
      </c>
      <c r="E46" s="3537">
        <v>20</v>
      </c>
      <c r="F46" s="3546">
        <v>4.3</v>
      </c>
      <c r="G46" s="3507">
        <v>1</v>
      </c>
      <c r="H46" s="3507" t="s">
        <v>3701</v>
      </c>
      <c r="I46" s="3508">
        <v>2615.83</v>
      </c>
      <c r="J46" s="3508">
        <v>608.33000000000004</v>
      </c>
      <c r="K46" s="3510">
        <f t="shared" si="6"/>
        <v>31389.96</v>
      </c>
      <c r="L46" s="3510">
        <f t="shared" si="6"/>
        <v>7299.9600000000009</v>
      </c>
      <c r="M46" s="3510">
        <f t="shared" si="1"/>
        <v>38689.919999999998</v>
      </c>
      <c r="T46" s="3580"/>
    </row>
    <row r="47" spans="1:20" s="3511" customFormat="1" ht="37.15" customHeight="1">
      <c r="A47" s="3507"/>
      <c r="B47" s="3502" t="s">
        <v>3711</v>
      </c>
      <c r="C47" s="3581" t="s">
        <v>3712</v>
      </c>
      <c r="D47" s="3582" t="s">
        <v>3704</v>
      </c>
      <c r="E47" s="3552">
        <v>20</v>
      </c>
      <c r="F47" s="3529">
        <v>4.3</v>
      </c>
      <c r="G47" s="3507">
        <v>1</v>
      </c>
      <c r="H47" s="3507" t="s">
        <v>3701</v>
      </c>
      <c r="I47" s="3508">
        <v>2615.83</v>
      </c>
      <c r="J47" s="3508">
        <v>608.33000000000004</v>
      </c>
      <c r="K47" s="3510">
        <f t="shared" si="6"/>
        <v>31389.96</v>
      </c>
      <c r="L47" s="3508">
        <f t="shared" si="6"/>
        <v>7299.9600000000009</v>
      </c>
      <c r="M47" s="3510">
        <f t="shared" si="1"/>
        <v>38689.919999999998</v>
      </c>
    </row>
    <row r="48" spans="1:20" s="3511" customFormat="1" ht="24.6" customHeight="1">
      <c r="A48" s="3507"/>
      <c r="B48" s="3502"/>
      <c r="C48" s="3583"/>
      <c r="D48" s="3583"/>
      <c r="E48" s="3560"/>
      <c r="F48" s="3506"/>
      <c r="G48" s="3507"/>
      <c r="H48" s="3507"/>
      <c r="I48" s="3508"/>
      <c r="J48" s="3509"/>
      <c r="K48" s="3508"/>
      <c r="L48" s="3508"/>
      <c r="M48" s="3508"/>
    </row>
    <row r="49" spans="1:13" s="3591" customFormat="1" ht="24.6" customHeight="1">
      <c r="A49" s="3584"/>
      <c r="B49" s="3585"/>
      <c r="C49" s="3586" t="s">
        <v>3713</v>
      </c>
      <c r="D49" s="3586"/>
      <c r="E49" s="3587">
        <f>SUBTOTAL(9,E4:E48)</f>
        <v>9418</v>
      </c>
      <c r="F49" s="3588"/>
      <c r="G49" s="3584"/>
      <c r="H49" s="3584"/>
      <c r="I49" s="3589"/>
      <c r="J49" s="3590"/>
      <c r="K49" s="3589">
        <f>SUBTOTAL(9,K4:K48)</f>
        <v>16616572.130000003</v>
      </c>
      <c r="L49" s="3589">
        <f>SUBTOTAL(9,L4:L48)</f>
        <v>3428414.6799999997</v>
      </c>
      <c r="M49" s="3589"/>
    </row>
    <row r="50" spans="1:13" s="3511" customFormat="1" ht="24.6" customHeight="1">
      <c r="A50" s="3507"/>
      <c r="B50" s="3502"/>
      <c r="C50" s="3583"/>
      <c r="D50" s="3583"/>
      <c r="E50" s="3560"/>
      <c r="F50" s="3506"/>
      <c r="G50" s="3507"/>
      <c r="H50" s="3507"/>
      <c r="I50" s="3508"/>
      <c r="J50" s="3509"/>
      <c r="K50" s="3508"/>
      <c r="L50" s="3508"/>
      <c r="M50" s="3508"/>
    </row>
    <row r="51" spans="1:13" s="3601" customFormat="1" ht="29.45" customHeight="1">
      <c r="A51" s="3592"/>
      <c r="B51" s="3593" t="s">
        <v>3714</v>
      </c>
      <c r="C51" s="3594"/>
      <c r="D51" s="3595"/>
      <c r="E51" s="3596"/>
      <c r="F51" s="3597"/>
      <c r="G51" s="3592"/>
      <c r="H51" s="3592"/>
      <c r="I51" s="3598"/>
      <c r="J51" s="3599"/>
      <c r="K51" s="3598">
        <f>SUM(I51)*12</f>
        <v>0</v>
      </c>
      <c r="L51" s="3598"/>
      <c r="M51" s="3600">
        <f t="shared" ref="M51:M56" si="7">SUM(K51:L51)</f>
        <v>0</v>
      </c>
    </row>
    <row r="52" spans="1:13" s="3601" customFormat="1" ht="21.6" customHeight="1">
      <c r="A52" s="3592" t="s">
        <v>3694</v>
      </c>
      <c r="B52" s="3602" t="s">
        <v>3715</v>
      </c>
      <c r="C52" s="3595" t="s">
        <v>3716</v>
      </c>
      <c r="D52" s="3595" t="s">
        <v>3697</v>
      </c>
      <c r="E52" s="3596">
        <v>45</v>
      </c>
      <c r="F52" s="3597">
        <v>3.2</v>
      </c>
      <c r="G52" s="3592">
        <v>1</v>
      </c>
      <c r="H52" s="3592" t="s">
        <v>3610</v>
      </c>
      <c r="I52" s="3598">
        <v>3011</v>
      </c>
      <c r="J52" s="3598">
        <v>1369</v>
      </c>
      <c r="K52" s="3600">
        <f>SUM(I52)*12</f>
        <v>36132</v>
      </c>
      <c r="L52" s="3600">
        <f>SUM(J52)*12</f>
        <v>16428</v>
      </c>
      <c r="M52" s="3600">
        <f t="shared" si="7"/>
        <v>52560</v>
      </c>
    </row>
    <row r="54" spans="1:13" s="3601" customFormat="1" ht="24.6" customHeight="1">
      <c r="A54" s="3592"/>
      <c r="B54" s="3593" t="s">
        <v>3717</v>
      </c>
      <c r="C54" s="3595" t="s">
        <v>3718</v>
      </c>
      <c r="D54" s="3603" t="s">
        <v>3719</v>
      </c>
      <c r="E54" s="3604">
        <v>873</v>
      </c>
      <c r="F54" s="3597">
        <v>4</v>
      </c>
      <c r="G54" s="3592">
        <v>1</v>
      </c>
      <c r="H54" s="3592" t="s">
        <v>3610</v>
      </c>
      <c r="I54" s="3598">
        <v>79661</v>
      </c>
      <c r="J54" s="3598">
        <v>26554</v>
      </c>
      <c r="K54" s="3600">
        <f>I54*12</f>
        <v>955932</v>
      </c>
      <c r="L54" s="3600">
        <f>J54*12</f>
        <v>318648</v>
      </c>
      <c r="M54" s="3600">
        <f t="shared" si="7"/>
        <v>1274580</v>
      </c>
    </row>
    <row r="55" spans="1:13" s="3601" customFormat="1" ht="26.45" customHeight="1">
      <c r="A55" s="3592"/>
      <c r="B55" s="3605" t="s">
        <v>3720</v>
      </c>
      <c r="C55" s="3606" t="s">
        <v>3721</v>
      </c>
      <c r="D55" s="3607" t="s">
        <v>3722</v>
      </c>
      <c r="E55" s="3608">
        <v>68</v>
      </c>
      <c r="F55" s="3609">
        <v>4.8499999999999996</v>
      </c>
      <c r="G55" s="3592">
        <v>1</v>
      </c>
      <c r="H55" s="3592" t="s">
        <v>3610</v>
      </c>
      <c r="I55" s="3610">
        <v>7963</v>
      </c>
      <c r="J55" s="3610">
        <v>2068</v>
      </c>
      <c r="K55" s="3610">
        <f>SUM(I55)*12</f>
        <v>95556</v>
      </c>
      <c r="L55" s="3610">
        <f>SUM(J55)*12</f>
        <v>24816</v>
      </c>
      <c r="M55" s="3600">
        <f t="shared" si="7"/>
        <v>120372</v>
      </c>
    </row>
    <row r="56" spans="1:13" s="3601" customFormat="1" ht="35.450000000000003" customHeight="1">
      <c r="A56" s="3592"/>
      <c r="B56" s="3593" t="s">
        <v>3723</v>
      </c>
      <c r="C56" s="3611" t="s">
        <v>3724</v>
      </c>
      <c r="D56" s="3612" t="s">
        <v>3725</v>
      </c>
      <c r="E56" s="3604">
        <v>267</v>
      </c>
      <c r="F56" s="3597">
        <v>6.28</v>
      </c>
      <c r="G56" s="3592">
        <v>1</v>
      </c>
      <c r="H56" s="3592" t="s">
        <v>3701</v>
      </c>
      <c r="I56" s="3598">
        <v>51001</v>
      </c>
      <c r="J56" s="3598">
        <v>8121</v>
      </c>
      <c r="K56" s="3598">
        <f>I56*12</f>
        <v>612012</v>
      </c>
      <c r="L56" s="3598">
        <f>J56*12</f>
        <v>97452</v>
      </c>
      <c r="M56" s="3600">
        <f t="shared" si="7"/>
        <v>709464</v>
      </c>
    </row>
    <row r="58" spans="1:13" s="3511" customFormat="1" ht="30" customHeight="1">
      <c r="A58" s="3507"/>
      <c r="B58" s="3613"/>
      <c r="C58" s="3583"/>
      <c r="D58" s="3583"/>
      <c r="E58" s="3560"/>
      <c r="F58" s="3506"/>
      <c r="G58" s="3507"/>
      <c r="H58" s="3507"/>
      <c r="I58" s="3508"/>
      <c r="J58" s="3508"/>
      <c r="K58" s="3510"/>
      <c r="L58" s="3510"/>
      <c r="M58" s="3510"/>
    </row>
    <row r="59" spans="1:13" s="3591" customFormat="1" ht="30" customHeight="1">
      <c r="A59" s="3584"/>
      <c r="B59" s="3614"/>
      <c r="C59" s="3615" t="s">
        <v>3726</v>
      </c>
      <c r="D59" s="3616"/>
      <c r="E59" s="3617">
        <f>SUBTOTAL(9,E52:E58)</f>
        <v>1253</v>
      </c>
      <c r="F59" s="3588"/>
      <c r="G59" s="3584"/>
      <c r="H59" s="3584"/>
      <c r="I59" s="3589"/>
      <c r="J59" s="3589"/>
      <c r="K59" s="3618">
        <f>SUBTOTAL(9,K52:K58)</f>
        <v>1699632</v>
      </c>
      <c r="L59" s="3618">
        <f>SUBTOTAL(9,L52:L58)</f>
        <v>457344</v>
      </c>
      <c r="M59" s="3618"/>
    </row>
  </sheetData>
  <mergeCells count="3">
    <mergeCell ref="A1:M2"/>
    <mergeCell ref="D9:D11"/>
    <mergeCell ref="A28:A29"/>
  </mergeCells>
  <phoneticPr fontId="134" type="noConversion"/>
  <dataValidations count="2">
    <dataValidation type="list" allowBlank="1" showInputMessage="1" showErrorMessage="1" 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formula1>"月,季,半年,年,"</formula1>
    </dataValidation>
    <dataValidation type="list" allowBlank="1" showInputMessage="1" showErrorMessage="1" sqref="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H2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H7 JD6:JD7 SZ6:SZ7 ACV6:ACV7 AMR6:AMR7 AWN6:AWN7 BGJ6:BGJ7 BQF6:BQF7 CAB6:CAB7 CJX6:CJX7 CTT6:CTT7 DDP6:DDP7 DNL6:DNL7 DXH6:DXH7 EHD6:EHD7 EQZ6:EQZ7 FAV6:FAV7 FKR6:FKR7 FUN6:FUN7 GEJ6:GEJ7 GOF6:GOF7 GYB6:GYB7 HHX6:HHX7 HRT6:HRT7 IBP6:IBP7 ILL6:ILL7 IVH6:IVH7 JFD6:JFD7 JOZ6:JOZ7 JYV6:JYV7 KIR6:KIR7 KSN6:KSN7 LCJ6:LCJ7 LMF6:LMF7 LWB6:LWB7 MFX6:MFX7 MPT6:MPT7 MZP6:MZP7 NJL6:NJL7 NTH6:NTH7 ODD6:ODD7 OMZ6:OMZ7 OWV6:OWV7 PGR6:PGR7 PQN6:PQN7 QAJ6:QAJ7 QKF6:QKF7 QUB6:QUB7 RDX6:RDX7 RNT6:RNT7 RXP6:RXP7 SHL6:SHL7 SRH6:SRH7 TBD6:TBD7 TKZ6:TKZ7 TUV6:TUV7 UER6:UER7 UON6:UON7 UYJ6:UYJ7 VIF6:VIF7 VSB6:VSB7 WBX6:WBX7 WLT6:WLT7 WVP6:WVP7 H65542:H65543 JD65542:JD65543 SZ65542:SZ65543 ACV65542:ACV65543 AMR65542:AMR65543 AWN65542:AWN65543 BGJ65542:BGJ65543 BQF65542:BQF65543 CAB65542:CAB65543 CJX65542:CJX65543 CTT65542:CTT65543 DDP65542:DDP65543 DNL65542:DNL65543 DXH65542:DXH65543 EHD65542:EHD65543 EQZ65542:EQZ65543 FAV65542:FAV65543 FKR65542:FKR65543 FUN65542:FUN65543 GEJ65542:GEJ65543 GOF65542:GOF65543 GYB65542:GYB65543 HHX65542:HHX65543 HRT65542:HRT65543 IBP65542:IBP65543 ILL65542:ILL65543 IVH65542:IVH65543 JFD65542:JFD65543 JOZ65542:JOZ65543 JYV65542:JYV65543 KIR65542:KIR65543 KSN65542:KSN65543 LCJ65542:LCJ65543 LMF65542:LMF65543 LWB65542:LWB65543 MFX65542:MFX65543 MPT65542:MPT65543 MZP65542:MZP65543 NJL65542:NJL65543 NTH65542:NTH65543 ODD65542:ODD65543 OMZ65542:OMZ65543 OWV65542:OWV65543 PGR65542:PGR65543 PQN65542:PQN65543 QAJ65542:QAJ65543 QKF65542:QKF65543 QUB65542:QUB65543 RDX65542:RDX65543 RNT65542:RNT65543 RXP65542:RXP65543 SHL65542:SHL65543 SRH65542:SRH65543 TBD65542:TBD65543 TKZ65542:TKZ65543 TUV65542:TUV65543 UER65542:UER65543 UON65542:UON65543 UYJ65542:UYJ65543 VIF65542:VIF65543 VSB65542:VSB65543 WBX65542:WBX65543 WLT65542:WLT65543 WVP65542:WVP65543 H131078:H131079 JD131078:JD131079 SZ131078:SZ131079 ACV131078:ACV131079 AMR131078:AMR131079 AWN131078:AWN131079 BGJ131078:BGJ131079 BQF131078:BQF131079 CAB131078:CAB131079 CJX131078:CJX131079 CTT131078:CTT131079 DDP131078:DDP131079 DNL131078:DNL131079 DXH131078:DXH131079 EHD131078:EHD131079 EQZ131078:EQZ131079 FAV131078:FAV131079 FKR131078:FKR131079 FUN131078:FUN131079 GEJ131078:GEJ131079 GOF131078:GOF131079 GYB131078:GYB131079 HHX131078:HHX131079 HRT131078:HRT131079 IBP131078:IBP131079 ILL131078:ILL131079 IVH131078:IVH131079 JFD131078:JFD131079 JOZ131078:JOZ131079 JYV131078:JYV131079 KIR131078:KIR131079 KSN131078:KSN131079 LCJ131078:LCJ131079 LMF131078:LMF131079 LWB131078:LWB131079 MFX131078:MFX131079 MPT131078:MPT131079 MZP131078:MZP131079 NJL131078:NJL131079 NTH131078:NTH131079 ODD131078:ODD131079 OMZ131078:OMZ131079 OWV131078:OWV131079 PGR131078:PGR131079 PQN131078:PQN131079 QAJ131078:QAJ131079 QKF131078:QKF131079 QUB131078:QUB131079 RDX131078:RDX131079 RNT131078:RNT131079 RXP131078:RXP131079 SHL131078:SHL131079 SRH131078:SRH131079 TBD131078:TBD131079 TKZ131078:TKZ131079 TUV131078:TUV131079 UER131078:UER131079 UON131078:UON131079 UYJ131078:UYJ131079 VIF131078:VIF131079 VSB131078:VSB131079 WBX131078:WBX131079 WLT131078:WLT131079 WVP131078:WVP131079 H196614:H196615 JD196614:JD196615 SZ196614:SZ196615 ACV196614:ACV196615 AMR196614:AMR196615 AWN196614:AWN196615 BGJ196614:BGJ196615 BQF196614:BQF196615 CAB196614:CAB196615 CJX196614:CJX196615 CTT196614:CTT196615 DDP196614:DDP196615 DNL196614:DNL196615 DXH196614:DXH196615 EHD196614:EHD196615 EQZ196614:EQZ196615 FAV196614:FAV196615 FKR196614:FKR196615 FUN196614:FUN196615 GEJ196614:GEJ196615 GOF196614:GOF196615 GYB196614:GYB196615 HHX196614:HHX196615 HRT196614:HRT196615 IBP196614:IBP196615 ILL196614:ILL196615 IVH196614:IVH196615 JFD196614:JFD196615 JOZ196614:JOZ196615 JYV196614:JYV196615 KIR196614:KIR196615 KSN196614:KSN196615 LCJ196614:LCJ196615 LMF196614:LMF196615 LWB196614:LWB196615 MFX196614:MFX196615 MPT196614:MPT196615 MZP196614:MZP196615 NJL196614:NJL196615 NTH196614:NTH196615 ODD196614:ODD196615 OMZ196614:OMZ196615 OWV196614:OWV196615 PGR196614:PGR196615 PQN196614:PQN196615 QAJ196614:QAJ196615 QKF196614:QKF196615 QUB196614:QUB196615 RDX196614:RDX196615 RNT196614:RNT196615 RXP196614:RXP196615 SHL196614:SHL196615 SRH196614:SRH196615 TBD196614:TBD196615 TKZ196614:TKZ196615 TUV196614:TUV196615 UER196614:UER196615 UON196614:UON196615 UYJ196614:UYJ196615 VIF196614:VIF196615 VSB196614:VSB196615 WBX196614:WBX196615 WLT196614:WLT196615 WVP196614:WVP196615 H262150:H262151 JD262150:JD262151 SZ262150:SZ262151 ACV262150:ACV262151 AMR262150:AMR262151 AWN262150:AWN262151 BGJ262150:BGJ262151 BQF262150:BQF262151 CAB262150:CAB262151 CJX262150:CJX262151 CTT262150:CTT262151 DDP262150:DDP262151 DNL262150:DNL262151 DXH262150:DXH262151 EHD262150:EHD262151 EQZ262150:EQZ262151 FAV262150:FAV262151 FKR262150:FKR262151 FUN262150:FUN262151 GEJ262150:GEJ262151 GOF262150:GOF262151 GYB262150:GYB262151 HHX262150:HHX262151 HRT262150:HRT262151 IBP262150:IBP262151 ILL262150:ILL262151 IVH262150:IVH262151 JFD262150:JFD262151 JOZ262150:JOZ262151 JYV262150:JYV262151 KIR262150:KIR262151 KSN262150:KSN262151 LCJ262150:LCJ262151 LMF262150:LMF262151 LWB262150:LWB262151 MFX262150:MFX262151 MPT262150:MPT262151 MZP262150:MZP262151 NJL262150:NJL262151 NTH262150:NTH262151 ODD262150:ODD262151 OMZ262150:OMZ262151 OWV262150:OWV262151 PGR262150:PGR262151 PQN262150:PQN262151 QAJ262150:QAJ262151 QKF262150:QKF262151 QUB262150:QUB262151 RDX262150:RDX262151 RNT262150:RNT262151 RXP262150:RXP262151 SHL262150:SHL262151 SRH262150:SRH262151 TBD262150:TBD262151 TKZ262150:TKZ262151 TUV262150:TUV262151 UER262150:UER262151 UON262150:UON262151 UYJ262150:UYJ262151 VIF262150:VIF262151 VSB262150:VSB262151 WBX262150:WBX262151 WLT262150:WLT262151 WVP262150:WVP262151 H327686:H327687 JD327686:JD327687 SZ327686:SZ327687 ACV327686:ACV327687 AMR327686:AMR327687 AWN327686:AWN327687 BGJ327686:BGJ327687 BQF327686:BQF327687 CAB327686:CAB327687 CJX327686:CJX327687 CTT327686:CTT327687 DDP327686:DDP327687 DNL327686:DNL327687 DXH327686:DXH327687 EHD327686:EHD327687 EQZ327686:EQZ327687 FAV327686:FAV327687 FKR327686:FKR327687 FUN327686:FUN327687 GEJ327686:GEJ327687 GOF327686:GOF327687 GYB327686:GYB327687 HHX327686:HHX327687 HRT327686:HRT327687 IBP327686:IBP327687 ILL327686:ILL327687 IVH327686:IVH327687 JFD327686:JFD327687 JOZ327686:JOZ327687 JYV327686:JYV327687 KIR327686:KIR327687 KSN327686:KSN327687 LCJ327686:LCJ327687 LMF327686:LMF327687 LWB327686:LWB327687 MFX327686:MFX327687 MPT327686:MPT327687 MZP327686:MZP327687 NJL327686:NJL327687 NTH327686:NTH327687 ODD327686:ODD327687 OMZ327686:OMZ327687 OWV327686:OWV327687 PGR327686:PGR327687 PQN327686:PQN327687 QAJ327686:QAJ327687 QKF327686:QKF327687 QUB327686:QUB327687 RDX327686:RDX327687 RNT327686:RNT327687 RXP327686:RXP327687 SHL327686:SHL327687 SRH327686:SRH327687 TBD327686:TBD327687 TKZ327686:TKZ327687 TUV327686:TUV327687 UER327686:UER327687 UON327686:UON327687 UYJ327686:UYJ327687 VIF327686:VIF327687 VSB327686:VSB327687 WBX327686:WBX327687 WLT327686:WLT327687 WVP327686:WVP327687 H393222:H393223 JD393222:JD393223 SZ393222:SZ393223 ACV393222:ACV393223 AMR393222:AMR393223 AWN393222:AWN393223 BGJ393222:BGJ393223 BQF393222:BQF393223 CAB393222:CAB393223 CJX393222:CJX393223 CTT393222:CTT393223 DDP393222:DDP393223 DNL393222:DNL393223 DXH393222:DXH393223 EHD393222:EHD393223 EQZ393222:EQZ393223 FAV393222:FAV393223 FKR393222:FKR393223 FUN393222:FUN393223 GEJ393222:GEJ393223 GOF393222:GOF393223 GYB393222:GYB393223 HHX393222:HHX393223 HRT393222:HRT393223 IBP393222:IBP393223 ILL393222:ILL393223 IVH393222:IVH393223 JFD393222:JFD393223 JOZ393222:JOZ393223 JYV393222:JYV393223 KIR393222:KIR393223 KSN393222:KSN393223 LCJ393222:LCJ393223 LMF393222:LMF393223 LWB393222:LWB393223 MFX393222:MFX393223 MPT393222:MPT393223 MZP393222:MZP393223 NJL393222:NJL393223 NTH393222:NTH393223 ODD393222:ODD393223 OMZ393222:OMZ393223 OWV393222:OWV393223 PGR393222:PGR393223 PQN393222:PQN393223 QAJ393222:QAJ393223 QKF393222:QKF393223 QUB393222:QUB393223 RDX393222:RDX393223 RNT393222:RNT393223 RXP393222:RXP393223 SHL393222:SHL393223 SRH393222:SRH393223 TBD393222:TBD393223 TKZ393222:TKZ393223 TUV393222:TUV393223 UER393222:UER393223 UON393222:UON393223 UYJ393222:UYJ393223 VIF393222:VIF393223 VSB393222:VSB393223 WBX393222:WBX393223 WLT393222:WLT393223 WVP393222:WVP393223 H458758:H458759 JD458758:JD458759 SZ458758:SZ458759 ACV458758:ACV458759 AMR458758:AMR458759 AWN458758:AWN458759 BGJ458758:BGJ458759 BQF458758:BQF458759 CAB458758:CAB458759 CJX458758:CJX458759 CTT458758:CTT458759 DDP458758:DDP458759 DNL458758:DNL458759 DXH458758:DXH458759 EHD458758:EHD458759 EQZ458758:EQZ458759 FAV458758:FAV458759 FKR458758:FKR458759 FUN458758:FUN458759 GEJ458758:GEJ458759 GOF458758:GOF458759 GYB458758:GYB458759 HHX458758:HHX458759 HRT458758:HRT458759 IBP458758:IBP458759 ILL458758:ILL458759 IVH458758:IVH458759 JFD458758:JFD458759 JOZ458758:JOZ458759 JYV458758:JYV458759 KIR458758:KIR458759 KSN458758:KSN458759 LCJ458758:LCJ458759 LMF458758:LMF458759 LWB458758:LWB458759 MFX458758:MFX458759 MPT458758:MPT458759 MZP458758:MZP458759 NJL458758:NJL458759 NTH458758:NTH458759 ODD458758:ODD458759 OMZ458758:OMZ458759 OWV458758:OWV458759 PGR458758:PGR458759 PQN458758:PQN458759 QAJ458758:QAJ458759 QKF458758:QKF458759 QUB458758:QUB458759 RDX458758:RDX458759 RNT458758:RNT458759 RXP458758:RXP458759 SHL458758:SHL458759 SRH458758:SRH458759 TBD458758:TBD458759 TKZ458758:TKZ458759 TUV458758:TUV458759 UER458758:UER458759 UON458758:UON458759 UYJ458758:UYJ458759 VIF458758:VIF458759 VSB458758:VSB458759 WBX458758:WBX458759 WLT458758:WLT458759 WVP458758:WVP458759 H524294:H524295 JD524294:JD524295 SZ524294:SZ524295 ACV524294:ACV524295 AMR524294:AMR524295 AWN524294:AWN524295 BGJ524294:BGJ524295 BQF524294:BQF524295 CAB524294:CAB524295 CJX524294:CJX524295 CTT524294:CTT524295 DDP524294:DDP524295 DNL524294:DNL524295 DXH524294:DXH524295 EHD524294:EHD524295 EQZ524294:EQZ524295 FAV524294:FAV524295 FKR524294:FKR524295 FUN524294:FUN524295 GEJ524294:GEJ524295 GOF524294:GOF524295 GYB524294:GYB524295 HHX524294:HHX524295 HRT524294:HRT524295 IBP524294:IBP524295 ILL524294:ILL524295 IVH524294:IVH524295 JFD524294:JFD524295 JOZ524294:JOZ524295 JYV524294:JYV524295 KIR524294:KIR524295 KSN524294:KSN524295 LCJ524294:LCJ524295 LMF524294:LMF524295 LWB524294:LWB524295 MFX524294:MFX524295 MPT524294:MPT524295 MZP524294:MZP524295 NJL524294:NJL524295 NTH524294:NTH524295 ODD524294:ODD524295 OMZ524294:OMZ524295 OWV524294:OWV524295 PGR524294:PGR524295 PQN524294:PQN524295 QAJ524294:QAJ524295 QKF524294:QKF524295 QUB524294:QUB524295 RDX524294:RDX524295 RNT524294:RNT524295 RXP524294:RXP524295 SHL524294:SHL524295 SRH524294:SRH524295 TBD524294:TBD524295 TKZ524294:TKZ524295 TUV524294:TUV524295 UER524294:UER524295 UON524294:UON524295 UYJ524294:UYJ524295 VIF524294:VIF524295 VSB524294:VSB524295 WBX524294:WBX524295 WLT524294:WLT524295 WVP524294:WVP524295 H589830:H589831 JD589830:JD589831 SZ589830:SZ589831 ACV589830:ACV589831 AMR589830:AMR589831 AWN589830:AWN589831 BGJ589830:BGJ589831 BQF589830:BQF589831 CAB589830:CAB589831 CJX589830:CJX589831 CTT589830:CTT589831 DDP589830:DDP589831 DNL589830:DNL589831 DXH589830:DXH589831 EHD589830:EHD589831 EQZ589830:EQZ589831 FAV589830:FAV589831 FKR589830:FKR589831 FUN589830:FUN589831 GEJ589830:GEJ589831 GOF589830:GOF589831 GYB589830:GYB589831 HHX589830:HHX589831 HRT589830:HRT589831 IBP589830:IBP589831 ILL589830:ILL589831 IVH589830:IVH589831 JFD589830:JFD589831 JOZ589830:JOZ589831 JYV589830:JYV589831 KIR589830:KIR589831 KSN589830:KSN589831 LCJ589830:LCJ589831 LMF589830:LMF589831 LWB589830:LWB589831 MFX589830:MFX589831 MPT589830:MPT589831 MZP589830:MZP589831 NJL589830:NJL589831 NTH589830:NTH589831 ODD589830:ODD589831 OMZ589830:OMZ589831 OWV589830:OWV589831 PGR589830:PGR589831 PQN589830:PQN589831 QAJ589830:QAJ589831 QKF589830:QKF589831 QUB589830:QUB589831 RDX589830:RDX589831 RNT589830:RNT589831 RXP589830:RXP589831 SHL589830:SHL589831 SRH589830:SRH589831 TBD589830:TBD589831 TKZ589830:TKZ589831 TUV589830:TUV589831 UER589830:UER589831 UON589830:UON589831 UYJ589830:UYJ589831 VIF589830:VIF589831 VSB589830:VSB589831 WBX589830:WBX589831 WLT589830:WLT589831 WVP589830:WVP589831 H655366:H655367 JD655366:JD655367 SZ655366:SZ655367 ACV655366:ACV655367 AMR655366:AMR655367 AWN655366:AWN655367 BGJ655366:BGJ655367 BQF655366:BQF655367 CAB655366:CAB655367 CJX655366:CJX655367 CTT655366:CTT655367 DDP655366:DDP655367 DNL655366:DNL655367 DXH655366:DXH655367 EHD655366:EHD655367 EQZ655366:EQZ655367 FAV655366:FAV655367 FKR655366:FKR655367 FUN655366:FUN655367 GEJ655366:GEJ655367 GOF655366:GOF655367 GYB655366:GYB655367 HHX655366:HHX655367 HRT655366:HRT655367 IBP655366:IBP655367 ILL655366:ILL655367 IVH655366:IVH655367 JFD655366:JFD655367 JOZ655366:JOZ655367 JYV655366:JYV655367 KIR655366:KIR655367 KSN655366:KSN655367 LCJ655366:LCJ655367 LMF655366:LMF655367 LWB655366:LWB655367 MFX655366:MFX655367 MPT655366:MPT655367 MZP655366:MZP655367 NJL655366:NJL655367 NTH655366:NTH655367 ODD655366:ODD655367 OMZ655366:OMZ655367 OWV655366:OWV655367 PGR655366:PGR655367 PQN655366:PQN655367 QAJ655366:QAJ655367 QKF655366:QKF655367 QUB655366:QUB655367 RDX655366:RDX655367 RNT655366:RNT655367 RXP655366:RXP655367 SHL655366:SHL655367 SRH655366:SRH655367 TBD655366:TBD655367 TKZ655366:TKZ655367 TUV655366:TUV655367 UER655366:UER655367 UON655366:UON655367 UYJ655366:UYJ655367 VIF655366:VIF655367 VSB655366:VSB655367 WBX655366:WBX655367 WLT655366:WLT655367 WVP655366:WVP655367 H720902:H720903 JD720902:JD720903 SZ720902:SZ720903 ACV720902:ACV720903 AMR720902:AMR720903 AWN720902:AWN720903 BGJ720902:BGJ720903 BQF720902:BQF720903 CAB720902:CAB720903 CJX720902:CJX720903 CTT720902:CTT720903 DDP720902:DDP720903 DNL720902:DNL720903 DXH720902:DXH720903 EHD720902:EHD720903 EQZ720902:EQZ720903 FAV720902:FAV720903 FKR720902:FKR720903 FUN720902:FUN720903 GEJ720902:GEJ720903 GOF720902:GOF720903 GYB720902:GYB720903 HHX720902:HHX720903 HRT720902:HRT720903 IBP720902:IBP720903 ILL720902:ILL720903 IVH720902:IVH720903 JFD720902:JFD720903 JOZ720902:JOZ720903 JYV720902:JYV720903 KIR720902:KIR720903 KSN720902:KSN720903 LCJ720902:LCJ720903 LMF720902:LMF720903 LWB720902:LWB720903 MFX720902:MFX720903 MPT720902:MPT720903 MZP720902:MZP720903 NJL720902:NJL720903 NTH720902:NTH720903 ODD720902:ODD720903 OMZ720902:OMZ720903 OWV720902:OWV720903 PGR720902:PGR720903 PQN720902:PQN720903 QAJ720902:QAJ720903 QKF720902:QKF720903 QUB720902:QUB720903 RDX720902:RDX720903 RNT720902:RNT720903 RXP720902:RXP720903 SHL720902:SHL720903 SRH720902:SRH720903 TBD720902:TBD720903 TKZ720902:TKZ720903 TUV720902:TUV720903 UER720902:UER720903 UON720902:UON720903 UYJ720902:UYJ720903 VIF720902:VIF720903 VSB720902:VSB720903 WBX720902:WBX720903 WLT720902:WLT720903 WVP720902:WVP720903 H786438:H786439 JD786438:JD786439 SZ786438:SZ786439 ACV786438:ACV786439 AMR786438:AMR786439 AWN786438:AWN786439 BGJ786438:BGJ786439 BQF786438:BQF786439 CAB786438:CAB786439 CJX786438:CJX786439 CTT786438:CTT786439 DDP786438:DDP786439 DNL786438:DNL786439 DXH786438:DXH786439 EHD786438:EHD786439 EQZ786438:EQZ786439 FAV786438:FAV786439 FKR786438:FKR786439 FUN786438:FUN786439 GEJ786438:GEJ786439 GOF786438:GOF786439 GYB786438:GYB786439 HHX786438:HHX786439 HRT786438:HRT786439 IBP786438:IBP786439 ILL786438:ILL786439 IVH786438:IVH786439 JFD786438:JFD786439 JOZ786438:JOZ786439 JYV786438:JYV786439 KIR786438:KIR786439 KSN786438:KSN786439 LCJ786438:LCJ786439 LMF786438:LMF786439 LWB786438:LWB786439 MFX786438:MFX786439 MPT786438:MPT786439 MZP786438:MZP786439 NJL786438:NJL786439 NTH786438:NTH786439 ODD786438:ODD786439 OMZ786438:OMZ786439 OWV786438:OWV786439 PGR786438:PGR786439 PQN786438:PQN786439 QAJ786438:QAJ786439 QKF786438:QKF786439 QUB786438:QUB786439 RDX786438:RDX786439 RNT786438:RNT786439 RXP786438:RXP786439 SHL786438:SHL786439 SRH786438:SRH786439 TBD786438:TBD786439 TKZ786438:TKZ786439 TUV786438:TUV786439 UER786438:UER786439 UON786438:UON786439 UYJ786438:UYJ786439 VIF786438:VIF786439 VSB786438:VSB786439 WBX786438:WBX786439 WLT786438:WLT786439 WVP786438:WVP786439 H851974:H851975 JD851974:JD851975 SZ851974:SZ851975 ACV851974:ACV851975 AMR851974:AMR851975 AWN851974:AWN851975 BGJ851974:BGJ851975 BQF851974:BQF851975 CAB851974:CAB851975 CJX851974:CJX851975 CTT851974:CTT851975 DDP851974:DDP851975 DNL851974:DNL851975 DXH851974:DXH851975 EHD851974:EHD851975 EQZ851974:EQZ851975 FAV851974:FAV851975 FKR851974:FKR851975 FUN851974:FUN851975 GEJ851974:GEJ851975 GOF851974:GOF851975 GYB851974:GYB851975 HHX851974:HHX851975 HRT851974:HRT851975 IBP851974:IBP851975 ILL851974:ILL851975 IVH851974:IVH851975 JFD851974:JFD851975 JOZ851974:JOZ851975 JYV851974:JYV851975 KIR851974:KIR851975 KSN851974:KSN851975 LCJ851974:LCJ851975 LMF851974:LMF851975 LWB851974:LWB851975 MFX851974:MFX851975 MPT851974:MPT851975 MZP851974:MZP851975 NJL851974:NJL851975 NTH851974:NTH851975 ODD851974:ODD851975 OMZ851974:OMZ851975 OWV851974:OWV851975 PGR851974:PGR851975 PQN851974:PQN851975 QAJ851974:QAJ851975 QKF851974:QKF851975 QUB851974:QUB851975 RDX851974:RDX851975 RNT851974:RNT851975 RXP851974:RXP851975 SHL851974:SHL851975 SRH851974:SRH851975 TBD851974:TBD851975 TKZ851974:TKZ851975 TUV851974:TUV851975 UER851974:UER851975 UON851974:UON851975 UYJ851974:UYJ851975 VIF851974:VIF851975 VSB851974:VSB851975 WBX851974:WBX851975 WLT851974:WLT851975 WVP851974:WVP851975 H917510:H917511 JD917510:JD917511 SZ917510:SZ917511 ACV917510:ACV917511 AMR917510:AMR917511 AWN917510:AWN917511 BGJ917510:BGJ917511 BQF917510:BQF917511 CAB917510:CAB917511 CJX917510:CJX917511 CTT917510:CTT917511 DDP917510:DDP917511 DNL917510:DNL917511 DXH917510:DXH917511 EHD917510:EHD917511 EQZ917510:EQZ917511 FAV917510:FAV917511 FKR917510:FKR917511 FUN917510:FUN917511 GEJ917510:GEJ917511 GOF917510:GOF917511 GYB917510:GYB917511 HHX917510:HHX917511 HRT917510:HRT917511 IBP917510:IBP917511 ILL917510:ILL917511 IVH917510:IVH917511 JFD917510:JFD917511 JOZ917510:JOZ917511 JYV917510:JYV917511 KIR917510:KIR917511 KSN917510:KSN917511 LCJ917510:LCJ917511 LMF917510:LMF917511 LWB917510:LWB917511 MFX917510:MFX917511 MPT917510:MPT917511 MZP917510:MZP917511 NJL917510:NJL917511 NTH917510:NTH917511 ODD917510:ODD917511 OMZ917510:OMZ917511 OWV917510:OWV917511 PGR917510:PGR917511 PQN917510:PQN917511 QAJ917510:QAJ917511 QKF917510:QKF917511 QUB917510:QUB917511 RDX917510:RDX917511 RNT917510:RNT917511 RXP917510:RXP917511 SHL917510:SHL917511 SRH917510:SRH917511 TBD917510:TBD917511 TKZ917510:TKZ917511 TUV917510:TUV917511 UER917510:UER917511 UON917510:UON917511 UYJ917510:UYJ917511 VIF917510:VIF917511 VSB917510:VSB917511 WBX917510:WBX917511 WLT917510:WLT917511 WVP917510:WVP917511 H983046:H983047 JD983046:JD983047 SZ983046:SZ983047 ACV983046:ACV983047 AMR983046:AMR983047 AWN983046:AWN983047 BGJ983046:BGJ983047 BQF983046:BQF983047 CAB983046:CAB983047 CJX983046:CJX983047 CTT983046:CTT983047 DDP983046:DDP983047 DNL983046:DNL983047 DXH983046:DXH983047 EHD983046:EHD983047 EQZ983046:EQZ983047 FAV983046:FAV983047 FKR983046:FKR983047 FUN983046:FUN983047 GEJ983046:GEJ983047 GOF983046:GOF983047 GYB983046:GYB983047 HHX983046:HHX983047 HRT983046:HRT983047 IBP983046:IBP983047 ILL983046:ILL983047 IVH983046:IVH983047 JFD983046:JFD983047 JOZ983046:JOZ983047 JYV983046:JYV983047 KIR983046:KIR983047 KSN983046:KSN983047 LCJ983046:LCJ983047 LMF983046:LMF983047 LWB983046:LWB983047 MFX983046:MFX983047 MPT983046:MPT983047 MZP983046:MZP983047 NJL983046:NJL983047 NTH983046:NTH983047 ODD983046:ODD983047 OMZ983046:OMZ983047 OWV983046:OWV983047 PGR983046:PGR983047 PQN983046:PQN983047 QAJ983046:QAJ983047 QKF983046:QKF983047 QUB983046:QUB983047 RDX983046:RDX983047 RNT983046:RNT983047 RXP983046:RXP983047 SHL983046:SHL983047 SRH983046:SRH983047 TBD983046:TBD983047 TKZ983046:TKZ983047 TUV983046:TUV983047 UER983046:UER983047 UON983046:UON983047 UYJ983046:UYJ983047 VIF983046:VIF983047 VSB983046:VSB983047 WBX983046:WBX983047 WLT983046:WLT983047 WVP983046:WVP983047 H22:H25 JD22:JD25 SZ22:SZ25 ACV22:ACV25 AMR22:AMR25 AWN22:AWN25 BGJ22:BGJ25 BQF22:BQF25 CAB22:CAB25 CJX22:CJX25 CTT22:CTT25 DDP22:DDP25 DNL22:DNL25 DXH22:DXH25 EHD22:EHD25 EQZ22:EQZ25 FAV22:FAV25 FKR22:FKR25 FUN22:FUN25 GEJ22:GEJ25 GOF22:GOF25 GYB22:GYB25 HHX22:HHX25 HRT22:HRT25 IBP22:IBP25 ILL22:ILL25 IVH22:IVH25 JFD22:JFD25 JOZ22:JOZ25 JYV22:JYV25 KIR22:KIR25 KSN22:KSN25 LCJ22:LCJ25 LMF22:LMF25 LWB22:LWB25 MFX22:MFX25 MPT22:MPT25 MZP22:MZP25 NJL22:NJL25 NTH22:NTH25 ODD22:ODD25 OMZ22:OMZ25 OWV22:OWV25 PGR22:PGR25 PQN22:PQN25 QAJ22:QAJ25 QKF22:QKF25 QUB22:QUB25 RDX22:RDX25 RNT22:RNT25 RXP22:RXP25 SHL22:SHL25 SRH22:SRH25 TBD22:TBD25 TKZ22:TKZ25 TUV22:TUV25 UER22:UER25 UON22:UON25 UYJ22:UYJ25 VIF22:VIF25 VSB22:VSB25 WBX22:WBX25 WLT22:WLT25 WVP22:WVP25 H65558:H65561 JD65558:JD65561 SZ65558:SZ65561 ACV65558:ACV65561 AMR65558:AMR65561 AWN65558:AWN65561 BGJ65558:BGJ65561 BQF65558:BQF65561 CAB65558:CAB65561 CJX65558:CJX65561 CTT65558:CTT65561 DDP65558:DDP65561 DNL65558:DNL65561 DXH65558:DXH65561 EHD65558:EHD65561 EQZ65558:EQZ65561 FAV65558:FAV65561 FKR65558:FKR65561 FUN65558:FUN65561 GEJ65558:GEJ65561 GOF65558:GOF65561 GYB65558:GYB65561 HHX65558:HHX65561 HRT65558:HRT65561 IBP65558:IBP65561 ILL65558:ILL65561 IVH65558:IVH65561 JFD65558:JFD65561 JOZ65558:JOZ65561 JYV65558:JYV65561 KIR65558:KIR65561 KSN65558:KSN65561 LCJ65558:LCJ65561 LMF65558:LMF65561 LWB65558:LWB65561 MFX65558:MFX65561 MPT65558:MPT65561 MZP65558:MZP65561 NJL65558:NJL65561 NTH65558:NTH65561 ODD65558:ODD65561 OMZ65558:OMZ65561 OWV65558:OWV65561 PGR65558:PGR65561 PQN65558:PQN65561 QAJ65558:QAJ65561 QKF65558:QKF65561 QUB65558:QUB65561 RDX65558:RDX65561 RNT65558:RNT65561 RXP65558:RXP65561 SHL65558:SHL65561 SRH65558:SRH65561 TBD65558:TBD65561 TKZ65558:TKZ65561 TUV65558:TUV65561 UER65558:UER65561 UON65558:UON65561 UYJ65558:UYJ65561 VIF65558:VIF65561 VSB65558:VSB65561 WBX65558:WBX65561 WLT65558:WLT65561 WVP65558:WVP65561 H131094:H131097 JD131094:JD131097 SZ131094:SZ131097 ACV131094:ACV131097 AMR131094:AMR131097 AWN131094:AWN131097 BGJ131094:BGJ131097 BQF131094:BQF131097 CAB131094:CAB131097 CJX131094:CJX131097 CTT131094:CTT131097 DDP131094:DDP131097 DNL131094:DNL131097 DXH131094:DXH131097 EHD131094:EHD131097 EQZ131094:EQZ131097 FAV131094:FAV131097 FKR131094:FKR131097 FUN131094:FUN131097 GEJ131094:GEJ131097 GOF131094:GOF131097 GYB131094:GYB131097 HHX131094:HHX131097 HRT131094:HRT131097 IBP131094:IBP131097 ILL131094:ILL131097 IVH131094:IVH131097 JFD131094:JFD131097 JOZ131094:JOZ131097 JYV131094:JYV131097 KIR131094:KIR131097 KSN131094:KSN131097 LCJ131094:LCJ131097 LMF131094:LMF131097 LWB131094:LWB131097 MFX131094:MFX131097 MPT131094:MPT131097 MZP131094:MZP131097 NJL131094:NJL131097 NTH131094:NTH131097 ODD131094:ODD131097 OMZ131094:OMZ131097 OWV131094:OWV131097 PGR131094:PGR131097 PQN131094:PQN131097 QAJ131094:QAJ131097 QKF131094:QKF131097 QUB131094:QUB131097 RDX131094:RDX131097 RNT131094:RNT131097 RXP131094:RXP131097 SHL131094:SHL131097 SRH131094:SRH131097 TBD131094:TBD131097 TKZ131094:TKZ131097 TUV131094:TUV131097 UER131094:UER131097 UON131094:UON131097 UYJ131094:UYJ131097 VIF131094:VIF131097 VSB131094:VSB131097 WBX131094:WBX131097 WLT131094:WLT131097 WVP131094:WVP131097 H196630:H196633 JD196630:JD196633 SZ196630:SZ196633 ACV196630:ACV196633 AMR196630:AMR196633 AWN196630:AWN196633 BGJ196630:BGJ196633 BQF196630:BQF196633 CAB196630:CAB196633 CJX196630:CJX196633 CTT196630:CTT196633 DDP196630:DDP196633 DNL196630:DNL196633 DXH196630:DXH196633 EHD196630:EHD196633 EQZ196630:EQZ196633 FAV196630:FAV196633 FKR196630:FKR196633 FUN196630:FUN196633 GEJ196630:GEJ196633 GOF196630:GOF196633 GYB196630:GYB196633 HHX196630:HHX196633 HRT196630:HRT196633 IBP196630:IBP196633 ILL196630:ILL196633 IVH196630:IVH196633 JFD196630:JFD196633 JOZ196630:JOZ196633 JYV196630:JYV196633 KIR196630:KIR196633 KSN196630:KSN196633 LCJ196630:LCJ196633 LMF196630:LMF196633 LWB196630:LWB196633 MFX196630:MFX196633 MPT196630:MPT196633 MZP196630:MZP196633 NJL196630:NJL196633 NTH196630:NTH196633 ODD196630:ODD196633 OMZ196630:OMZ196633 OWV196630:OWV196633 PGR196630:PGR196633 PQN196630:PQN196633 QAJ196630:QAJ196633 QKF196630:QKF196633 QUB196630:QUB196633 RDX196630:RDX196633 RNT196630:RNT196633 RXP196630:RXP196633 SHL196630:SHL196633 SRH196630:SRH196633 TBD196630:TBD196633 TKZ196630:TKZ196633 TUV196630:TUV196633 UER196630:UER196633 UON196630:UON196633 UYJ196630:UYJ196633 VIF196630:VIF196633 VSB196630:VSB196633 WBX196630:WBX196633 WLT196630:WLT196633 WVP196630:WVP196633 H262166:H262169 JD262166:JD262169 SZ262166:SZ262169 ACV262166:ACV262169 AMR262166:AMR262169 AWN262166:AWN262169 BGJ262166:BGJ262169 BQF262166:BQF262169 CAB262166:CAB262169 CJX262166:CJX262169 CTT262166:CTT262169 DDP262166:DDP262169 DNL262166:DNL262169 DXH262166:DXH262169 EHD262166:EHD262169 EQZ262166:EQZ262169 FAV262166:FAV262169 FKR262166:FKR262169 FUN262166:FUN262169 GEJ262166:GEJ262169 GOF262166:GOF262169 GYB262166:GYB262169 HHX262166:HHX262169 HRT262166:HRT262169 IBP262166:IBP262169 ILL262166:ILL262169 IVH262166:IVH262169 JFD262166:JFD262169 JOZ262166:JOZ262169 JYV262166:JYV262169 KIR262166:KIR262169 KSN262166:KSN262169 LCJ262166:LCJ262169 LMF262166:LMF262169 LWB262166:LWB262169 MFX262166:MFX262169 MPT262166:MPT262169 MZP262166:MZP262169 NJL262166:NJL262169 NTH262166:NTH262169 ODD262166:ODD262169 OMZ262166:OMZ262169 OWV262166:OWV262169 PGR262166:PGR262169 PQN262166:PQN262169 QAJ262166:QAJ262169 QKF262166:QKF262169 QUB262166:QUB262169 RDX262166:RDX262169 RNT262166:RNT262169 RXP262166:RXP262169 SHL262166:SHL262169 SRH262166:SRH262169 TBD262166:TBD262169 TKZ262166:TKZ262169 TUV262166:TUV262169 UER262166:UER262169 UON262166:UON262169 UYJ262166:UYJ262169 VIF262166:VIF262169 VSB262166:VSB262169 WBX262166:WBX262169 WLT262166:WLT262169 WVP262166:WVP262169 H327702:H327705 JD327702:JD327705 SZ327702:SZ327705 ACV327702:ACV327705 AMR327702:AMR327705 AWN327702:AWN327705 BGJ327702:BGJ327705 BQF327702:BQF327705 CAB327702:CAB327705 CJX327702:CJX327705 CTT327702:CTT327705 DDP327702:DDP327705 DNL327702:DNL327705 DXH327702:DXH327705 EHD327702:EHD327705 EQZ327702:EQZ327705 FAV327702:FAV327705 FKR327702:FKR327705 FUN327702:FUN327705 GEJ327702:GEJ327705 GOF327702:GOF327705 GYB327702:GYB327705 HHX327702:HHX327705 HRT327702:HRT327705 IBP327702:IBP327705 ILL327702:ILL327705 IVH327702:IVH327705 JFD327702:JFD327705 JOZ327702:JOZ327705 JYV327702:JYV327705 KIR327702:KIR327705 KSN327702:KSN327705 LCJ327702:LCJ327705 LMF327702:LMF327705 LWB327702:LWB327705 MFX327702:MFX327705 MPT327702:MPT327705 MZP327702:MZP327705 NJL327702:NJL327705 NTH327702:NTH327705 ODD327702:ODD327705 OMZ327702:OMZ327705 OWV327702:OWV327705 PGR327702:PGR327705 PQN327702:PQN327705 QAJ327702:QAJ327705 QKF327702:QKF327705 QUB327702:QUB327705 RDX327702:RDX327705 RNT327702:RNT327705 RXP327702:RXP327705 SHL327702:SHL327705 SRH327702:SRH327705 TBD327702:TBD327705 TKZ327702:TKZ327705 TUV327702:TUV327705 UER327702:UER327705 UON327702:UON327705 UYJ327702:UYJ327705 VIF327702:VIF327705 VSB327702:VSB327705 WBX327702:WBX327705 WLT327702:WLT327705 WVP327702:WVP327705 H393238:H393241 JD393238:JD393241 SZ393238:SZ393241 ACV393238:ACV393241 AMR393238:AMR393241 AWN393238:AWN393241 BGJ393238:BGJ393241 BQF393238:BQF393241 CAB393238:CAB393241 CJX393238:CJX393241 CTT393238:CTT393241 DDP393238:DDP393241 DNL393238:DNL393241 DXH393238:DXH393241 EHD393238:EHD393241 EQZ393238:EQZ393241 FAV393238:FAV393241 FKR393238:FKR393241 FUN393238:FUN393241 GEJ393238:GEJ393241 GOF393238:GOF393241 GYB393238:GYB393241 HHX393238:HHX393241 HRT393238:HRT393241 IBP393238:IBP393241 ILL393238:ILL393241 IVH393238:IVH393241 JFD393238:JFD393241 JOZ393238:JOZ393241 JYV393238:JYV393241 KIR393238:KIR393241 KSN393238:KSN393241 LCJ393238:LCJ393241 LMF393238:LMF393241 LWB393238:LWB393241 MFX393238:MFX393241 MPT393238:MPT393241 MZP393238:MZP393241 NJL393238:NJL393241 NTH393238:NTH393241 ODD393238:ODD393241 OMZ393238:OMZ393241 OWV393238:OWV393241 PGR393238:PGR393241 PQN393238:PQN393241 QAJ393238:QAJ393241 QKF393238:QKF393241 QUB393238:QUB393241 RDX393238:RDX393241 RNT393238:RNT393241 RXP393238:RXP393241 SHL393238:SHL393241 SRH393238:SRH393241 TBD393238:TBD393241 TKZ393238:TKZ393241 TUV393238:TUV393241 UER393238:UER393241 UON393238:UON393241 UYJ393238:UYJ393241 VIF393238:VIF393241 VSB393238:VSB393241 WBX393238:WBX393241 WLT393238:WLT393241 WVP393238:WVP393241 H458774:H458777 JD458774:JD458777 SZ458774:SZ458777 ACV458774:ACV458777 AMR458774:AMR458777 AWN458774:AWN458777 BGJ458774:BGJ458777 BQF458774:BQF458777 CAB458774:CAB458777 CJX458774:CJX458777 CTT458774:CTT458777 DDP458774:DDP458777 DNL458774:DNL458777 DXH458774:DXH458777 EHD458774:EHD458777 EQZ458774:EQZ458777 FAV458774:FAV458777 FKR458774:FKR458777 FUN458774:FUN458777 GEJ458774:GEJ458777 GOF458774:GOF458777 GYB458774:GYB458777 HHX458774:HHX458777 HRT458774:HRT458777 IBP458774:IBP458777 ILL458774:ILL458777 IVH458774:IVH458777 JFD458774:JFD458777 JOZ458774:JOZ458777 JYV458774:JYV458777 KIR458774:KIR458777 KSN458774:KSN458777 LCJ458774:LCJ458777 LMF458774:LMF458777 LWB458774:LWB458777 MFX458774:MFX458777 MPT458774:MPT458777 MZP458774:MZP458777 NJL458774:NJL458777 NTH458774:NTH458777 ODD458774:ODD458777 OMZ458774:OMZ458777 OWV458774:OWV458777 PGR458774:PGR458777 PQN458774:PQN458777 QAJ458774:QAJ458777 QKF458774:QKF458777 QUB458774:QUB458777 RDX458774:RDX458777 RNT458774:RNT458777 RXP458774:RXP458777 SHL458774:SHL458777 SRH458774:SRH458777 TBD458774:TBD458777 TKZ458774:TKZ458777 TUV458774:TUV458777 UER458774:UER458777 UON458774:UON458777 UYJ458774:UYJ458777 VIF458774:VIF458777 VSB458774:VSB458777 WBX458774:WBX458777 WLT458774:WLT458777 WVP458774:WVP458777 H524310:H524313 JD524310:JD524313 SZ524310:SZ524313 ACV524310:ACV524313 AMR524310:AMR524313 AWN524310:AWN524313 BGJ524310:BGJ524313 BQF524310:BQF524313 CAB524310:CAB524313 CJX524310:CJX524313 CTT524310:CTT524313 DDP524310:DDP524313 DNL524310:DNL524313 DXH524310:DXH524313 EHD524310:EHD524313 EQZ524310:EQZ524313 FAV524310:FAV524313 FKR524310:FKR524313 FUN524310:FUN524313 GEJ524310:GEJ524313 GOF524310:GOF524313 GYB524310:GYB524313 HHX524310:HHX524313 HRT524310:HRT524313 IBP524310:IBP524313 ILL524310:ILL524313 IVH524310:IVH524313 JFD524310:JFD524313 JOZ524310:JOZ524313 JYV524310:JYV524313 KIR524310:KIR524313 KSN524310:KSN524313 LCJ524310:LCJ524313 LMF524310:LMF524313 LWB524310:LWB524313 MFX524310:MFX524313 MPT524310:MPT524313 MZP524310:MZP524313 NJL524310:NJL524313 NTH524310:NTH524313 ODD524310:ODD524313 OMZ524310:OMZ524313 OWV524310:OWV524313 PGR524310:PGR524313 PQN524310:PQN524313 QAJ524310:QAJ524313 QKF524310:QKF524313 QUB524310:QUB524313 RDX524310:RDX524313 RNT524310:RNT524313 RXP524310:RXP524313 SHL524310:SHL524313 SRH524310:SRH524313 TBD524310:TBD524313 TKZ524310:TKZ524313 TUV524310:TUV524313 UER524310:UER524313 UON524310:UON524313 UYJ524310:UYJ524313 VIF524310:VIF524313 VSB524310:VSB524313 WBX524310:WBX524313 WLT524310:WLT524313 WVP524310:WVP524313 H589846:H589849 JD589846:JD589849 SZ589846:SZ589849 ACV589846:ACV589849 AMR589846:AMR589849 AWN589846:AWN589849 BGJ589846:BGJ589849 BQF589846:BQF589849 CAB589846:CAB589849 CJX589846:CJX589849 CTT589846:CTT589849 DDP589846:DDP589849 DNL589846:DNL589849 DXH589846:DXH589849 EHD589846:EHD589849 EQZ589846:EQZ589849 FAV589846:FAV589849 FKR589846:FKR589849 FUN589846:FUN589849 GEJ589846:GEJ589849 GOF589846:GOF589849 GYB589846:GYB589849 HHX589846:HHX589849 HRT589846:HRT589849 IBP589846:IBP589849 ILL589846:ILL589849 IVH589846:IVH589849 JFD589846:JFD589849 JOZ589846:JOZ589849 JYV589846:JYV589849 KIR589846:KIR589849 KSN589846:KSN589849 LCJ589846:LCJ589849 LMF589846:LMF589849 LWB589846:LWB589849 MFX589846:MFX589849 MPT589846:MPT589849 MZP589846:MZP589849 NJL589846:NJL589849 NTH589846:NTH589849 ODD589846:ODD589849 OMZ589846:OMZ589849 OWV589846:OWV589849 PGR589846:PGR589849 PQN589846:PQN589849 QAJ589846:QAJ589849 QKF589846:QKF589849 QUB589846:QUB589849 RDX589846:RDX589849 RNT589846:RNT589849 RXP589846:RXP589849 SHL589846:SHL589849 SRH589846:SRH589849 TBD589846:TBD589849 TKZ589846:TKZ589849 TUV589846:TUV589849 UER589846:UER589849 UON589846:UON589849 UYJ589846:UYJ589849 VIF589846:VIF589849 VSB589846:VSB589849 WBX589846:WBX589849 WLT589846:WLT589849 WVP589846:WVP589849 H655382:H655385 JD655382:JD655385 SZ655382:SZ655385 ACV655382:ACV655385 AMR655382:AMR655385 AWN655382:AWN655385 BGJ655382:BGJ655385 BQF655382:BQF655385 CAB655382:CAB655385 CJX655382:CJX655385 CTT655382:CTT655385 DDP655382:DDP655385 DNL655382:DNL655385 DXH655382:DXH655385 EHD655382:EHD655385 EQZ655382:EQZ655385 FAV655382:FAV655385 FKR655382:FKR655385 FUN655382:FUN655385 GEJ655382:GEJ655385 GOF655382:GOF655385 GYB655382:GYB655385 HHX655382:HHX655385 HRT655382:HRT655385 IBP655382:IBP655385 ILL655382:ILL655385 IVH655382:IVH655385 JFD655382:JFD655385 JOZ655382:JOZ655385 JYV655382:JYV655385 KIR655382:KIR655385 KSN655382:KSN655385 LCJ655382:LCJ655385 LMF655382:LMF655385 LWB655382:LWB655385 MFX655382:MFX655385 MPT655382:MPT655385 MZP655382:MZP655385 NJL655382:NJL655385 NTH655382:NTH655385 ODD655382:ODD655385 OMZ655382:OMZ655385 OWV655382:OWV655385 PGR655382:PGR655385 PQN655382:PQN655385 QAJ655382:QAJ655385 QKF655382:QKF655385 QUB655382:QUB655385 RDX655382:RDX655385 RNT655382:RNT655385 RXP655382:RXP655385 SHL655382:SHL655385 SRH655382:SRH655385 TBD655382:TBD655385 TKZ655382:TKZ655385 TUV655382:TUV655385 UER655382:UER655385 UON655382:UON655385 UYJ655382:UYJ655385 VIF655382:VIF655385 VSB655382:VSB655385 WBX655382:WBX655385 WLT655382:WLT655385 WVP655382:WVP655385 H720918:H720921 JD720918:JD720921 SZ720918:SZ720921 ACV720918:ACV720921 AMR720918:AMR720921 AWN720918:AWN720921 BGJ720918:BGJ720921 BQF720918:BQF720921 CAB720918:CAB720921 CJX720918:CJX720921 CTT720918:CTT720921 DDP720918:DDP720921 DNL720918:DNL720921 DXH720918:DXH720921 EHD720918:EHD720921 EQZ720918:EQZ720921 FAV720918:FAV720921 FKR720918:FKR720921 FUN720918:FUN720921 GEJ720918:GEJ720921 GOF720918:GOF720921 GYB720918:GYB720921 HHX720918:HHX720921 HRT720918:HRT720921 IBP720918:IBP720921 ILL720918:ILL720921 IVH720918:IVH720921 JFD720918:JFD720921 JOZ720918:JOZ720921 JYV720918:JYV720921 KIR720918:KIR720921 KSN720918:KSN720921 LCJ720918:LCJ720921 LMF720918:LMF720921 LWB720918:LWB720921 MFX720918:MFX720921 MPT720918:MPT720921 MZP720918:MZP720921 NJL720918:NJL720921 NTH720918:NTH720921 ODD720918:ODD720921 OMZ720918:OMZ720921 OWV720918:OWV720921 PGR720918:PGR720921 PQN720918:PQN720921 QAJ720918:QAJ720921 QKF720918:QKF720921 QUB720918:QUB720921 RDX720918:RDX720921 RNT720918:RNT720921 RXP720918:RXP720921 SHL720918:SHL720921 SRH720918:SRH720921 TBD720918:TBD720921 TKZ720918:TKZ720921 TUV720918:TUV720921 UER720918:UER720921 UON720918:UON720921 UYJ720918:UYJ720921 VIF720918:VIF720921 VSB720918:VSB720921 WBX720918:WBX720921 WLT720918:WLT720921 WVP720918:WVP720921 H786454:H786457 JD786454:JD786457 SZ786454:SZ786457 ACV786454:ACV786457 AMR786454:AMR786457 AWN786454:AWN786457 BGJ786454:BGJ786457 BQF786454:BQF786457 CAB786454:CAB786457 CJX786454:CJX786457 CTT786454:CTT786457 DDP786454:DDP786457 DNL786454:DNL786457 DXH786454:DXH786457 EHD786454:EHD786457 EQZ786454:EQZ786457 FAV786454:FAV786457 FKR786454:FKR786457 FUN786454:FUN786457 GEJ786454:GEJ786457 GOF786454:GOF786457 GYB786454:GYB786457 HHX786454:HHX786457 HRT786454:HRT786457 IBP786454:IBP786457 ILL786454:ILL786457 IVH786454:IVH786457 JFD786454:JFD786457 JOZ786454:JOZ786457 JYV786454:JYV786457 KIR786454:KIR786457 KSN786454:KSN786457 LCJ786454:LCJ786457 LMF786454:LMF786457 LWB786454:LWB786457 MFX786454:MFX786457 MPT786454:MPT786457 MZP786454:MZP786457 NJL786454:NJL786457 NTH786454:NTH786457 ODD786454:ODD786457 OMZ786454:OMZ786457 OWV786454:OWV786457 PGR786454:PGR786457 PQN786454:PQN786457 QAJ786454:QAJ786457 QKF786454:QKF786457 QUB786454:QUB786457 RDX786454:RDX786457 RNT786454:RNT786457 RXP786454:RXP786457 SHL786454:SHL786457 SRH786454:SRH786457 TBD786454:TBD786457 TKZ786454:TKZ786457 TUV786454:TUV786457 UER786454:UER786457 UON786454:UON786457 UYJ786454:UYJ786457 VIF786454:VIF786457 VSB786454:VSB786457 WBX786454:WBX786457 WLT786454:WLT786457 WVP786454:WVP786457 H851990:H851993 JD851990:JD851993 SZ851990:SZ851993 ACV851990:ACV851993 AMR851990:AMR851993 AWN851990:AWN851993 BGJ851990:BGJ851993 BQF851990:BQF851993 CAB851990:CAB851993 CJX851990:CJX851993 CTT851990:CTT851993 DDP851990:DDP851993 DNL851990:DNL851993 DXH851990:DXH851993 EHD851990:EHD851993 EQZ851990:EQZ851993 FAV851990:FAV851993 FKR851990:FKR851993 FUN851990:FUN851993 GEJ851990:GEJ851993 GOF851990:GOF851993 GYB851990:GYB851993 HHX851990:HHX851993 HRT851990:HRT851993 IBP851990:IBP851993 ILL851990:ILL851993 IVH851990:IVH851993 JFD851990:JFD851993 JOZ851990:JOZ851993 JYV851990:JYV851993 KIR851990:KIR851993 KSN851990:KSN851993 LCJ851990:LCJ851993 LMF851990:LMF851993 LWB851990:LWB851993 MFX851990:MFX851993 MPT851990:MPT851993 MZP851990:MZP851993 NJL851990:NJL851993 NTH851990:NTH851993 ODD851990:ODD851993 OMZ851990:OMZ851993 OWV851990:OWV851993 PGR851990:PGR851993 PQN851990:PQN851993 QAJ851990:QAJ851993 QKF851990:QKF851993 QUB851990:QUB851993 RDX851990:RDX851993 RNT851990:RNT851993 RXP851990:RXP851993 SHL851990:SHL851993 SRH851990:SRH851993 TBD851990:TBD851993 TKZ851990:TKZ851993 TUV851990:TUV851993 UER851990:UER851993 UON851990:UON851993 UYJ851990:UYJ851993 VIF851990:VIF851993 VSB851990:VSB851993 WBX851990:WBX851993 WLT851990:WLT851993 WVP851990:WVP851993 H917526:H917529 JD917526:JD917529 SZ917526:SZ917529 ACV917526:ACV917529 AMR917526:AMR917529 AWN917526:AWN917529 BGJ917526:BGJ917529 BQF917526:BQF917529 CAB917526:CAB917529 CJX917526:CJX917529 CTT917526:CTT917529 DDP917526:DDP917529 DNL917526:DNL917529 DXH917526:DXH917529 EHD917526:EHD917529 EQZ917526:EQZ917529 FAV917526:FAV917529 FKR917526:FKR917529 FUN917526:FUN917529 GEJ917526:GEJ917529 GOF917526:GOF917529 GYB917526:GYB917529 HHX917526:HHX917529 HRT917526:HRT917529 IBP917526:IBP917529 ILL917526:ILL917529 IVH917526:IVH917529 JFD917526:JFD917529 JOZ917526:JOZ917529 JYV917526:JYV917529 KIR917526:KIR917529 KSN917526:KSN917529 LCJ917526:LCJ917529 LMF917526:LMF917529 LWB917526:LWB917529 MFX917526:MFX917529 MPT917526:MPT917529 MZP917526:MZP917529 NJL917526:NJL917529 NTH917526:NTH917529 ODD917526:ODD917529 OMZ917526:OMZ917529 OWV917526:OWV917529 PGR917526:PGR917529 PQN917526:PQN917529 QAJ917526:QAJ917529 QKF917526:QKF917529 QUB917526:QUB917529 RDX917526:RDX917529 RNT917526:RNT917529 RXP917526:RXP917529 SHL917526:SHL917529 SRH917526:SRH917529 TBD917526:TBD917529 TKZ917526:TKZ917529 TUV917526:TUV917529 UER917526:UER917529 UON917526:UON917529 UYJ917526:UYJ917529 VIF917526:VIF917529 VSB917526:VSB917529 WBX917526:WBX917529 WLT917526:WLT917529 WVP917526:WVP917529 H983062:H983065 JD983062:JD983065 SZ983062:SZ983065 ACV983062:ACV983065 AMR983062:AMR983065 AWN983062:AWN983065 BGJ983062:BGJ983065 BQF983062:BQF983065 CAB983062:CAB983065 CJX983062:CJX983065 CTT983062:CTT983065 DDP983062:DDP983065 DNL983062:DNL983065 DXH983062:DXH983065 EHD983062:EHD983065 EQZ983062:EQZ983065 FAV983062:FAV983065 FKR983062:FKR983065 FUN983062:FUN983065 GEJ983062:GEJ983065 GOF983062:GOF983065 GYB983062:GYB983065 HHX983062:HHX983065 HRT983062:HRT983065 IBP983062:IBP983065 ILL983062:ILL983065 IVH983062:IVH983065 JFD983062:JFD983065 JOZ983062:JOZ983065 JYV983062:JYV983065 KIR983062:KIR983065 KSN983062:KSN983065 LCJ983062:LCJ983065 LMF983062:LMF983065 LWB983062:LWB983065 MFX983062:MFX983065 MPT983062:MPT983065 MZP983062:MZP983065 NJL983062:NJL983065 NTH983062:NTH983065 ODD983062:ODD983065 OMZ983062:OMZ983065 OWV983062:OWV983065 PGR983062:PGR983065 PQN983062:PQN983065 QAJ983062:QAJ983065 QKF983062:QKF983065 QUB983062:QUB983065 RDX983062:RDX983065 RNT983062:RNT983065 RXP983062:RXP983065 SHL983062:SHL983065 SRH983062:SRH983065 TBD983062:TBD983065 TKZ983062:TKZ983065 TUV983062:TUV983065 UER983062:UER983065 UON983062:UON983065 UYJ983062:UYJ983065 VIF983062:VIF983065 VSB983062:VSB983065 WBX983062:WBX983065 WLT983062:WLT983065 WVP983062:WVP983065">
      <formula1>"月,季,半年"</formula1>
    </dataValidation>
  </dataValidations>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"月,2月,季,半年"</xm:f>
          </x14:formula1>
          <xm: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H9:H11 JD9:JD11 SZ9:SZ11 ACV9:ACV11 AMR9:AMR11 AWN9:AWN11 BGJ9:BGJ11 BQF9:BQF11 CAB9:CAB11 CJX9:CJX11 CTT9:CTT11 DDP9:DDP11 DNL9:DNL11 DXH9:DXH11 EHD9:EHD11 EQZ9:EQZ11 FAV9:FAV11 FKR9:FKR11 FUN9:FUN11 GEJ9:GEJ11 GOF9:GOF11 GYB9:GYB11 HHX9:HHX11 HRT9:HRT11 IBP9:IBP11 ILL9:ILL11 IVH9:IVH11 JFD9:JFD11 JOZ9:JOZ11 JYV9:JYV11 KIR9:KIR11 KSN9:KSN11 LCJ9:LCJ11 LMF9:LMF11 LWB9:LWB11 MFX9:MFX11 MPT9:MPT11 MZP9:MZP11 NJL9:NJL11 NTH9:NTH11 ODD9:ODD11 OMZ9:OMZ11 OWV9:OWV11 PGR9:PGR11 PQN9:PQN11 QAJ9:QAJ11 QKF9:QKF11 QUB9:QUB11 RDX9:RDX11 RNT9:RNT11 RXP9:RXP11 SHL9:SHL11 SRH9:SRH11 TBD9:TBD11 TKZ9:TKZ11 TUV9:TUV11 UER9:UER11 UON9:UON11 UYJ9:UYJ11 VIF9:VIF11 VSB9:VSB11 WBX9:WBX11 WLT9:WLT11 WVP9:WVP11 H65545:H65547 JD65545:JD65547 SZ65545:SZ65547 ACV65545:ACV65547 AMR65545:AMR65547 AWN65545:AWN65547 BGJ65545:BGJ65547 BQF65545:BQF65547 CAB65545:CAB65547 CJX65545:CJX65547 CTT65545:CTT65547 DDP65545:DDP65547 DNL65545:DNL65547 DXH65545:DXH65547 EHD65545:EHD65547 EQZ65545:EQZ65547 FAV65545:FAV65547 FKR65545:FKR65547 FUN65545:FUN65547 GEJ65545:GEJ65547 GOF65545:GOF65547 GYB65545:GYB65547 HHX65545:HHX65547 HRT65545:HRT65547 IBP65545:IBP65547 ILL65545:ILL65547 IVH65545:IVH65547 JFD65545:JFD65547 JOZ65545:JOZ65547 JYV65545:JYV65547 KIR65545:KIR65547 KSN65545:KSN65547 LCJ65545:LCJ65547 LMF65545:LMF65547 LWB65545:LWB65547 MFX65545:MFX65547 MPT65545:MPT65547 MZP65545:MZP65547 NJL65545:NJL65547 NTH65545:NTH65547 ODD65545:ODD65547 OMZ65545:OMZ65547 OWV65545:OWV65547 PGR65545:PGR65547 PQN65545:PQN65547 QAJ65545:QAJ65547 QKF65545:QKF65547 QUB65545:QUB65547 RDX65545:RDX65547 RNT65545:RNT65547 RXP65545:RXP65547 SHL65545:SHL65547 SRH65545:SRH65547 TBD65545:TBD65547 TKZ65545:TKZ65547 TUV65545:TUV65547 UER65545:UER65547 UON65545:UON65547 UYJ65545:UYJ65547 VIF65545:VIF65547 VSB65545:VSB65547 WBX65545:WBX65547 WLT65545:WLT65547 WVP65545:WVP65547 H131081:H131083 JD131081:JD131083 SZ131081:SZ131083 ACV131081:ACV131083 AMR131081:AMR131083 AWN131081:AWN131083 BGJ131081:BGJ131083 BQF131081:BQF131083 CAB131081:CAB131083 CJX131081:CJX131083 CTT131081:CTT131083 DDP131081:DDP131083 DNL131081:DNL131083 DXH131081:DXH131083 EHD131081:EHD131083 EQZ131081:EQZ131083 FAV131081:FAV131083 FKR131081:FKR131083 FUN131081:FUN131083 GEJ131081:GEJ131083 GOF131081:GOF131083 GYB131081:GYB131083 HHX131081:HHX131083 HRT131081:HRT131083 IBP131081:IBP131083 ILL131081:ILL131083 IVH131081:IVH131083 JFD131081:JFD131083 JOZ131081:JOZ131083 JYV131081:JYV131083 KIR131081:KIR131083 KSN131081:KSN131083 LCJ131081:LCJ131083 LMF131081:LMF131083 LWB131081:LWB131083 MFX131081:MFX131083 MPT131081:MPT131083 MZP131081:MZP131083 NJL131081:NJL131083 NTH131081:NTH131083 ODD131081:ODD131083 OMZ131081:OMZ131083 OWV131081:OWV131083 PGR131081:PGR131083 PQN131081:PQN131083 QAJ131081:QAJ131083 QKF131081:QKF131083 QUB131081:QUB131083 RDX131081:RDX131083 RNT131081:RNT131083 RXP131081:RXP131083 SHL131081:SHL131083 SRH131081:SRH131083 TBD131081:TBD131083 TKZ131081:TKZ131083 TUV131081:TUV131083 UER131081:UER131083 UON131081:UON131083 UYJ131081:UYJ131083 VIF131081:VIF131083 VSB131081:VSB131083 WBX131081:WBX131083 WLT131081:WLT131083 WVP131081:WVP131083 H196617:H196619 JD196617:JD196619 SZ196617:SZ196619 ACV196617:ACV196619 AMR196617:AMR196619 AWN196617:AWN196619 BGJ196617:BGJ196619 BQF196617:BQF196619 CAB196617:CAB196619 CJX196617:CJX196619 CTT196617:CTT196619 DDP196617:DDP196619 DNL196617:DNL196619 DXH196617:DXH196619 EHD196617:EHD196619 EQZ196617:EQZ196619 FAV196617:FAV196619 FKR196617:FKR196619 FUN196617:FUN196619 GEJ196617:GEJ196619 GOF196617:GOF196619 GYB196617:GYB196619 HHX196617:HHX196619 HRT196617:HRT196619 IBP196617:IBP196619 ILL196617:ILL196619 IVH196617:IVH196619 JFD196617:JFD196619 JOZ196617:JOZ196619 JYV196617:JYV196619 KIR196617:KIR196619 KSN196617:KSN196619 LCJ196617:LCJ196619 LMF196617:LMF196619 LWB196617:LWB196619 MFX196617:MFX196619 MPT196617:MPT196619 MZP196617:MZP196619 NJL196617:NJL196619 NTH196617:NTH196619 ODD196617:ODD196619 OMZ196617:OMZ196619 OWV196617:OWV196619 PGR196617:PGR196619 PQN196617:PQN196619 QAJ196617:QAJ196619 QKF196617:QKF196619 QUB196617:QUB196619 RDX196617:RDX196619 RNT196617:RNT196619 RXP196617:RXP196619 SHL196617:SHL196619 SRH196617:SRH196619 TBD196617:TBD196619 TKZ196617:TKZ196619 TUV196617:TUV196619 UER196617:UER196619 UON196617:UON196619 UYJ196617:UYJ196619 VIF196617:VIF196619 VSB196617:VSB196619 WBX196617:WBX196619 WLT196617:WLT196619 WVP196617:WVP196619 H262153:H262155 JD262153:JD262155 SZ262153:SZ262155 ACV262153:ACV262155 AMR262153:AMR262155 AWN262153:AWN262155 BGJ262153:BGJ262155 BQF262153:BQF262155 CAB262153:CAB262155 CJX262153:CJX262155 CTT262153:CTT262155 DDP262153:DDP262155 DNL262153:DNL262155 DXH262153:DXH262155 EHD262153:EHD262155 EQZ262153:EQZ262155 FAV262153:FAV262155 FKR262153:FKR262155 FUN262153:FUN262155 GEJ262153:GEJ262155 GOF262153:GOF262155 GYB262153:GYB262155 HHX262153:HHX262155 HRT262153:HRT262155 IBP262153:IBP262155 ILL262153:ILL262155 IVH262153:IVH262155 JFD262153:JFD262155 JOZ262153:JOZ262155 JYV262153:JYV262155 KIR262153:KIR262155 KSN262153:KSN262155 LCJ262153:LCJ262155 LMF262153:LMF262155 LWB262153:LWB262155 MFX262153:MFX262155 MPT262153:MPT262155 MZP262153:MZP262155 NJL262153:NJL262155 NTH262153:NTH262155 ODD262153:ODD262155 OMZ262153:OMZ262155 OWV262153:OWV262155 PGR262153:PGR262155 PQN262153:PQN262155 QAJ262153:QAJ262155 QKF262153:QKF262155 QUB262153:QUB262155 RDX262153:RDX262155 RNT262153:RNT262155 RXP262153:RXP262155 SHL262153:SHL262155 SRH262153:SRH262155 TBD262153:TBD262155 TKZ262153:TKZ262155 TUV262153:TUV262155 UER262153:UER262155 UON262153:UON262155 UYJ262153:UYJ262155 VIF262153:VIF262155 VSB262153:VSB262155 WBX262153:WBX262155 WLT262153:WLT262155 WVP262153:WVP262155 H327689:H327691 JD327689:JD327691 SZ327689:SZ327691 ACV327689:ACV327691 AMR327689:AMR327691 AWN327689:AWN327691 BGJ327689:BGJ327691 BQF327689:BQF327691 CAB327689:CAB327691 CJX327689:CJX327691 CTT327689:CTT327691 DDP327689:DDP327691 DNL327689:DNL327691 DXH327689:DXH327691 EHD327689:EHD327691 EQZ327689:EQZ327691 FAV327689:FAV327691 FKR327689:FKR327691 FUN327689:FUN327691 GEJ327689:GEJ327691 GOF327689:GOF327691 GYB327689:GYB327691 HHX327689:HHX327691 HRT327689:HRT327691 IBP327689:IBP327691 ILL327689:ILL327691 IVH327689:IVH327691 JFD327689:JFD327691 JOZ327689:JOZ327691 JYV327689:JYV327691 KIR327689:KIR327691 KSN327689:KSN327691 LCJ327689:LCJ327691 LMF327689:LMF327691 LWB327689:LWB327691 MFX327689:MFX327691 MPT327689:MPT327691 MZP327689:MZP327691 NJL327689:NJL327691 NTH327689:NTH327691 ODD327689:ODD327691 OMZ327689:OMZ327691 OWV327689:OWV327691 PGR327689:PGR327691 PQN327689:PQN327691 QAJ327689:QAJ327691 QKF327689:QKF327691 QUB327689:QUB327691 RDX327689:RDX327691 RNT327689:RNT327691 RXP327689:RXP327691 SHL327689:SHL327691 SRH327689:SRH327691 TBD327689:TBD327691 TKZ327689:TKZ327691 TUV327689:TUV327691 UER327689:UER327691 UON327689:UON327691 UYJ327689:UYJ327691 VIF327689:VIF327691 VSB327689:VSB327691 WBX327689:WBX327691 WLT327689:WLT327691 WVP327689:WVP327691 H393225:H393227 JD393225:JD393227 SZ393225:SZ393227 ACV393225:ACV393227 AMR393225:AMR393227 AWN393225:AWN393227 BGJ393225:BGJ393227 BQF393225:BQF393227 CAB393225:CAB393227 CJX393225:CJX393227 CTT393225:CTT393227 DDP393225:DDP393227 DNL393225:DNL393227 DXH393225:DXH393227 EHD393225:EHD393227 EQZ393225:EQZ393227 FAV393225:FAV393227 FKR393225:FKR393227 FUN393225:FUN393227 GEJ393225:GEJ393227 GOF393225:GOF393227 GYB393225:GYB393227 HHX393225:HHX393227 HRT393225:HRT393227 IBP393225:IBP393227 ILL393225:ILL393227 IVH393225:IVH393227 JFD393225:JFD393227 JOZ393225:JOZ393227 JYV393225:JYV393227 KIR393225:KIR393227 KSN393225:KSN393227 LCJ393225:LCJ393227 LMF393225:LMF393227 LWB393225:LWB393227 MFX393225:MFX393227 MPT393225:MPT393227 MZP393225:MZP393227 NJL393225:NJL393227 NTH393225:NTH393227 ODD393225:ODD393227 OMZ393225:OMZ393227 OWV393225:OWV393227 PGR393225:PGR393227 PQN393225:PQN393227 QAJ393225:QAJ393227 QKF393225:QKF393227 QUB393225:QUB393227 RDX393225:RDX393227 RNT393225:RNT393227 RXP393225:RXP393227 SHL393225:SHL393227 SRH393225:SRH393227 TBD393225:TBD393227 TKZ393225:TKZ393227 TUV393225:TUV393227 UER393225:UER393227 UON393225:UON393227 UYJ393225:UYJ393227 VIF393225:VIF393227 VSB393225:VSB393227 WBX393225:WBX393227 WLT393225:WLT393227 WVP393225:WVP393227 H458761:H458763 JD458761:JD458763 SZ458761:SZ458763 ACV458761:ACV458763 AMR458761:AMR458763 AWN458761:AWN458763 BGJ458761:BGJ458763 BQF458761:BQF458763 CAB458761:CAB458763 CJX458761:CJX458763 CTT458761:CTT458763 DDP458761:DDP458763 DNL458761:DNL458763 DXH458761:DXH458763 EHD458761:EHD458763 EQZ458761:EQZ458763 FAV458761:FAV458763 FKR458761:FKR458763 FUN458761:FUN458763 GEJ458761:GEJ458763 GOF458761:GOF458763 GYB458761:GYB458763 HHX458761:HHX458763 HRT458761:HRT458763 IBP458761:IBP458763 ILL458761:ILL458763 IVH458761:IVH458763 JFD458761:JFD458763 JOZ458761:JOZ458763 JYV458761:JYV458763 KIR458761:KIR458763 KSN458761:KSN458763 LCJ458761:LCJ458763 LMF458761:LMF458763 LWB458761:LWB458763 MFX458761:MFX458763 MPT458761:MPT458763 MZP458761:MZP458763 NJL458761:NJL458763 NTH458761:NTH458763 ODD458761:ODD458763 OMZ458761:OMZ458763 OWV458761:OWV458763 PGR458761:PGR458763 PQN458761:PQN458763 QAJ458761:QAJ458763 QKF458761:QKF458763 QUB458761:QUB458763 RDX458761:RDX458763 RNT458761:RNT458763 RXP458761:RXP458763 SHL458761:SHL458763 SRH458761:SRH458763 TBD458761:TBD458763 TKZ458761:TKZ458763 TUV458761:TUV458763 UER458761:UER458763 UON458761:UON458763 UYJ458761:UYJ458763 VIF458761:VIF458763 VSB458761:VSB458763 WBX458761:WBX458763 WLT458761:WLT458763 WVP458761:WVP458763 H524297:H524299 JD524297:JD524299 SZ524297:SZ524299 ACV524297:ACV524299 AMR524297:AMR524299 AWN524297:AWN524299 BGJ524297:BGJ524299 BQF524297:BQF524299 CAB524297:CAB524299 CJX524297:CJX524299 CTT524297:CTT524299 DDP524297:DDP524299 DNL524297:DNL524299 DXH524297:DXH524299 EHD524297:EHD524299 EQZ524297:EQZ524299 FAV524297:FAV524299 FKR524297:FKR524299 FUN524297:FUN524299 GEJ524297:GEJ524299 GOF524297:GOF524299 GYB524297:GYB524299 HHX524297:HHX524299 HRT524297:HRT524299 IBP524297:IBP524299 ILL524297:ILL524299 IVH524297:IVH524299 JFD524297:JFD524299 JOZ524297:JOZ524299 JYV524297:JYV524299 KIR524297:KIR524299 KSN524297:KSN524299 LCJ524297:LCJ524299 LMF524297:LMF524299 LWB524297:LWB524299 MFX524297:MFX524299 MPT524297:MPT524299 MZP524297:MZP524299 NJL524297:NJL524299 NTH524297:NTH524299 ODD524297:ODD524299 OMZ524297:OMZ524299 OWV524297:OWV524299 PGR524297:PGR524299 PQN524297:PQN524299 QAJ524297:QAJ524299 QKF524297:QKF524299 QUB524297:QUB524299 RDX524297:RDX524299 RNT524297:RNT524299 RXP524297:RXP524299 SHL524297:SHL524299 SRH524297:SRH524299 TBD524297:TBD524299 TKZ524297:TKZ524299 TUV524297:TUV524299 UER524297:UER524299 UON524297:UON524299 UYJ524297:UYJ524299 VIF524297:VIF524299 VSB524297:VSB524299 WBX524297:WBX524299 WLT524297:WLT524299 WVP524297:WVP524299 H589833:H589835 JD589833:JD589835 SZ589833:SZ589835 ACV589833:ACV589835 AMR589833:AMR589835 AWN589833:AWN589835 BGJ589833:BGJ589835 BQF589833:BQF589835 CAB589833:CAB589835 CJX589833:CJX589835 CTT589833:CTT589835 DDP589833:DDP589835 DNL589833:DNL589835 DXH589833:DXH589835 EHD589833:EHD589835 EQZ589833:EQZ589835 FAV589833:FAV589835 FKR589833:FKR589835 FUN589833:FUN589835 GEJ589833:GEJ589835 GOF589833:GOF589835 GYB589833:GYB589835 HHX589833:HHX589835 HRT589833:HRT589835 IBP589833:IBP589835 ILL589833:ILL589835 IVH589833:IVH589835 JFD589833:JFD589835 JOZ589833:JOZ589835 JYV589833:JYV589835 KIR589833:KIR589835 KSN589833:KSN589835 LCJ589833:LCJ589835 LMF589833:LMF589835 LWB589833:LWB589835 MFX589833:MFX589835 MPT589833:MPT589835 MZP589833:MZP589835 NJL589833:NJL589835 NTH589833:NTH589835 ODD589833:ODD589835 OMZ589833:OMZ589835 OWV589833:OWV589835 PGR589833:PGR589835 PQN589833:PQN589835 QAJ589833:QAJ589835 QKF589833:QKF589835 QUB589833:QUB589835 RDX589833:RDX589835 RNT589833:RNT589835 RXP589833:RXP589835 SHL589833:SHL589835 SRH589833:SRH589835 TBD589833:TBD589835 TKZ589833:TKZ589835 TUV589833:TUV589835 UER589833:UER589835 UON589833:UON589835 UYJ589833:UYJ589835 VIF589833:VIF589835 VSB589833:VSB589835 WBX589833:WBX589835 WLT589833:WLT589835 WVP589833:WVP589835 H655369:H655371 JD655369:JD655371 SZ655369:SZ655371 ACV655369:ACV655371 AMR655369:AMR655371 AWN655369:AWN655371 BGJ655369:BGJ655371 BQF655369:BQF655371 CAB655369:CAB655371 CJX655369:CJX655371 CTT655369:CTT655371 DDP655369:DDP655371 DNL655369:DNL655371 DXH655369:DXH655371 EHD655369:EHD655371 EQZ655369:EQZ655371 FAV655369:FAV655371 FKR655369:FKR655371 FUN655369:FUN655371 GEJ655369:GEJ655371 GOF655369:GOF655371 GYB655369:GYB655371 HHX655369:HHX655371 HRT655369:HRT655371 IBP655369:IBP655371 ILL655369:ILL655371 IVH655369:IVH655371 JFD655369:JFD655371 JOZ655369:JOZ655371 JYV655369:JYV655371 KIR655369:KIR655371 KSN655369:KSN655371 LCJ655369:LCJ655371 LMF655369:LMF655371 LWB655369:LWB655371 MFX655369:MFX655371 MPT655369:MPT655371 MZP655369:MZP655371 NJL655369:NJL655371 NTH655369:NTH655371 ODD655369:ODD655371 OMZ655369:OMZ655371 OWV655369:OWV655371 PGR655369:PGR655371 PQN655369:PQN655371 QAJ655369:QAJ655371 QKF655369:QKF655371 QUB655369:QUB655371 RDX655369:RDX655371 RNT655369:RNT655371 RXP655369:RXP655371 SHL655369:SHL655371 SRH655369:SRH655371 TBD655369:TBD655371 TKZ655369:TKZ655371 TUV655369:TUV655371 UER655369:UER655371 UON655369:UON655371 UYJ655369:UYJ655371 VIF655369:VIF655371 VSB655369:VSB655371 WBX655369:WBX655371 WLT655369:WLT655371 WVP655369:WVP655371 H720905:H720907 JD720905:JD720907 SZ720905:SZ720907 ACV720905:ACV720907 AMR720905:AMR720907 AWN720905:AWN720907 BGJ720905:BGJ720907 BQF720905:BQF720907 CAB720905:CAB720907 CJX720905:CJX720907 CTT720905:CTT720907 DDP720905:DDP720907 DNL720905:DNL720907 DXH720905:DXH720907 EHD720905:EHD720907 EQZ720905:EQZ720907 FAV720905:FAV720907 FKR720905:FKR720907 FUN720905:FUN720907 GEJ720905:GEJ720907 GOF720905:GOF720907 GYB720905:GYB720907 HHX720905:HHX720907 HRT720905:HRT720907 IBP720905:IBP720907 ILL720905:ILL720907 IVH720905:IVH720907 JFD720905:JFD720907 JOZ720905:JOZ720907 JYV720905:JYV720907 KIR720905:KIR720907 KSN720905:KSN720907 LCJ720905:LCJ720907 LMF720905:LMF720907 LWB720905:LWB720907 MFX720905:MFX720907 MPT720905:MPT720907 MZP720905:MZP720907 NJL720905:NJL720907 NTH720905:NTH720907 ODD720905:ODD720907 OMZ720905:OMZ720907 OWV720905:OWV720907 PGR720905:PGR720907 PQN720905:PQN720907 QAJ720905:QAJ720907 QKF720905:QKF720907 QUB720905:QUB720907 RDX720905:RDX720907 RNT720905:RNT720907 RXP720905:RXP720907 SHL720905:SHL720907 SRH720905:SRH720907 TBD720905:TBD720907 TKZ720905:TKZ720907 TUV720905:TUV720907 UER720905:UER720907 UON720905:UON720907 UYJ720905:UYJ720907 VIF720905:VIF720907 VSB720905:VSB720907 WBX720905:WBX720907 WLT720905:WLT720907 WVP720905:WVP720907 H786441:H786443 JD786441:JD786443 SZ786441:SZ786443 ACV786441:ACV786443 AMR786441:AMR786443 AWN786441:AWN786443 BGJ786441:BGJ786443 BQF786441:BQF786443 CAB786441:CAB786443 CJX786441:CJX786443 CTT786441:CTT786443 DDP786441:DDP786443 DNL786441:DNL786443 DXH786441:DXH786443 EHD786441:EHD786443 EQZ786441:EQZ786443 FAV786441:FAV786443 FKR786441:FKR786443 FUN786441:FUN786443 GEJ786441:GEJ786443 GOF786441:GOF786443 GYB786441:GYB786443 HHX786441:HHX786443 HRT786441:HRT786443 IBP786441:IBP786443 ILL786441:ILL786443 IVH786441:IVH786443 JFD786441:JFD786443 JOZ786441:JOZ786443 JYV786441:JYV786443 KIR786441:KIR786443 KSN786441:KSN786443 LCJ786441:LCJ786443 LMF786441:LMF786443 LWB786441:LWB786443 MFX786441:MFX786443 MPT786441:MPT786443 MZP786441:MZP786443 NJL786441:NJL786443 NTH786441:NTH786443 ODD786441:ODD786443 OMZ786441:OMZ786443 OWV786441:OWV786443 PGR786441:PGR786443 PQN786441:PQN786443 QAJ786441:QAJ786443 QKF786441:QKF786443 QUB786441:QUB786443 RDX786441:RDX786443 RNT786441:RNT786443 RXP786441:RXP786443 SHL786441:SHL786443 SRH786441:SRH786443 TBD786441:TBD786443 TKZ786441:TKZ786443 TUV786441:TUV786443 UER786441:UER786443 UON786441:UON786443 UYJ786441:UYJ786443 VIF786441:VIF786443 VSB786441:VSB786443 WBX786441:WBX786443 WLT786441:WLT786443 WVP786441:WVP786443 H851977:H851979 JD851977:JD851979 SZ851977:SZ851979 ACV851977:ACV851979 AMR851977:AMR851979 AWN851977:AWN851979 BGJ851977:BGJ851979 BQF851977:BQF851979 CAB851977:CAB851979 CJX851977:CJX851979 CTT851977:CTT851979 DDP851977:DDP851979 DNL851977:DNL851979 DXH851977:DXH851979 EHD851977:EHD851979 EQZ851977:EQZ851979 FAV851977:FAV851979 FKR851977:FKR851979 FUN851977:FUN851979 GEJ851977:GEJ851979 GOF851977:GOF851979 GYB851977:GYB851979 HHX851977:HHX851979 HRT851977:HRT851979 IBP851977:IBP851979 ILL851977:ILL851979 IVH851977:IVH851979 JFD851977:JFD851979 JOZ851977:JOZ851979 JYV851977:JYV851979 KIR851977:KIR851979 KSN851977:KSN851979 LCJ851977:LCJ851979 LMF851977:LMF851979 LWB851977:LWB851979 MFX851977:MFX851979 MPT851977:MPT851979 MZP851977:MZP851979 NJL851977:NJL851979 NTH851977:NTH851979 ODD851977:ODD851979 OMZ851977:OMZ851979 OWV851977:OWV851979 PGR851977:PGR851979 PQN851977:PQN851979 QAJ851977:QAJ851979 QKF851977:QKF851979 QUB851977:QUB851979 RDX851977:RDX851979 RNT851977:RNT851979 RXP851977:RXP851979 SHL851977:SHL851979 SRH851977:SRH851979 TBD851977:TBD851979 TKZ851977:TKZ851979 TUV851977:TUV851979 UER851977:UER851979 UON851977:UON851979 UYJ851977:UYJ851979 VIF851977:VIF851979 VSB851977:VSB851979 WBX851977:WBX851979 WLT851977:WLT851979 WVP851977:WVP851979 H917513:H917515 JD917513:JD917515 SZ917513:SZ917515 ACV917513:ACV917515 AMR917513:AMR917515 AWN917513:AWN917515 BGJ917513:BGJ917515 BQF917513:BQF917515 CAB917513:CAB917515 CJX917513:CJX917515 CTT917513:CTT917515 DDP917513:DDP917515 DNL917513:DNL917515 DXH917513:DXH917515 EHD917513:EHD917515 EQZ917513:EQZ917515 FAV917513:FAV917515 FKR917513:FKR917515 FUN917513:FUN917515 GEJ917513:GEJ917515 GOF917513:GOF917515 GYB917513:GYB917515 HHX917513:HHX917515 HRT917513:HRT917515 IBP917513:IBP917515 ILL917513:ILL917515 IVH917513:IVH917515 JFD917513:JFD917515 JOZ917513:JOZ917515 JYV917513:JYV917515 KIR917513:KIR917515 KSN917513:KSN917515 LCJ917513:LCJ917515 LMF917513:LMF917515 LWB917513:LWB917515 MFX917513:MFX917515 MPT917513:MPT917515 MZP917513:MZP917515 NJL917513:NJL917515 NTH917513:NTH917515 ODD917513:ODD917515 OMZ917513:OMZ917515 OWV917513:OWV917515 PGR917513:PGR917515 PQN917513:PQN917515 QAJ917513:QAJ917515 QKF917513:QKF917515 QUB917513:QUB917515 RDX917513:RDX917515 RNT917513:RNT917515 RXP917513:RXP917515 SHL917513:SHL917515 SRH917513:SRH917515 TBD917513:TBD917515 TKZ917513:TKZ917515 TUV917513:TUV917515 UER917513:UER917515 UON917513:UON917515 UYJ917513:UYJ917515 VIF917513:VIF917515 VSB917513:VSB917515 WBX917513:WBX917515 WLT917513:WLT917515 WVP917513:WVP917515 H983049:H983051 JD983049:JD983051 SZ983049:SZ983051 ACV983049:ACV983051 AMR983049:AMR983051 AWN983049:AWN983051 BGJ983049:BGJ983051 BQF983049:BQF983051 CAB983049:CAB983051 CJX983049:CJX983051 CTT983049:CTT983051 DDP983049:DDP983051 DNL983049:DNL983051 DXH983049:DXH983051 EHD983049:EHD983051 EQZ983049:EQZ983051 FAV983049:FAV983051 FKR983049:FKR983051 FUN983049:FUN983051 GEJ983049:GEJ983051 GOF983049:GOF983051 GYB983049:GYB983051 HHX983049:HHX983051 HRT983049:HRT983051 IBP983049:IBP983051 ILL983049:ILL983051 IVH983049:IVH983051 JFD983049:JFD983051 JOZ983049:JOZ983051 JYV983049:JYV983051 KIR983049:KIR983051 KSN983049:KSN983051 LCJ983049:LCJ983051 LMF983049:LMF983051 LWB983049:LWB983051 MFX983049:MFX983051 MPT983049:MPT983051 MZP983049:MZP983051 NJL983049:NJL983051 NTH983049:NTH983051 ODD983049:ODD983051 OMZ983049:OMZ983051 OWV983049:OWV983051 PGR983049:PGR983051 PQN983049:PQN983051 QAJ983049:QAJ983051 QKF983049:QKF983051 QUB983049:QUB983051 RDX983049:RDX983051 RNT983049:RNT983051 RXP983049:RXP983051 SHL983049:SHL983051 SRH983049:SRH983051 TBD983049:TBD983051 TKZ983049:TKZ983051 TUV983049:TUV983051 UER983049:UER983051 UON983049:UON983051 UYJ983049:UYJ983051 VIF983049:VIF983051 VSB983049:VSB983051 WBX983049:WBX983051 WLT983049:WLT983051 WVP983049:WVP983051 H13:H21 JD13:JD21 SZ13:SZ21 ACV13:ACV21 AMR13:AMR21 AWN13:AWN21 BGJ13:BGJ21 BQF13:BQF21 CAB13:CAB21 CJX13:CJX21 CTT13:CTT21 DDP13:DDP21 DNL13:DNL21 DXH13:DXH21 EHD13:EHD21 EQZ13:EQZ21 FAV13:FAV21 FKR13:FKR21 FUN13:FUN21 GEJ13:GEJ21 GOF13:GOF21 GYB13:GYB21 HHX13:HHX21 HRT13:HRT21 IBP13:IBP21 ILL13:ILL21 IVH13:IVH21 JFD13:JFD21 JOZ13:JOZ21 JYV13:JYV21 KIR13:KIR21 KSN13:KSN21 LCJ13:LCJ21 LMF13:LMF21 LWB13:LWB21 MFX13:MFX21 MPT13:MPT21 MZP13:MZP21 NJL13:NJL21 NTH13:NTH21 ODD13:ODD21 OMZ13:OMZ21 OWV13:OWV21 PGR13:PGR21 PQN13:PQN21 QAJ13:QAJ21 QKF13:QKF21 QUB13:QUB21 RDX13:RDX21 RNT13:RNT21 RXP13:RXP21 SHL13:SHL21 SRH13:SRH21 TBD13:TBD21 TKZ13:TKZ21 TUV13:TUV21 UER13:UER21 UON13:UON21 UYJ13:UYJ21 VIF13:VIF21 VSB13:VSB21 WBX13:WBX21 WLT13:WLT21 WVP13:WVP21 H65549:H65557 JD65549:JD65557 SZ65549:SZ65557 ACV65549:ACV65557 AMR65549:AMR65557 AWN65549:AWN65557 BGJ65549:BGJ65557 BQF65549:BQF65557 CAB65549:CAB65557 CJX65549:CJX65557 CTT65549:CTT65557 DDP65549:DDP65557 DNL65549:DNL65557 DXH65549:DXH65557 EHD65549:EHD65557 EQZ65549:EQZ65557 FAV65549:FAV65557 FKR65549:FKR65557 FUN65549:FUN65557 GEJ65549:GEJ65557 GOF65549:GOF65557 GYB65549:GYB65557 HHX65549:HHX65557 HRT65549:HRT65557 IBP65549:IBP65557 ILL65549:ILL65557 IVH65549:IVH65557 JFD65549:JFD65557 JOZ65549:JOZ65557 JYV65549:JYV65557 KIR65549:KIR65557 KSN65549:KSN65557 LCJ65549:LCJ65557 LMF65549:LMF65557 LWB65549:LWB65557 MFX65549:MFX65557 MPT65549:MPT65557 MZP65549:MZP65557 NJL65549:NJL65557 NTH65549:NTH65557 ODD65549:ODD65557 OMZ65549:OMZ65557 OWV65549:OWV65557 PGR65549:PGR65557 PQN65549:PQN65557 QAJ65549:QAJ65557 QKF65549:QKF65557 QUB65549:QUB65557 RDX65549:RDX65557 RNT65549:RNT65557 RXP65549:RXP65557 SHL65549:SHL65557 SRH65549:SRH65557 TBD65549:TBD65557 TKZ65549:TKZ65557 TUV65549:TUV65557 UER65549:UER65557 UON65549:UON65557 UYJ65549:UYJ65557 VIF65549:VIF65557 VSB65549:VSB65557 WBX65549:WBX65557 WLT65549:WLT65557 WVP65549:WVP65557 H131085:H131093 JD131085:JD131093 SZ131085:SZ131093 ACV131085:ACV131093 AMR131085:AMR131093 AWN131085:AWN131093 BGJ131085:BGJ131093 BQF131085:BQF131093 CAB131085:CAB131093 CJX131085:CJX131093 CTT131085:CTT131093 DDP131085:DDP131093 DNL131085:DNL131093 DXH131085:DXH131093 EHD131085:EHD131093 EQZ131085:EQZ131093 FAV131085:FAV131093 FKR131085:FKR131093 FUN131085:FUN131093 GEJ131085:GEJ131093 GOF131085:GOF131093 GYB131085:GYB131093 HHX131085:HHX131093 HRT131085:HRT131093 IBP131085:IBP131093 ILL131085:ILL131093 IVH131085:IVH131093 JFD131085:JFD131093 JOZ131085:JOZ131093 JYV131085:JYV131093 KIR131085:KIR131093 KSN131085:KSN131093 LCJ131085:LCJ131093 LMF131085:LMF131093 LWB131085:LWB131093 MFX131085:MFX131093 MPT131085:MPT131093 MZP131085:MZP131093 NJL131085:NJL131093 NTH131085:NTH131093 ODD131085:ODD131093 OMZ131085:OMZ131093 OWV131085:OWV131093 PGR131085:PGR131093 PQN131085:PQN131093 QAJ131085:QAJ131093 QKF131085:QKF131093 QUB131085:QUB131093 RDX131085:RDX131093 RNT131085:RNT131093 RXP131085:RXP131093 SHL131085:SHL131093 SRH131085:SRH131093 TBD131085:TBD131093 TKZ131085:TKZ131093 TUV131085:TUV131093 UER131085:UER131093 UON131085:UON131093 UYJ131085:UYJ131093 VIF131085:VIF131093 VSB131085:VSB131093 WBX131085:WBX131093 WLT131085:WLT131093 WVP131085:WVP131093 H196621:H196629 JD196621:JD196629 SZ196621:SZ196629 ACV196621:ACV196629 AMR196621:AMR196629 AWN196621:AWN196629 BGJ196621:BGJ196629 BQF196621:BQF196629 CAB196621:CAB196629 CJX196621:CJX196629 CTT196621:CTT196629 DDP196621:DDP196629 DNL196621:DNL196629 DXH196621:DXH196629 EHD196621:EHD196629 EQZ196621:EQZ196629 FAV196621:FAV196629 FKR196621:FKR196629 FUN196621:FUN196629 GEJ196621:GEJ196629 GOF196621:GOF196629 GYB196621:GYB196629 HHX196621:HHX196629 HRT196621:HRT196629 IBP196621:IBP196629 ILL196621:ILL196629 IVH196621:IVH196629 JFD196621:JFD196629 JOZ196621:JOZ196629 JYV196621:JYV196629 KIR196621:KIR196629 KSN196621:KSN196629 LCJ196621:LCJ196629 LMF196621:LMF196629 LWB196621:LWB196629 MFX196621:MFX196629 MPT196621:MPT196629 MZP196621:MZP196629 NJL196621:NJL196629 NTH196621:NTH196629 ODD196621:ODD196629 OMZ196621:OMZ196629 OWV196621:OWV196629 PGR196621:PGR196629 PQN196621:PQN196629 QAJ196621:QAJ196629 QKF196621:QKF196629 QUB196621:QUB196629 RDX196621:RDX196629 RNT196621:RNT196629 RXP196621:RXP196629 SHL196621:SHL196629 SRH196621:SRH196629 TBD196621:TBD196629 TKZ196621:TKZ196629 TUV196621:TUV196629 UER196621:UER196629 UON196621:UON196629 UYJ196621:UYJ196629 VIF196621:VIF196629 VSB196621:VSB196629 WBX196621:WBX196629 WLT196621:WLT196629 WVP196621:WVP196629 H262157:H262165 JD262157:JD262165 SZ262157:SZ262165 ACV262157:ACV262165 AMR262157:AMR262165 AWN262157:AWN262165 BGJ262157:BGJ262165 BQF262157:BQF262165 CAB262157:CAB262165 CJX262157:CJX262165 CTT262157:CTT262165 DDP262157:DDP262165 DNL262157:DNL262165 DXH262157:DXH262165 EHD262157:EHD262165 EQZ262157:EQZ262165 FAV262157:FAV262165 FKR262157:FKR262165 FUN262157:FUN262165 GEJ262157:GEJ262165 GOF262157:GOF262165 GYB262157:GYB262165 HHX262157:HHX262165 HRT262157:HRT262165 IBP262157:IBP262165 ILL262157:ILL262165 IVH262157:IVH262165 JFD262157:JFD262165 JOZ262157:JOZ262165 JYV262157:JYV262165 KIR262157:KIR262165 KSN262157:KSN262165 LCJ262157:LCJ262165 LMF262157:LMF262165 LWB262157:LWB262165 MFX262157:MFX262165 MPT262157:MPT262165 MZP262157:MZP262165 NJL262157:NJL262165 NTH262157:NTH262165 ODD262157:ODD262165 OMZ262157:OMZ262165 OWV262157:OWV262165 PGR262157:PGR262165 PQN262157:PQN262165 QAJ262157:QAJ262165 QKF262157:QKF262165 QUB262157:QUB262165 RDX262157:RDX262165 RNT262157:RNT262165 RXP262157:RXP262165 SHL262157:SHL262165 SRH262157:SRH262165 TBD262157:TBD262165 TKZ262157:TKZ262165 TUV262157:TUV262165 UER262157:UER262165 UON262157:UON262165 UYJ262157:UYJ262165 VIF262157:VIF262165 VSB262157:VSB262165 WBX262157:WBX262165 WLT262157:WLT262165 WVP262157:WVP262165 H327693:H327701 JD327693:JD327701 SZ327693:SZ327701 ACV327693:ACV327701 AMR327693:AMR327701 AWN327693:AWN327701 BGJ327693:BGJ327701 BQF327693:BQF327701 CAB327693:CAB327701 CJX327693:CJX327701 CTT327693:CTT327701 DDP327693:DDP327701 DNL327693:DNL327701 DXH327693:DXH327701 EHD327693:EHD327701 EQZ327693:EQZ327701 FAV327693:FAV327701 FKR327693:FKR327701 FUN327693:FUN327701 GEJ327693:GEJ327701 GOF327693:GOF327701 GYB327693:GYB327701 HHX327693:HHX327701 HRT327693:HRT327701 IBP327693:IBP327701 ILL327693:ILL327701 IVH327693:IVH327701 JFD327693:JFD327701 JOZ327693:JOZ327701 JYV327693:JYV327701 KIR327693:KIR327701 KSN327693:KSN327701 LCJ327693:LCJ327701 LMF327693:LMF327701 LWB327693:LWB327701 MFX327693:MFX327701 MPT327693:MPT327701 MZP327693:MZP327701 NJL327693:NJL327701 NTH327693:NTH327701 ODD327693:ODD327701 OMZ327693:OMZ327701 OWV327693:OWV327701 PGR327693:PGR327701 PQN327693:PQN327701 QAJ327693:QAJ327701 QKF327693:QKF327701 QUB327693:QUB327701 RDX327693:RDX327701 RNT327693:RNT327701 RXP327693:RXP327701 SHL327693:SHL327701 SRH327693:SRH327701 TBD327693:TBD327701 TKZ327693:TKZ327701 TUV327693:TUV327701 UER327693:UER327701 UON327693:UON327701 UYJ327693:UYJ327701 VIF327693:VIF327701 VSB327693:VSB327701 WBX327693:WBX327701 WLT327693:WLT327701 WVP327693:WVP327701 H393229:H393237 JD393229:JD393237 SZ393229:SZ393237 ACV393229:ACV393237 AMR393229:AMR393237 AWN393229:AWN393237 BGJ393229:BGJ393237 BQF393229:BQF393237 CAB393229:CAB393237 CJX393229:CJX393237 CTT393229:CTT393237 DDP393229:DDP393237 DNL393229:DNL393237 DXH393229:DXH393237 EHD393229:EHD393237 EQZ393229:EQZ393237 FAV393229:FAV393237 FKR393229:FKR393237 FUN393229:FUN393237 GEJ393229:GEJ393237 GOF393229:GOF393237 GYB393229:GYB393237 HHX393229:HHX393237 HRT393229:HRT393237 IBP393229:IBP393237 ILL393229:ILL393237 IVH393229:IVH393237 JFD393229:JFD393237 JOZ393229:JOZ393237 JYV393229:JYV393237 KIR393229:KIR393237 KSN393229:KSN393237 LCJ393229:LCJ393237 LMF393229:LMF393237 LWB393229:LWB393237 MFX393229:MFX393237 MPT393229:MPT393237 MZP393229:MZP393237 NJL393229:NJL393237 NTH393229:NTH393237 ODD393229:ODD393237 OMZ393229:OMZ393237 OWV393229:OWV393237 PGR393229:PGR393237 PQN393229:PQN393237 QAJ393229:QAJ393237 QKF393229:QKF393237 QUB393229:QUB393237 RDX393229:RDX393237 RNT393229:RNT393237 RXP393229:RXP393237 SHL393229:SHL393237 SRH393229:SRH393237 TBD393229:TBD393237 TKZ393229:TKZ393237 TUV393229:TUV393237 UER393229:UER393237 UON393229:UON393237 UYJ393229:UYJ393237 VIF393229:VIF393237 VSB393229:VSB393237 WBX393229:WBX393237 WLT393229:WLT393237 WVP393229:WVP393237 H458765:H458773 JD458765:JD458773 SZ458765:SZ458773 ACV458765:ACV458773 AMR458765:AMR458773 AWN458765:AWN458773 BGJ458765:BGJ458773 BQF458765:BQF458773 CAB458765:CAB458773 CJX458765:CJX458773 CTT458765:CTT458773 DDP458765:DDP458773 DNL458765:DNL458773 DXH458765:DXH458773 EHD458765:EHD458773 EQZ458765:EQZ458773 FAV458765:FAV458773 FKR458765:FKR458773 FUN458765:FUN458773 GEJ458765:GEJ458773 GOF458765:GOF458773 GYB458765:GYB458773 HHX458765:HHX458773 HRT458765:HRT458773 IBP458765:IBP458773 ILL458765:ILL458773 IVH458765:IVH458773 JFD458765:JFD458773 JOZ458765:JOZ458773 JYV458765:JYV458773 KIR458765:KIR458773 KSN458765:KSN458773 LCJ458765:LCJ458773 LMF458765:LMF458773 LWB458765:LWB458773 MFX458765:MFX458773 MPT458765:MPT458773 MZP458765:MZP458773 NJL458765:NJL458773 NTH458765:NTH458773 ODD458765:ODD458773 OMZ458765:OMZ458773 OWV458765:OWV458773 PGR458765:PGR458773 PQN458765:PQN458773 QAJ458765:QAJ458773 QKF458765:QKF458773 QUB458765:QUB458773 RDX458765:RDX458773 RNT458765:RNT458773 RXP458765:RXP458773 SHL458765:SHL458773 SRH458765:SRH458773 TBD458765:TBD458773 TKZ458765:TKZ458773 TUV458765:TUV458773 UER458765:UER458773 UON458765:UON458773 UYJ458765:UYJ458773 VIF458765:VIF458773 VSB458765:VSB458773 WBX458765:WBX458773 WLT458765:WLT458773 WVP458765:WVP458773 H524301:H524309 JD524301:JD524309 SZ524301:SZ524309 ACV524301:ACV524309 AMR524301:AMR524309 AWN524301:AWN524309 BGJ524301:BGJ524309 BQF524301:BQF524309 CAB524301:CAB524309 CJX524301:CJX524309 CTT524301:CTT524309 DDP524301:DDP524309 DNL524301:DNL524309 DXH524301:DXH524309 EHD524301:EHD524309 EQZ524301:EQZ524309 FAV524301:FAV524309 FKR524301:FKR524309 FUN524301:FUN524309 GEJ524301:GEJ524309 GOF524301:GOF524309 GYB524301:GYB524309 HHX524301:HHX524309 HRT524301:HRT524309 IBP524301:IBP524309 ILL524301:ILL524309 IVH524301:IVH524309 JFD524301:JFD524309 JOZ524301:JOZ524309 JYV524301:JYV524309 KIR524301:KIR524309 KSN524301:KSN524309 LCJ524301:LCJ524309 LMF524301:LMF524309 LWB524301:LWB524309 MFX524301:MFX524309 MPT524301:MPT524309 MZP524301:MZP524309 NJL524301:NJL524309 NTH524301:NTH524309 ODD524301:ODD524309 OMZ524301:OMZ524309 OWV524301:OWV524309 PGR524301:PGR524309 PQN524301:PQN524309 QAJ524301:QAJ524309 QKF524301:QKF524309 QUB524301:QUB524309 RDX524301:RDX524309 RNT524301:RNT524309 RXP524301:RXP524309 SHL524301:SHL524309 SRH524301:SRH524309 TBD524301:TBD524309 TKZ524301:TKZ524309 TUV524301:TUV524309 UER524301:UER524309 UON524301:UON524309 UYJ524301:UYJ524309 VIF524301:VIF524309 VSB524301:VSB524309 WBX524301:WBX524309 WLT524301:WLT524309 WVP524301:WVP524309 H589837:H589845 JD589837:JD589845 SZ589837:SZ589845 ACV589837:ACV589845 AMR589837:AMR589845 AWN589837:AWN589845 BGJ589837:BGJ589845 BQF589837:BQF589845 CAB589837:CAB589845 CJX589837:CJX589845 CTT589837:CTT589845 DDP589837:DDP589845 DNL589837:DNL589845 DXH589837:DXH589845 EHD589837:EHD589845 EQZ589837:EQZ589845 FAV589837:FAV589845 FKR589837:FKR589845 FUN589837:FUN589845 GEJ589837:GEJ589845 GOF589837:GOF589845 GYB589837:GYB589845 HHX589837:HHX589845 HRT589837:HRT589845 IBP589837:IBP589845 ILL589837:ILL589845 IVH589837:IVH589845 JFD589837:JFD589845 JOZ589837:JOZ589845 JYV589837:JYV589845 KIR589837:KIR589845 KSN589837:KSN589845 LCJ589837:LCJ589845 LMF589837:LMF589845 LWB589837:LWB589845 MFX589837:MFX589845 MPT589837:MPT589845 MZP589837:MZP589845 NJL589837:NJL589845 NTH589837:NTH589845 ODD589837:ODD589845 OMZ589837:OMZ589845 OWV589837:OWV589845 PGR589837:PGR589845 PQN589837:PQN589845 QAJ589837:QAJ589845 QKF589837:QKF589845 QUB589837:QUB589845 RDX589837:RDX589845 RNT589837:RNT589845 RXP589837:RXP589845 SHL589837:SHL589845 SRH589837:SRH589845 TBD589837:TBD589845 TKZ589837:TKZ589845 TUV589837:TUV589845 UER589837:UER589845 UON589837:UON589845 UYJ589837:UYJ589845 VIF589837:VIF589845 VSB589837:VSB589845 WBX589837:WBX589845 WLT589837:WLT589845 WVP589837:WVP589845 H655373:H655381 JD655373:JD655381 SZ655373:SZ655381 ACV655373:ACV655381 AMR655373:AMR655381 AWN655373:AWN655381 BGJ655373:BGJ655381 BQF655373:BQF655381 CAB655373:CAB655381 CJX655373:CJX655381 CTT655373:CTT655381 DDP655373:DDP655381 DNL655373:DNL655381 DXH655373:DXH655381 EHD655373:EHD655381 EQZ655373:EQZ655381 FAV655373:FAV655381 FKR655373:FKR655381 FUN655373:FUN655381 GEJ655373:GEJ655381 GOF655373:GOF655381 GYB655373:GYB655381 HHX655373:HHX655381 HRT655373:HRT655381 IBP655373:IBP655381 ILL655373:ILL655381 IVH655373:IVH655381 JFD655373:JFD655381 JOZ655373:JOZ655381 JYV655373:JYV655381 KIR655373:KIR655381 KSN655373:KSN655381 LCJ655373:LCJ655381 LMF655373:LMF655381 LWB655373:LWB655381 MFX655373:MFX655381 MPT655373:MPT655381 MZP655373:MZP655381 NJL655373:NJL655381 NTH655373:NTH655381 ODD655373:ODD655381 OMZ655373:OMZ655381 OWV655373:OWV655381 PGR655373:PGR655381 PQN655373:PQN655381 QAJ655373:QAJ655381 QKF655373:QKF655381 QUB655373:QUB655381 RDX655373:RDX655381 RNT655373:RNT655381 RXP655373:RXP655381 SHL655373:SHL655381 SRH655373:SRH655381 TBD655373:TBD655381 TKZ655373:TKZ655381 TUV655373:TUV655381 UER655373:UER655381 UON655373:UON655381 UYJ655373:UYJ655381 VIF655373:VIF655381 VSB655373:VSB655381 WBX655373:WBX655381 WLT655373:WLT655381 WVP655373:WVP655381 H720909:H720917 JD720909:JD720917 SZ720909:SZ720917 ACV720909:ACV720917 AMR720909:AMR720917 AWN720909:AWN720917 BGJ720909:BGJ720917 BQF720909:BQF720917 CAB720909:CAB720917 CJX720909:CJX720917 CTT720909:CTT720917 DDP720909:DDP720917 DNL720909:DNL720917 DXH720909:DXH720917 EHD720909:EHD720917 EQZ720909:EQZ720917 FAV720909:FAV720917 FKR720909:FKR720917 FUN720909:FUN720917 GEJ720909:GEJ720917 GOF720909:GOF720917 GYB720909:GYB720917 HHX720909:HHX720917 HRT720909:HRT720917 IBP720909:IBP720917 ILL720909:ILL720917 IVH720909:IVH720917 JFD720909:JFD720917 JOZ720909:JOZ720917 JYV720909:JYV720917 KIR720909:KIR720917 KSN720909:KSN720917 LCJ720909:LCJ720917 LMF720909:LMF720917 LWB720909:LWB720917 MFX720909:MFX720917 MPT720909:MPT720917 MZP720909:MZP720917 NJL720909:NJL720917 NTH720909:NTH720917 ODD720909:ODD720917 OMZ720909:OMZ720917 OWV720909:OWV720917 PGR720909:PGR720917 PQN720909:PQN720917 QAJ720909:QAJ720917 QKF720909:QKF720917 QUB720909:QUB720917 RDX720909:RDX720917 RNT720909:RNT720917 RXP720909:RXP720917 SHL720909:SHL720917 SRH720909:SRH720917 TBD720909:TBD720917 TKZ720909:TKZ720917 TUV720909:TUV720917 UER720909:UER720917 UON720909:UON720917 UYJ720909:UYJ720917 VIF720909:VIF720917 VSB720909:VSB720917 WBX720909:WBX720917 WLT720909:WLT720917 WVP720909:WVP720917 H786445:H786453 JD786445:JD786453 SZ786445:SZ786453 ACV786445:ACV786453 AMR786445:AMR786453 AWN786445:AWN786453 BGJ786445:BGJ786453 BQF786445:BQF786453 CAB786445:CAB786453 CJX786445:CJX786453 CTT786445:CTT786453 DDP786445:DDP786453 DNL786445:DNL786453 DXH786445:DXH786453 EHD786445:EHD786453 EQZ786445:EQZ786453 FAV786445:FAV786453 FKR786445:FKR786453 FUN786445:FUN786453 GEJ786445:GEJ786453 GOF786445:GOF786453 GYB786445:GYB786453 HHX786445:HHX786453 HRT786445:HRT786453 IBP786445:IBP786453 ILL786445:ILL786453 IVH786445:IVH786453 JFD786445:JFD786453 JOZ786445:JOZ786453 JYV786445:JYV786453 KIR786445:KIR786453 KSN786445:KSN786453 LCJ786445:LCJ786453 LMF786445:LMF786453 LWB786445:LWB786453 MFX786445:MFX786453 MPT786445:MPT786453 MZP786445:MZP786453 NJL786445:NJL786453 NTH786445:NTH786453 ODD786445:ODD786453 OMZ786445:OMZ786453 OWV786445:OWV786453 PGR786445:PGR786453 PQN786445:PQN786453 QAJ786445:QAJ786453 QKF786445:QKF786453 QUB786445:QUB786453 RDX786445:RDX786453 RNT786445:RNT786453 RXP786445:RXP786453 SHL786445:SHL786453 SRH786445:SRH786453 TBD786445:TBD786453 TKZ786445:TKZ786453 TUV786445:TUV786453 UER786445:UER786453 UON786445:UON786453 UYJ786445:UYJ786453 VIF786445:VIF786453 VSB786445:VSB786453 WBX786445:WBX786453 WLT786445:WLT786453 WVP786445:WVP786453 H851981:H851989 JD851981:JD851989 SZ851981:SZ851989 ACV851981:ACV851989 AMR851981:AMR851989 AWN851981:AWN851989 BGJ851981:BGJ851989 BQF851981:BQF851989 CAB851981:CAB851989 CJX851981:CJX851989 CTT851981:CTT851989 DDP851981:DDP851989 DNL851981:DNL851989 DXH851981:DXH851989 EHD851981:EHD851989 EQZ851981:EQZ851989 FAV851981:FAV851989 FKR851981:FKR851989 FUN851981:FUN851989 GEJ851981:GEJ851989 GOF851981:GOF851989 GYB851981:GYB851989 HHX851981:HHX851989 HRT851981:HRT851989 IBP851981:IBP851989 ILL851981:ILL851989 IVH851981:IVH851989 JFD851981:JFD851989 JOZ851981:JOZ851989 JYV851981:JYV851989 KIR851981:KIR851989 KSN851981:KSN851989 LCJ851981:LCJ851989 LMF851981:LMF851989 LWB851981:LWB851989 MFX851981:MFX851989 MPT851981:MPT851989 MZP851981:MZP851989 NJL851981:NJL851989 NTH851981:NTH851989 ODD851981:ODD851989 OMZ851981:OMZ851989 OWV851981:OWV851989 PGR851981:PGR851989 PQN851981:PQN851989 QAJ851981:QAJ851989 QKF851981:QKF851989 QUB851981:QUB851989 RDX851981:RDX851989 RNT851981:RNT851989 RXP851981:RXP851989 SHL851981:SHL851989 SRH851981:SRH851989 TBD851981:TBD851989 TKZ851981:TKZ851989 TUV851981:TUV851989 UER851981:UER851989 UON851981:UON851989 UYJ851981:UYJ851989 VIF851981:VIF851989 VSB851981:VSB851989 WBX851981:WBX851989 WLT851981:WLT851989 WVP851981:WVP851989 H917517:H917525 JD917517:JD917525 SZ917517:SZ917525 ACV917517:ACV917525 AMR917517:AMR917525 AWN917517:AWN917525 BGJ917517:BGJ917525 BQF917517:BQF917525 CAB917517:CAB917525 CJX917517:CJX917525 CTT917517:CTT917525 DDP917517:DDP917525 DNL917517:DNL917525 DXH917517:DXH917525 EHD917517:EHD917525 EQZ917517:EQZ917525 FAV917517:FAV917525 FKR917517:FKR917525 FUN917517:FUN917525 GEJ917517:GEJ917525 GOF917517:GOF917525 GYB917517:GYB917525 HHX917517:HHX917525 HRT917517:HRT917525 IBP917517:IBP917525 ILL917517:ILL917525 IVH917517:IVH917525 JFD917517:JFD917525 JOZ917517:JOZ917525 JYV917517:JYV917525 KIR917517:KIR917525 KSN917517:KSN917525 LCJ917517:LCJ917525 LMF917517:LMF917525 LWB917517:LWB917525 MFX917517:MFX917525 MPT917517:MPT917525 MZP917517:MZP917525 NJL917517:NJL917525 NTH917517:NTH917525 ODD917517:ODD917525 OMZ917517:OMZ917525 OWV917517:OWV917525 PGR917517:PGR917525 PQN917517:PQN917525 QAJ917517:QAJ917525 QKF917517:QKF917525 QUB917517:QUB917525 RDX917517:RDX917525 RNT917517:RNT917525 RXP917517:RXP917525 SHL917517:SHL917525 SRH917517:SRH917525 TBD917517:TBD917525 TKZ917517:TKZ917525 TUV917517:TUV917525 UER917517:UER917525 UON917517:UON917525 UYJ917517:UYJ917525 VIF917517:VIF917525 VSB917517:VSB917525 WBX917517:WBX917525 WLT917517:WLT917525 WVP917517:WVP917525 H983053:H983061 JD983053:JD983061 SZ983053:SZ983061 ACV983053:ACV983061 AMR983053:AMR983061 AWN983053:AWN983061 BGJ983053:BGJ983061 BQF983053:BQF983061 CAB983053:CAB983061 CJX983053:CJX983061 CTT983053:CTT983061 DDP983053:DDP983061 DNL983053:DNL983061 DXH983053:DXH983061 EHD983053:EHD983061 EQZ983053:EQZ983061 FAV983053:FAV983061 FKR983053:FKR983061 FUN983053:FUN983061 GEJ983053:GEJ983061 GOF983053:GOF983061 GYB983053:GYB983061 HHX983053:HHX983061 HRT983053:HRT983061 IBP983053:IBP983061 ILL983053:ILL983061 IVH983053:IVH983061 JFD983053:JFD983061 JOZ983053:JOZ983061 JYV983053:JYV983061 KIR983053:KIR983061 KSN983053:KSN983061 LCJ983053:LCJ983061 LMF983053:LMF983061 LWB983053:LWB983061 MFX983053:MFX983061 MPT983053:MPT983061 MZP983053:MZP983061 NJL983053:NJL983061 NTH983053:NTH983061 ODD983053:ODD983061 OMZ983053:OMZ983061 OWV983053:OWV983061 PGR983053:PGR983061 PQN983053:PQN983061 QAJ983053:QAJ983061 QKF983053:QKF983061 QUB983053:QUB983061 RDX983053:RDX983061 RNT983053:RNT983061 RXP983053:RXP983061 SHL983053:SHL983061 SRH983053:SRH983061 TBD983053:TBD983061 TKZ983053:TKZ983061 TUV983053:TUV983061 UER983053:UER983061 UON983053:UON983061 UYJ983053:UYJ983061 VIF983053:VIF983061 VSB983053:VSB983061 WBX983053:WBX983061 WLT983053:WLT983061 WVP983053:WVP983061 H28:H30 JD28:JD30 SZ28:SZ30 ACV28:ACV30 AMR28:AMR30 AWN28:AWN30 BGJ28:BGJ30 BQF28:BQF30 CAB28:CAB30 CJX28:CJX30 CTT28:CTT30 DDP28:DDP30 DNL28:DNL30 DXH28:DXH30 EHD28:EHD30 EQZ28:EQZ30 FAV28:FAV30 FKR28:FKR30 FUN28:FUN30 GEJ28:GEJ30 GOF28:GOF30 GYB28:GYB30 HHX28:HHX30 HRT28:HRT30 IBP28:IBP30 ILL28:ILL30 IVH28:IVH30 JFD28:JFD30 JOZ28:JOZ30 JYV28:JYV30 KIR28:KIR30 KSN28:KSN30 LCJ28:LCJ30 LMF28:LMF30 LWB28:LWB30 MFX28:MFX30 MPT28:MPT30 MZP28:MZP30 NJL28:NJL30 NTH28:NTH30 ODD28:ODD30 OMZ28:OMZ30 OWV28:OWV30 PGR28:PGR30 PQN28:PQN30 QAJ28:QAJ30 QKF28:QKF30 QUB28:QUB30 RDX28:RDX30 RNT28:RNT30 RXP28:RXP30 SHL28:SHL30 SRH28:SRH30 TBD28:TBD30 TKZ28:TKZ30 TUV28:TUV30 UER28:UER30 UON28:UON30 UYJ28:UYJ30 VIF28:VIF30 VSB28:VSB30 WBX28:WBX30 WLT28:WLT30 WVP28:WVP30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H35:H52 JD35:JD52 SZ35:SZ52 ACV35:ACV52 AMR35:AMR52 AWN35:AWN52 BGJ35:BGJ52 BQF35:BQF52 CAB35:CAB52 CJX35:CJX52 CTT35:CTT52 DDP35:DDP52 DNL35:DNL52 DXH35:DXH52 EHD35:EHD52 EQZ35:EQZ52 FAV35:FAV52 FKR35:FKR52 FUN35:FUN52 GEJ35:GEJ52 GOF35:GOF52 GYB35:GYB52 HHX35:HHX52 HRT35:HRT52 IBP35:IBP52 ILL35:ILL52 IVH35:IVH52 JFD35:JFD52 JOZ35:JOZ52 JYV35:JYV52 KIR35:KIR52 KSN35:KSN52 LCJ35:LCJ52 LMF35:LMF52 LWB35:LWB52 MFX35:MFX52 MPT35:MPT52 MZP35:MZP52 NJL35:NJL52 NTH35:NTH52 ODD35:ODD52 OMZ35:OMZ52 OWV35:OWV52 PGR35:PGR52 PQN35:PQN52 QAJ35:QAJ52 QKF35:QKF52 QUB35:QUB52 RDX35:RDX52 RNT35:RNT52 RXP35:RXP52 SHL35:SHL52 SRH35:SRH52 TBD35:TBD52 TKZ35:TKZ52 TUV35:TUV52 UER35:UER52 UON35:UON52 UYJ35:UYJ52 VIF35:VIF52 VSB35:VSB52 WBX35:WBX52 WLT35:WLT52 WVP35:WVP52 H65571:H65588 JD65571:JD65588 SZ65571:SZ65588 ACV65571:ACV65588 AMR65571:AMR65588 AWN65571:AWN65588 BGJ65571:BGJ65588 BQF65571:BQF65588 CAB65571:CAB65588 CJX65571:CJX65588 CTT65571:CTT65588 DDP65571:DDP65588 DNL65571:DNL65588 DXH65571:DXH65588 EHD65571:EHD65588 EQZ65571:EQZ65588 FAV65571:FAV65588 FKR65571:FKR65588 FUN65571:FUN65588 GEJ65571:GEJ65588 GOF65571:GOF65588 GYB65571:GYB65588 HHX65571:HHX65588 HRT65571:HRT65588 IBP65571:IBP65588 ILL65571:ILL65588 IVH65571:IVH65588 JFD65571:JFD65588 JOZ65571:JOZ65588 JYV65571:JYV65588 KIR65571:KIR65588 KSN65571:KSN65588 LCJ65571:LCJ65588 LMF65571:LMF65588 LWB65571:LWB65588 MFX65571:MFX65588 MPT65571:MPT65588 MZP65571:MZP65588 NJL65571:NJL65588 NTH65571:NTH65588 ODD65571:ODD65588 OMZ65571:OMZ65588 OWV65571:OWV65588 PGR65571:PGR65588 PQN65571:PQN65588 QAJ65571:QAJ65588 QKF65571:QKF65588 QUB65571:QUB65588 RDX65571:RDX65588 RNT65571:RNT65588 RXP65571:RXP65588 SHL65571:SHL65588 SRH65571:SRH65588 TBD65571:TBD65588 TKZ65571:TKZ65588 TUV65571:TUV65588 UER65571:UER65588 UON65571:UON65588 UYJ65571:UYJ65588 VIF65571:VIF65588 VSB65571:VSB65588 WBX65571:WBX65588 WLT65571:WLT65588 WVP65571:WVP65588 H131107:H131124 JD131107:JD131124 SZ131107:SZ131124 ACV131107:ACV131124 AMR131107:AMR131124 AWN131107:AWN131124 BGJ131107:BGJ131124 BQF131107:BQF131124 CAB131107:CAB131124 CJX131107:CJX131124 CTT131107:CTT131124 DDP131107:DDP131124 DNL131107:DNL131124 DXH131107:DXH131124 EHD131107:EHD131124 EQZ131107:EQZ131124 FAV131107:FAV131124 FKR131107:FKR131124 FUN131107:FUN131124 GEJ131107:GEJ131124 GOF131107:GOF131124 GYB131107:GYB131124 HHX131107:HHX131124 HRT131107:HRT131124 IBP131107:IBP131124 ILL131107:ILL131124 IVH131107:IVH131124 JFD131107:JFD131124 JOZ131107:JOZ131124 JYV131107:JYV131124 KIR131107:KIR131124 KSN131107:KSN131124 LCJ131107:LCJ131124 LMF131107:LMF131124 LWB131107:LWB131124 MFX131107:MFX131124 MPT131107:MPT131124 MZP131107:MZP131124 NJL131107:NJL131124 NTH131107:NTH131124 ODD131107:ODD131124 OMZ131107:OMZ131124 OWV131107:OWV131124 PGR131107:PGR131124 PQN131107:PQN131124 QAJ131107:QAJ131124 QKF131107:QKF131124 QUB131107:QUB131124 RDX131107:RDX131124 RNT131107:RNT131124 RXP131107:RXP131124 SHL131107:SHL131124 SRH131107:SRH131124 TBD131107:TBD131124 TKZ131107:TKZ131124 TUV131107:TUV131124 UER131107:UER131124 UON131107:UON131124 UYJ131107:UYJ131124 VIF131107:VIF131124 VSB131107:VSB131124 WBX131107:WBX131124 WLT131107:WLT131124 WVP131107:WVP131124 H196643:H196660 JD196643:JD196660 SZ196643:SZ196660 ACV196643:ACV196660 AMR196643:AMR196660 AWN196643:AWN196660 BGJ196643:BGJ196660 BQF196643:BQF196660 CAB196643:CAB196660 CJX196643:CJX196660 CTT196643:CTT196660 DDP196643:DDP196660 DNL196643:DNL196660 DXH196643:DXH196660 EHD196643:EHD196660 EQZ196643:EQZ196660 FAV196643:FAV196660 FKR196643:FKR196660 FUN196643:FUN196660 GEJ196643:GEJ196660 GOF196643:GOF196660 GYB196643:GYB196660 HHX196643:HHX196660 HRT196643:HRT196660 IBP196643:IBP196660 ILL196643:ILL196660 IVH196643:IVH196660 JFD196643:JFD196660 JOZ196643:JOZ196660 JYV196643:JYV196660 KIR196643:KIR196660 KSN196643:KSN196660 LCJ196643:LCJ196660 LMF196643:LMF196660 LWB196643:LWB196660 MFX196643:MFX196660 MPT196643:MPT196660 MZP196643:MZP196660 NJL196643:NJL196660 NTH196643:NTH196660 ODD196643:ODD196660 OMZ196643:OMZ196660 OWV196643:OWV196660 PGR196643:PGR196660 PQN196643:PQN196660 QAJ196643:QAJ196660 QKF196643:QKF196660 QUB196643:QUB196660 RDX196643:RDX196660 RNT196643:RNT196660 RXP196643:RXP196660 SHL196643:SHL196660 SRH196643:SRH196660 TBD196643:TBD196660 TKZ196643:TKZ196660 TUV196643:TUV196660 UER196643:UER196660 UON196643:UON196660 UYJ196643:UYJ196660 VIF196643:VIF196660 VSB196643:VSB196660 WBX196643:WBX196660 WLT196643:WLT196660 WVP196643:WVP196660 H262179:H262196 JD262179:JD262196 SZ262179:SZ262196 ACV262179:ACV262196 AMR262179:AMR262196 AWN262179:AWN262196 BGJ262179:BGJ262196 BQF262179:BQF262196 CAB262179:CAB262196 CJX262179:CJX262196 CTT262179:CTT262196 DDP262179:DDP262196 DNL262179:DNL262196 DXH262179:DXH262196 EHD262179:EHD262196 EQZ262179:EQZ262196 FAV262179:FAV262196 FKR262179:FKR262196 FUN262179:FUN262196 GEJ262179:GEJ262196 GOF262179:GOF262196 GYB262179:GYB262196 HHX262179:HHX262196 HRT262179:HRT262196 IBP262179:IBP262196 ILL262179:ILL262196 IVH262179:IVH262196 JFD262179:JFD262196 JOZ262179:JOZ262196 JYV262179:JYV262196 KIR262179:KIR262196 KSN262179:KSN262196 LCJ262179:LCJ262196 LMF262179:LMF262196 LWB262179:LWB262196 MFX262179:MFX262196 MPT262179:MPT262196 MZP262179:MZP262196 NJL262179:NJL262196 NTH262179:NTH262196 ODD262179:ODD262196 OMZ262179:OMZ262196 OWV262179:OWV262196 PGR262179:PGR262196 PQN262179:PQN262196 QAJ262179:QAJ262196 QKF262179:QKF262196 QUB262179:QUB262196 RDX262179:RDX262196 RNT262179:RNT262196 RXP262179:RXP262196 SHL262179:SHL262196 SRH262179:SRH262196 TBD262179:TBD262196 TKZ262179:TKZ262196 TUV262179:TUV262196 UER262179:UER262196 UON262179:UON262196 UYJ262179:UYJ262196 VIF262179:VIF262196 VSB262179:VSB262196 WBX262179:WBX262196 WLT262179:WLT262196 WVP262179:WVP262196 H327715:H327732 JD327715:JD327732 SZ327715:SZ327732 ACV327715:ACV327732 AMR327715:AMR327732 AWN327715:AWN327732 BGJ327715:BGJ327732 BQF327715:BQF327732 CAB327715:CAB327732 CJX327715:CJX327732 CTT327715:CTT327732 DDP327715:DDP327732 DNL327715:DNL327732 DXH327715:DXH327732 EHD327715:EHD327732 EQZ327715:EQZ327732 FAV327715:FAV327732 FKR327715:FKR327732 FUN327715:FUN327732 GEJ327715:GEJ327732 GOF327715:GOF327732 GYB327715:GYB327732 HHX327715:HHX327732 HRT327715:HRT327732 IBP327715:IBP327732 ILL327715:ILL327732 IVH327715:IVH327732 JFD327715:JFD327732 JOZ327715:JOZ327732 JYV327715:JYV327732 KIR327715:KIR327732 KSN327715:KSN327732 LCJ327715:LCJ327732 LMF327715:LMF327732 LWB327715:LWB327732 MFX327715:MFX327732 MPT327715:MPT327732 MZP327715:MZP327732 NJL327715:NJL327732 NTH327715:NTH327732 ODD327715:ODD327732 OMZ327715:OMZ327732 OWV327715:OWV327732 PGR327715:PGR327732 PQN327715:PQN327732 QAJ327715:QAJ327732 QKF327715:QKF327732 QUB327715:QUB327732 RDX327715:RDX327732 RNT327715:RNT327732 RXP327715:RXP327732 SHL327715:SHL327732 SRH327715:SRH327732 TBD327715:TBD327732 TKZ327715:TKZ327732 TUV327715:TUV327732 UER327715:UER327732 UON327715:UON327732 UYJ327715:UYJ327732 VIF327715:VIF327732 VSB327715:VSB327732 WBX327715:WBX327732 WLT327715:WLT327732 WVP327715:WVP327732 H393251:H393268 JD393251:JD393268 SZ393251:SZ393268 ACV393251:ACV393268 AMR393251:AMR393268 AWN393251:AWN393268 BGJ393251:BGJ393268 BQF393251:BQF393268 CAB393251:CAB393268 CJX393251:CJX393268 CTT393251:CTT393268 DDP393251:DDP393268 DNL393251:DNL393268 DXH393251:DXH393268 EHD393251:EHD393268 EQZ393251:EQZ393268 FAV393251:FAV393268 FKR393251:FKR393268 FUN393251:FUN393268 GEJ393251:GEJ393268 GOF393251:GOF393268 GYB393251:GYB393268 HHX393251:HHX393268 HRT393251:HRT393268 IBP393251:IBP393268 ILL393251:ILL393268 IVH393251:IVH393268 JFD393251:JFD393268 JOZ393251:JOZ393268 JYV393251:JYV393268 KIR393251:KIR393268 KSN393251:KSN393268 LCJ393251:LCJ393268 LMF393251:LMF393268 LWB393251:LWB393268 MFX393251:MFX393268 MPT393251:MPT393268 MZP393251:MZP393268 NJL393251:NJL393268 NTH393251:NTH393268 ODD393251:ODD393268 OMZ393251:OMZ393268 OWV393251:OWV393268 PGR393251:PGR393268 PQN393251:PQN393268 QAJ393251:QAJ393268 QKF393251:QKF393268 QUB393251:QUB393268 RDX393251:RDX393268 RNT393251:RNT393268 RXP393251:RXP393268 SHL393251:SHL393268 SRH393251:SRH393268 TBD393251:TBD393268 TKZ393251:TKZ393268 TUV393251:TUV393268 UER393251:UER393268 UON393251:UON393268 UYJ393251:UYJ393268 VIF393251:VIF393268 VSB393251:VSB393268 WBX393251:WBX393268 WLT393251:WLT393268 WVP393251:WVP393268 H458787:H458804 JD458787:JD458804 SZ458787:SZ458804 ACV458787:ACV458804 AMR458787:AMR458804 AWN458787:AWN458804 BGJ458787:BGJ458804 BQF458787:BQF458804 CAB458787:CAB458804 CJX458787:CJX458804 CTT458787:CTT458804 DDP458787:DDP458804 DNL458787:DNL458804 DXH458787:DXH458804 EHD458787:EHD458804 EQZ458787:EQZ458804 FAV458787:FAV458804 FKR458787:FKR458804 FUN458787:FUN458804 GEJ458787:GEJ458804 GOF458787:GOF458804 GYB458787:GYB458804 HHX458787:HHX458804 HRT458787:HRT458804 IBP458787:IBP458804 ILL458787:ILL458804 IVH458787:IVH458804 JFD458787:JFD458804 JOZ458787:JOZ458804 JYV458787:JYV458804 KIR458787:KIR458804 KSN458787:KSN458804 LCJ458787:LCJ458804 LMF458787:LMF458804 LWB458787:LWB458804 MFX458787:MFX458804 MPT458787:MPT458804 MZP458787:MZP458804 NJL458787:NJL458804 NTH458787:NTH458804 ODD458787:ODD458804 OMZ458787:OMZ458804 OWV458787:OWV458804 PGR458787:PGR458804 PQN458787:PQN458804 QAJ458787:QAJ458804 QKF458787:QKF458804 QUB458787:QUB458804 RDX458787:RDX458804 RNT458787:RNT458804 RXP458787:RXP458804 SHL458787:SHL458804 SRH458787:SRH458804 TBD458787:TBD458804 TKZ458787:TKZ458804 TUV458787:TUV458804 UER458787:UER458804 UON458787:UON458804 UYJ458787:UYJ458804 VIF458787:VIF458804 VSB458787:VSB458804 WBX458787:WBX458804 WLT458787:WLT458804 WVP458787:WVP458804 H524323:H524340 JD524323:JD524340 SZ524323:SZ524340 ACV524323:ACV524340 AMR524323:AMR524340 AWN524323:AWN524340 BGJ524323:BGJ524340 BQF524323:BQF524340 CAB524323:CAB524340 CJX524323:CJX524340 CTT524323:CTT524340 DDP524323:DDP524340 DNL524323:DNL524340 DXH524323:DXH524340 EHD524323:EHD524340 EQZ524323:EQZ524340 FAV524323:FAV524340 FKR524323:FKR524340 FUN524323:FUN524340 GEJ524323:GEJ524340 GOF524323:GOF524340 GYB524323:GYB524340 HHX524323:HHX524340 HRT524323:HRT524340 IBP524323:IBP524340 ILL524323:ILL524340 IVH524323:IVH524340 JFD524323:JFD524340 JOZ524323:JOZ524340 JYV524323:JYV524340 KIR524323:KIR524340 KSN524323:KSN524340 LCJ524323:LCJ524340 LMF524323:LMF524340 LWB524323:LWB524340 MFX524323:MFX524340 MPT524323:MPT524340 MZP524323:MZP524340 NJL524323:NJL524340 NTH524323:NTH524340 ODD524323:ODD524340 OMZ524323:OMZ524340 OWV524323:OWV524340 PGR524323:PGR524340 PQN524323:PQN524340 QAJ524323:QAJ524340 QKF524323:QKF524340 QUB524323:QUB524340 RDX524323:RDX524340 RNT524323:RNT524340 RXP524323:RXP524340 SHL524323:SHL524340 SRH524323:SRH524340 TBD524323:TBD524340 TKZ524323:TKZ524340 TUV524323:TUV524340 UER524323:UER524340 UON524323:UON524340 UYJ524323:UYJ524340 VIF524323:VIF524340 VSB524323:VSB524340 WBX524323:WBX524340 WLT524323:WLT524340 WVP524323:WVP524340 H589859:H589876 JD589859:JD589876 SZ589859:SZ589876 ACV589859:ACV589876 AMR589859:AMR589876 AWN589859:AWN589876 BGJ589859:BGJ589876 BQF589859:BQF589876 CAB589859:CAB589876 CJX589859:CJX589876 CTT589859:CTT589876 DDP589859:DDP589876 DNL589859:DNL589876 DXH589859:DXH589876 EHD589859:EHD589876 EQZ589859:EQZ589876 FAV589859:FAV589876 FKR589859:FKR589876 FUN589859:FUN589876 GEJ589859:GEJ589876 GOF589859:GOF589876 GYB589859:GYB589876 HHX589859:HHX589876 HRT589859:HRT589876 IBP589859:IBP589876 ILL589859:ILL589876 IVH589859:IVH589876 JFD589859:JFD589876 JOZ589859:JOZ589876 JYV589859:JYV589876 KIR589859:KIR589876 KSN589859:KSN589876 LCJ589859:LCJ589876 LMF589859:LMF589876 LWB589859:LWB589876 MFX589859:MFX589876 MPT589859:MPT589876 MZP589859:MZP589876 NJL589859:NJL589876 NTH589859:NTH589876 ODD589859:ODD589876 OMZ589859:OMZ589876 OWV589859:OWV589876 PGR589859:PGR589876 PQN589859:PQN589876 QAJ589859:QAJ589876 QKF589859:QKF589876 QUB589859:QUB589876 RDX589859:RDX589876 RNT589859:RNT589876 RXP589859:RXP589876 SHL589859:SHL589876 SRH589859:SRH589876 TBD589859:TBD589876 TKZ589859:TKZ589876 TUV589859:TUV589876 UER589859:UER589876 UON589859:UON589876 UYJ589859:UYJ589876 VIF589859:VIF589876 VSB589859:VSB589876 WBX589859:WBX589876 WLT589859:WLT589876 WVP589859:WVP589876 H655395:H655412 JD655395:JD655412 SZ655395:SZ655412 ACV655395:ACV655412 AMR655395:AMR655412 AWN655395:AWN655412 BGJ655395:BGJ655412 BQF655395:BQF655412 CAB655395:CAB655412 CJX655395:CJX655412 CTT655395:CTT655412 DDP655395:DDP655412 DNL655395:DNL655412 DXH655395:DXH655412 EHD655395:EHD655412 EQZ655395:EQZ655412 FAV655395:FAV655412 FKR655395:FKR655412 FUN655395:FUN655412 GEJ655395:GEJ655412 GOF655395:GOF655412 GYB655395:GYB655412 HHX655395:HHX655412 HRT655395:HRT655412 IBP655395:IBP655412 ILL655395:ILL655412 IVH655395:IVH655412 JFD655395:JFD655412 JOZ655395:JOZ655412 JYV655395:JYV655412 KIR655395:KIR655412 KSN655395:KSN655412 LCJ655395:LCJ655412 LMF655395:LMF655412 LWB655395:LWB655412 MFX655395:MFX655412 MPT655395:MPT655412 MZP655395:MZP655412 NJL655395:NJL655412 NTH655395:NTH655412 ODD655395:ODD655412 OMZ655395:OMZ655412 OWV655395:OWV655412 PGR655395:PGR655412 PQN655395:PQN655412 QAJ655395:QAJ655412 QKF655395:QKF655412 QUB655395:QUB655412 RDX655395:RDX655412 RNT655395:RNT655412 RXP655395:RXP655412 SHL655395:SHL655412 SRH655395:SRH655412 TBD655395:TBD655412 TKZ655395:TKZ655412 TUV655395:TUV655412 UER655395:UER655412 UON655395:UON655412 UYJ655395:UYJ655412 VIF655395:VIF655412 VSB655395:VSB655412 WBX655395:WBX655412 WLT655395:WLT655412 WVP655395:WVP655412 H720931:H720948 JD720931:JD720948 SZ720931:SZ720948 ACV720931:ACV720948 AMR720931:AMR720948 AWN720931:AWN720948 BGJ720931:BGJ720948 BQF720931:BQF720948 CAB720931:CAB720948 CJX720931:CJX720948 CTT720931:CTT720948 DDP720931:DDP720948 DNL720931:DNL720948 DXH720931:DXH720948 EHD720931:EHD720948 EQZ720931:EQZ720948 FAV720931:FAV720948 FKR720931:FKR720948 FUN720931:FUN720948 GEJ720931:GEJ720948 GOF720931:GOF720948 GYB720931:GYB720948 HHX720931:HHX720948 HRT720931:HRT720948 IBP720931:IBP720948 ILL720931:ILL720948 IVH720931:IVH720948 JFD720931:JFD720948 JOZ720931:JOZ720948 JYV720931:JYV720948 KIR720931:KIR720948 KSN720931:KSN720948 LCJ720931:LCJ720948 LMF720931:LMF720948 LWB720931:LWB720948 MFX720931:MFX720948 MPT720931:MPT720948 MZP720931:MZP720948 NJL720931:NJL720948 NTH720931:NTH720948 ODD720931:ODD720948 OMZ720931:OMZ720948 OWV720931:OWV720948 PGR720931:PGR720948 PQN720931:PQN720948 QAJ720931:QAJ720948 QKF720931:QKF720948 QUB720931:QUB720948 RDX720931:RDX720948 RNT720931:RNT720948 RXP720931:RXP720948 SHL720931:SHL720948 SRH720931:SRH720948 TBD720931:TBD720948 TKZ720931:TKZ720948 TUV720931:TUV720948 UER720931:UER720948 UON720931:UON720948 UYJ720931:UYJ720948 VIF720931:VIF720948 VSB720931:VSB720948 WBX720931:WBX720948 WLT720931:WLT720948 WVP720931:WVP720948 H786467:H786484 JD786467:JD786484 SZ786467:SZ786484 ACV786467:ACV786484 AMR786467:AMR786484 AWN786467:AWN786484 BGJ786467:BGJ786484 BQF786467:BQF786484 CAB786467:CAB786484 CJX786467:CJX786484 CTT786467:CTT786484 DDP786467:DDP786484 DNL786467:DNL786484 DXH786467:DXH786484 EHD786467:EHD786484 EQZ786467:EQZ786484 FAV786467:FAV786484 FKR786467:FKR786484 FUN786467:FUN786484 GEJ786467:GEJ786484 GOF786467:GOF786484 GYB786467:GYB786484 HHX786467:HHX786484 HRT786467:HRT786484 IBP786467:IBP786484 ILL786467:ILL786484 IVH786467:IVH786484 JFD786467:JFD786484 JOZ786467:JOZ786484 JYV786467:JYV786484 KIR786467:KIR786484 KSN786467:KSN786484 LCJ786467:LCJ786484 LMF786467:LMF786484 LWB786467:LWB786484 MFX786467:MFX786484 MPT786467:MPT786484 MZP786467:MZP786484 NJL786467:NJL786484 NTH786467:NTH786484 ODD786467:ODD786484 OMZ786467:OMZ786484 OWV786467:OWV786484 PGR786467:PGR786484 PQN786467:PQN786484 QAJ786467:QAJ786484 QKF786467:QKF786484 QUB786467:QUB786484 RDX786467:RDX786484 RNT786467:RNT786484 RXP786467:RXP786484 SHL786467:SHL786484 SRH786467:SRH786484 TBD786467:TBD786484 TKZ786467:TKZ786484 TUV786467:TUV786484 UER786467:UER786484 UON786467:UON786484 UYJ786467:UYJ786484 VIF786467:VIF786484 VSB786467:VSB786484 WBX786467:WBX786484 WLT786467:WLT786484 WVP786467:WVP786484 H852003:H852020 JD852003:JD852020 SZ852003:SZ852020 ACV852003:ACV852020 AMR852003:AMR852020 AWN852003:AWN852020 BGJ852003:BGJ852020 BQF852003:BQF852020 CAB852003:CAB852020 CJX852003:CJX852020 CTT852003:CTT852020 DDP852003:DDP852020 DNL852003:DNL852020 DXH852003:DXH852020 EHD852003:EHD852020 EQZ852003:EQZ852020 FAV852003:FAV852020 FKR852003:FKR852020 FUN852003:FUN852020 GEJ852003:GEJ852020 GOF852003:GOF852020 GYB852003:GYB852020 HHX852003:HHX852020 HRT852003:HRT852020 IBP852003:IBP852020 ILL852003:ILL852020 IVH852003:IVH852020 JFD852003:JFD852020 JOZ852003:JOZ852020 JYV852003:JYV852020 KIR852003:KIR852020 KSN852003:KSN852020 LCJ852003:LCJ852020 LMF852003:LMF852020 LWB852003:LWB852020 MFX852003:MFX852020 MPT852003:MPT852020 MZP852003:MZP852020 NJL852003:NJL852020 NTH852003:NTH852020 ODD852003:ODD852020 OMZ852003:OMZ852020 OWV852003:OWV852020 PGR852003:PGR852020 PQN852003:PQN852020 QAJ852003:QAJ852020 QKF852003:QKF852020 QUB852003:QUB852020 RDX852003:RDX852020 RNT852003:RNT852020 RXP852003:RXP852020 SHL852003:SHL852020 SRH852003:SRH852020 TBD852003:TBD852020 TKZ852003:TKZ852020 TUV852003:TUV852020 UER852003:UER852020 UON852003:UON852020 UYJ852003:UYJ852020 VIF852003:VIF852020 VSB852003:VSB852020 WBX852003:WBX852020 WLT852003:WLT852020 WVP852003:WVP852020 H917539:H917556 JD917539:JD917556 SZ917539:SZ917556 ACV917539:ACV917556 AMR917539:AMR917556 AWN917539:AWN917556 BGJ917539:BGJ917556 BQF917539:BQF917556 CAB917539:CAB917556 CJX917539:CJX917556 CTT917539:CTT917556 DDP917539:DDP917556 DNL917539:DNL917556 DXH917539:DXH917556 EHD917539:EHD917556 EQZ917539:EQZ917556 FAV917539:FAV917556 FKR917539:FKR917556 FUN917539:FUN917556 GEJ917539:GEJ917556 GOF917539:GOF917556 GYB917539:GYB917556 HHX917539:HHX917556 HRT917539:HRT917556 IBP917539:IBP917556 ILL917539:ILL917556 IVH917539:IVH917556 JFD917539:JFD917556 JOZ917539:JOZ917556 JYV917539:JYV917556 KIR917539:KIR917556 KSN917539:KSN917556 LCJ917539:LCJ917556 LMF917539:LMF917556 LWB917539:LWB917556 MFX917539:MFX917556 MPT917539:MPT917556 MZP917539:MZP917556 NJL917539:NJL917556 NTH917539:NTH917556 ODD917539:ODD917556 OMZ917539:OMZ917556 OWV917539:OWV917556 PGR917539:PGR917556 PQN917539:PQN917556 QAJ917539:QAJ917556 QKF917539:QKF917556 QUB917539:QUB917556 RDX917539:RDX917556 RNT917539:RNT917556 RXP917539:RXP917556 SHL917539:SHL917556 SRH917539:SRH917556 TBD917539:TBD917556 TKZ917539:TKZ917556 TUV917539:TUV917556 UER917539:UER917556 UON917539:UON917556 UYJ917539:UYJ917556 VIF917539:VIF917556 VSB917539:VSB917556 WBX917539:WBX917556 WLT917539:WLT917556 WVP917539:WVP917556 H983075:H983092 JD983075:JD983092 SZ983075:SZ983092 ACV983075:ACV983092 AMR983075:AMR983092 AWN983075:AWN983092 BGJ983075:BGJ983092 BQF983075:BQF983092 CAB983075:CAB983092 CJX983075:CJX983092 CTT983075:CTT983092 DDP983075:DDP983092 DNL983075:DNL983092 DXH983075:DXH983092 EHD983075:EHD983092 EQZ983075:EQZ983092 FAV983075:FAV983092 FKR983075:FKR983092 FUN983075:FUN983092 GEJ983075:GEJ983092 GOF983075:GOF983092 GYB983075:GYB983092 HHX983075:HHX983092 HRT983075:HRT983092 IBP983075:IBP983092 ILL983075:ILL983092 IVH983075:IVH983092 JFD983075:JFD983092 JOZ983075:JOZ983092 JYV983075:JYV983092 KIR983075:KIR983092 KSN983075:KSN983092 LCJ983075:LCJ983092 LMF983075:LMF983092 LWB983075:LWB983092 MFX983075:MFX983092 MPT983075:MPT983092 MZP983075:MZP983092 NJL983075:NJL983092 NTH983075:NTH983092 ODD983075:ODD983092 OMZ983075:OMZ983092 OWV983075:OWV983092 PGR983075:PGR983092 PQN983075:PQN983092 QAJ983075:QAJ983092 QKF983075:QKF983092 QUB983075:QUB983092 RDX983075:RDX983092 RNT983075:RNT983092 RXP983075:RXP983092 SHL983075:SHL983092 SRH983075:SRH983092 TBD983075:TBD983092 TKZ983075:TKZ983092 TUV983075:TUV983092 UER983075:UER983092 UON983075:UON983092 UYJ983075:UYJ983092 VIF983075:VIF983092 VSB983075:VSB983092 WBX983075:WBX983092 WLT983075:WLT983092 WVP983075:WVP983092 H54:H56 JD54:JD56 SZ54:SZ56 ACV54:ACV56 AMR54:AMR56 AWN54:AWN56 BGJ54:BGJ56 BQF54:BQF56 CAB54:CAB56 CJX54:CJX56 CTT54:CTT56 DDP54:DDP56 DNL54:DNL56 DXH54:DXH56 EHD54:EHD56 EQZ54:EQZ56 FAV54:FAV56 FKR54:FKR56 FUN54:FUN56 GEJ54:GEJ56 GOF54:GOF56 GYB54:GYB56 HHX54:HHX56 HRT54:HRT56 IBP54:IBP56 ILL54:ILL56 IVH54:IVH56 JFD54:JFD56 JOZ54:JOZ56 JYV54:JYV56 KIR54:KIR56 KSN54:KSN56 LCJ54:LCJ56 LMF54:LMF56 LWB54:LWB56 MFX54:MFX56 MPT54:MPT56 MZP54:MZP56 NJL54:NJL56 NTH54:NTH56 ODD54:ODD56 OMZ54:OMZ56 OWV54:OWV56 PGR54:PGR56 PQN54:PQN56 QAJ54:QAJ56 QKF54:QKF56 QUB54:QUB56 RDX54:RDX56 RNT54:RNT56 RXP54:RXP56 SHL54:SHL56 SRH54:SRH56 TBD54:TBD56 TKZ54:TKZ56 TUV54:TUV56 UER54:UER56 UON54:UON56 UYJ54:UYJ56 VIF54:VIF56 VSB54:VSB56 WBX54:WBX56 WLT54:WLT56 WVP54:WVP56 H65590:H65592 JD65590:JD65592 SZ65590:SZ65592 ACV65590:ACV65592 AMR65590:AMR65592 AWN65590:AWN65592 BGJ65590:BGJ65592 BQF65590:BQF65592 CAB65590:CAB65592 CJX65590:CJX65592 CTT65590:CTT65592 DDP65590:DDP65592 DNL65590:DNL65592 DXH65590:DXH65592 EHD65590:EHD65592 EQZ65590:EQZ65592 FAV65590:FAV65592 FKR65590:FKR65592 FUN65590:FUN65592 GEJ65590:GEJ65592 GOF65590:GOF65592 GYB65590:GYB65592 HHX65590:HHX65592 HRT65590:HRT65592 IBP65590:IBP65592 ILL65590:ILL65592 IVH65590:IVH65592 JFD65590:JFD65592 JOZ65590:JOZ65592 JYV65590:JYV65592 KIR65590:KIR65592 KSN65590:KSN65592 LCJ65590:LCJ65592 LMF65590:LMF65592 LWB65590:LWB65592 MFX65590:MFX65592 MPT65590:MPT65592 MZP65590:MZP65592 NJL65590:NJL65592 NTH65590:NTH65592 ODD65590:ODD65592 OMZ65590:OMZ65592 OWV65590:OWV65592 PGR65590:PGR65592 PQN65590:PQN65592 QAJ65590:QAJ65592 QKF65590:QKF65592 QUB65590:QUB65592 RDX65590:RDX65592 RNT65590:RNT65592 RXP65590:RXP65592 SHL65590:SHL65592 SRH65590:SRH65592 TBD65590:TBD65592 TKZ65590:TKZ65592 TUV65590:TUV65592 UER65590:UER65592 UON65590:UON65592 UYJ65590:UYJ65592 VIF65590:VIF65592 VSB65590:VSB65592 WBX65590:WBX65592 WLT65590:WLT65592 WVP65590:WVP65592 H131126:H131128 JD131126:JD131128 SZ131126:SZ131128 ACV131126:ACV131128 AMR131126:AMR131128 AWN131126:AWN131128 BGJ131126:BGJ131128 BQF131126:BQF131128 CAB131126:CAB131128 CJX131126:CJX131128 CTT131126:CTT131128 DDP131126:DDP131128 DNL131126:DNL131128 DXH131126:DXH131128 EHD131126:EHD131128 EQZ131126:EQZ131128 FAV131126:FAV131128 FKR131126:FKR131128 FUN131126:FUN131128 GEJ131126:GEJ131128 GOF131126:GOF131128 GYB131126:GYB131128 HHX131126:HHX131128 HRT131126:HRT131128 IBP131126:IBP131128 ILL131126:ILL131128 IVH131126:IVH131128 JFD131126:JFD131128 JOZ131126:JOZ131128 JYV131126:JYV131128 KIR131126:KIR131128 KSN131126:KSN131128 LCJ131126:LCJ131128 LMF131126:LMF131128 LWB131126:LWB131128 MFX131126:MFX131128 MPT131126:MPT131128 MZP131126:MZP131128 NJL131126:NJL131128 NTH131126:NTH131128 ODD131126:ODD131128 OMZ131126:OMZ131128 OWV131126:OWV131128 PGR131126:PGR131128 PQN131126:PQN131128 QAJ131126:QAJ131128 QKF131126:QKF131128 QUB131126:QUB131128 RDX131126:RDX131128 RNT131126:RNT131128 RXP131126:RXP131128 SHL131126:SHL131128 SRH131126:SRH131128 TBD131126:TBD131128 TKZ131126:TKZ131128 TUV131126:TUV131128 UER131126:UER131128 UON131126:UON131128 UYJ131126:UYJ131128 VIF131126:VIF131128 VSB131126:VSB131128 WBX131126:WBX131128 WLT131126:WLT131128 WVP131126:WVP131128 H196662:H196664 JD196662:JD196664 SZ196662:SZ196664 ACV196662:ACV196664 AMR196662:AMR196664 AWN196662:AWN196664 BGJ196662:BGJ196664 BQF196662:BQF196664 CAB196662:CAB196664 CJX196662:CJX196664 CTT196662:CTT196664 DDP196662:DDP196664 DNL196662:DNL196664 DXH196662:DXH196664 EHD196662:EHD196664 EQZ196662:EQZ196664 FAV196662:FAV196664 FKR196662:FKR196664 FUN196662:FUN196664 GEJ196662:GEJ196664 GOF196662:GOF196664 GYB196662:GYB196664 HHX196662:HHX196664 HRT196662:HRT196664 IBP196662:IBP196664 ILL196662:ILL196664 IVH196662:IVH196664 JFD196662:JFD196664 JOZ196662:JOZ196664 JYV196662:JYV196664 KIR196662:KIR196664 KSN196662:KSN196664 LCJ196662:LCJ196664 LMF196662:LMF196664 LWB196662:LWB196664 MFX196662:MFX196664 MPT196662:MPT196664 MZP196662:MZP196664 NJL196662:NJL196664 NTH196662:NTH196664 ODD196662:ODD196664 OMZ196662:OMZ196664 OWV196662:OWV196664 PGR196662:PGR196664 PQN196662:PQN196664 QAJ196662:QAJ196664 QKF196662:QKF196664 QUB196662:QUB196664 RDX196662:RDX196664 RNT196662:RNT196664 RXP196662:RXP196664 SHL196662:SHL196664 SRH196662:SRH196664 TBD196662:TBD196664 TKZ196662:TKZ196664 TUV196662:TUV196664 UER196662:UER196664 UON196662:UON196664 UYJ196662:UYJ196664 VIF196662:VIF196664 VSB196662:VSB196664 WBX196662:WBX196664 WLT196662:WLT196664 WVP196662:WVP196664 H262198:H262200 JD262198:JD262200 SZ262198:SZ262200 ACV262198:ACV262200 AMR262198:AMR262200 AWN262198:AWN262200 BGJ262198:BGJ262200 BQF262198:BQF262200 CAB262198:CAB262200 CJX262198:CJX262200 CTT262198:CTT262200 DDP262198:DDP262200 DNL262198:DNL262200 DXH262198:DXH262200 EHD262198:EHD262200 EQZ262198:EQZ262200 FAV262198:FAV262200 FKR262198:FKR262200 FUN262198:FUN262200 GEJ262198:GEJ262200 GOF262198:GOF262200 GYB262198:GYB262200 HHX262198:HHX262200 HRT262198:HRT262200 IBP262198:IBP262200 ILL262198:ILL262200 IVH262198:IVH262200 JFD262198:JFD262200 JOZ262198:JOZ262200 JYV262198:JYV262200 KIR262198:KIR262200 KSN262198:KSN262200 LCJ262198:LCJ262200 LMF262198:LMF262200 LWB262198:LWB262200 MFX262198:MFX262200 MPT262198:MPT262200 MZP262198:MZP262200 NJL262198:NJL262200 NTH262198:NTH262200 ODD262198:ODD262200 OMZ262198:OMZ262200 OWV262198:OWV262200 PGR262198:PGR262200 PQN262198:PQN262200 QAJ262198:QAJ262200 QKF262198:QKF262200 QUB262198:QUB262200 RDX262198:RDX262200 RNT262198:RNT262200 RXP262198:RXP262200 SHL262198:SHL262200 SRH262198:SRH262200 TBD262198:TBD262200 TKZ262198:TKZ262200 TUV262198:TUV262200 UER262198:UER262200 UON262198:UON262200 UYJ262198:UYJ262200 VIF262198:VIF262200 VSB262198:VSB262200 WBX262198:WBX262200 WLT262198:WLT262200 WVP262198:WVP262200 H327734:H327736 JD327734:JD327736 SZ327734:SZ327736 ACV327734:ACV327736 AMR327734:AMR327736 AWN327734:AWN327736 BGJ327734:BGJ327736 BQF327734:BQF327736 CAB327734:CAB327736 CJX327734:CJX327736 CTT327734:CTT327736 DDP327734:DDP327736 DNL327734:DNL327736 DXH327734:DXH327736 EHD327734:EHD327736 EQZ327734:EQZ327736 FAV327734:FAV327736 FKR327734:FKR327736 FUN327734:FUN327736 GEJ327734:GEJ327736 GOF327734:GOF327736 GYB327734:GYB327736 HHX327734:HHX327736 HRT327734:HRT327736 IBP327734:IBP327736 ILL327734:ILL327736 IVH327734:IVH327736 JFD327734:JFD327736 JOZ327734:JOZ327736 JYV327734:JYV327736 KIR327734:KIR327736 KSN327734:KSN327736 LCJ327734:LCJ327736 LMF327734:LMF327736 LWB327734:LWB327736 MFX327734:MFX327736 MPT327734:MPT327736 MZP327734:MZP327736 NJL327734:NJL327736 NTH327734:NTH327736 ODD327734:ODD327736 OMZ327734:OMZ327736 OWV327734:OWV327736 PGR327734:PGR327736 PQN327734:PQN327736 QAJ327734:QAJ327736 QKF327734:QKF327736 QUB327734:QUB327736 RDX327734:RDX327736 RNT327734:RNT327736 RXP327734:RXP327736 SHL327734:SHL327736 SRH327734:SRH327736 TBD327734:TBD327736 TKZ327734:TKZ327736 TUV327734:TUV327736 UER327734:UER327736 UON327734:UON327736 UYJ327734:UYJ327736 VIF327734:VIF327736 VSB327734:VSB327736 WBX327734:WBX327736 WLT327734:WLT327736 WVP327734:WVP327736 H393270:H393272 JD393270:JD393272 SZ393270:SZ393272 ACV393270:ACV393272 AMR393270:AMR393272 AWN393270:AWN393272 BGJ393270:BGJ393272 BQF393270:BQF393272 CAB393270:CAB393272 CJX393270:CJX393272 CTT393270:CTT393272 DDP393270:DDP393272 DNL393270:DNL393272 DXH393270:DXH393272 EHD393270:EHD393272 EQZ393270:EQZ393272 FAV393270:FAV393272 FKR393270:FKR393272 FUN393270:FUN393272 GEJ393270:GEJ393272 GOF393270:GOF393272 GYB393270:GYB393272 HHX393270:HHX393272 HRT393270:HRT393272 IBP393270:IBP393272 ILL393270:ILL393272 IVH393270:IVH393272 JFD393270:JFD393272 JOZ393270:JOZ393272 JYV393270:JYV393272 KIR393270:KIR393272 KSN393270:KSN393272 LCJ393270:LCJ393272 LMF393270:LMF393272 LWB393270:LWB393272 MFX393270:MFX393272 MPT393270:MPT393272 MZP393270:MZP393272 NJL393270:NJL393272 NTH393270:NTH393272 ODD393270:ODD393272 OMZ393270:OMZ393272 OWV393270:OWV393272 PGR393270:PGR393272 PQN393270:PQN393272 QAJ393270:QAJ393272 QKF393270:QKF393272 QUB393270:QUB393272 RDX393270:RDX393272 RNT393270:RNT393272 RXP393270:RXP393272 SHL393270:SHL393272 SRH393270:SRH393272 TBD393270:TBD393272 TKZ393270:TKZ393272 TUV393270:TUV393272 UER393270:UER393272 UON393270:UON393272 UYJ393270:UYJ393272 VIF393270:VIF393272 VSB393270:VSB393272 WBX393270:WBX393272 WLT393270:WLT393272 WVP393270:WVP393272 H458806:H458808 JD458806:JD458808 SZ458806:SZ458808 ACV458806:ACV458808 AMR458806:AMR458808 AWN458806:AWN458808 BGJ458806:BGJ458808 BQF458806:BQF458808 CAB458806:CAB458808 CJX458806:CJX458808 CTT458806:CTT458808 DDP458806:DDP458808 DNL458806:DNL458808 DXH458806:DXH458808 EHD458806:EHD458808 EQZ458806:EQZ458808 FAV458806:FAV458808 FKR458806:FKR458808 FUN458806:FUN458808 GEJ458806:GEJ458808 GOF458806:GOF458808 GYB458806:GYB458808 HHX458806:HHX458808 HRT458806:HRT458808 IBP458806:IBP458808 ILL458806:ILL458808 IVH458806:IVH458808 JFD458806:JFD458808 JOZ458806:JOZ458808 JYV458806:JYV458808 KIR458806:KIR458808 KSN458806:KSN458808 LCJ458806:LCJ458808 LMF458806:LMF458808 LWB458806:LWB458808 MFX458806:MFX458808 MPT458806:MPT458808 MZP458806:MZP458808 NJL458806:NJL458808 NTH458806:NTH458808 ODD458806:ODD458808 OMZ458806:OMZ458808 OWV458806:OWV458808 PGR458806:PGR458808 PQN458806:PQN458808 QAJ458806:QAJ458808 QKF458806:QKF458808 QUB458806:QUB458808 RDX458806:RDX458808 RNT458806:RNT458808 RXP458806:RXP458808 SHL458806:SHL458808 SRH458806:SRH458808 TBD458806:TBD458808 TKZ458806:TKZ458808 TUV458806:TUV458808 UER458806:UER458808 UON458806:UON458808 UYJ458806:UYJ458808 VIF458806:VIF458808 VSB458806:VSB458808 WBX458806:WBX458808 WLT458806:WLT458808 WVP458806:WVP458808 H524342:H524344 JD524342:JD524344 SZ524342:SZ524344 ACV524342:ACV524344 AMR524342:AMR524344 AWN524342:AWN524344 BGJ524342:BGJ524344 BQF524342:BQF524344 CAB524342:CAB524344 CJX524342:CJX524344 CTT524342:CTT524344 DDP524342:DDP524344 DNL524342:DNL524344 DXH524342:DXH524344 EHD524342:EHD524344 EQZ524342:EQZ524344 FAV524342:FAV524344 FKR524342:FKR524344 FUN524342:FUN524344 GEJ524342:GEJ524344 GOF524342:GOF524344 GYB524342:GYB524344 HHX524342:HHX524344 HRT524342:HRT524344 IBP524342:IBP524344 ILL524342:ILL524344 IVH524342:IVH524344 JFD524342:JFD524344 JOZ524342:JOZ524344 JYV524342:JYV524344 KIR524342:KIR524344 KSN524342:KSN524344 LCJ524342:LCJ524344 LMF524342:LMF524344 LWB524342:LWB524344 MFX524342:MFX524344 MPT524342:MPT524344 MZP524342:MZP524344 NJL524342:NJL524344 NTH524342:NTH524344 ODD524342:ODD524344 OMZ524342:OMZ524344 OWV524342:OWV524344 PGR524342:PGR524344 PQN524342:PQN524344 QAJ524342:QAJ524344 QKF524342:QKF524344 QUB524342:QUB524344 RDX524342:RDX524344 RNT524342:RNT524344 RXP524342:RXP524344 SHL524342:SHL524344 SRH524342:SRH524344 TBD524342:TBD524344 TKZ524342:TKZ524344 TUV524342:TUV524344 UER524342:UER524344 UON524342:UON524344 UYJ524342:UYJ524344 VIF524342:VIF524344 VSB524342:VSB524344 WBX524342:WBX524344 WLT524342:WLT524344 WVP524342:WVP524344 H589878:H589880 JD589878:JD589880 SZ589878:SZ589880 ACV589878:ACV589880 AMR589878:AMR589880 AWN589878:AWN589880 BGJ589878:BGJ589880 BQF589878:BQF589880 CAB589878:CAB589880 CJX589878:CJX589880 CTT589878:CTT589880 DDP589878:DDP589880 DNL589878:DNL589880 DXH589878:DXH589880 EHD589878:EHD589880 EQZ589878:EQZ589880 FAV589878:FAV589880 FKR589878:FKR589880 FUN589878:FUN589880 GEJ589878:GEJ589880 GOF589878:GOF589880 GYB589878:GYB589880 HHX589878:HHX589880 HRT589878:HRT589880 IBP589878:IBP589880 ILL589878:ILL589880 IVH589878:IVH589880 JFD589878:JFD589880 JOZ589878:JOZ589880 JYV589878:JYV589880 KIR589878:KIR589880 KSN589878:KSN589880 LCJ589878:LCJ589880 LMF589878:LMF589880 LWB589878:LWB589880 MFX589878:MFX589880 MPT589878:MPT589880 MZP589878:MZP589880 NJL589878:NJL589880 NTH589878:NTH589880 ODD589878:ODD589880 OMZ589878:OMZ589880 OWV589878:OWV589880 PGR589878:PGR589880 PQN589878:PQN589880 QAJ589878:QAJ589880 QKF589878:QKF589880 QUB589878:QUB589880 RDX589878:RDX589880 RNT589878:RNT589880 RXP589878:RXP589880 SHL589878:SHL589880 SRH589878:SRH589880 TBD589878:TBD589880 TKZ589878:TKZ589880 TUV589878:TUV589880 UER589878:UER589880 UON589878:UON589880 UYJ589878:UYJ589880 VIF589878:VIF589880 VSB589878:VSB589880 WBX589878:WBX589880 WLT589878:WLT589880 WVP589878:WVP589880 H655414:H655416 JD655414:JD655416 SZ655414:SZ655416 ACV655414:ACV655416 AMR655414:AMR655416 AWN655414:AWN655416 BGJ655414:BGJ655416 BQF655414:BQF655416 CAB655414:CAB655416 CJX655414:CJX655416 CTT655414:CTT655416 DDP655414:DDP655416 DNL655414:DNL655416 DXH655414:DXH655416 EHD655414:EHD655416 EQZ655414:EQZ655416 FAV655414:FAV655416 FKR655414:FKR655416 FUN655414:FUN655416 GEJ655414:GEJ655416 GOF655414:GOF655416 GYB655414:GYB655416 HHX655414:HHX655416 HRT655414:HRT655416 IBP655414:IBP655416 ILL655414:ILL655416 IVH655414:IVH655416 JFD655414:JFD655416 JOZ655414:JOZ655416 JYV655414:JYV655416 KIR655414:KIR655416 KSN655414:KSN655416 LCJ655414:LCJ655416 LMF655414:LMF655416 LWB655414:LWB655416 MFX655414:MFX655416 MPT655414:MPT655416 MZP655414:MZP655416 NJL655414:NJL655416 NTH655414:NTH655416 ODD655414:ODD655416 OMZ655414:OMZ655416 OWV655414:OWV655416 PGR655414:PGR655416 PQN655414:PQN655416 QAJ655414:QAJ655416 QKF655414:QKF655416 QUB655414:QUB655416 RDX655414:RDX655416 RNT655414:RNT655416 RXP655414:RXP655416 SHL655414:SHL655416 SRH655414:SRH655416 TBD655414:TBD655416 TKZ655414:TKZ655416 TUV655414:TUV655416 UER655414:UER655416 UON655414:UON655416 UYJ655414:UYJ655416 VIF655414:VIF655416 VSB655414:VSB655416 WBX655414:WBX655416 WLT655414:WLT655416 WVP655414:WVP655416 H720950:H720952 JD720950:JD720952 SZ720950:SZ720952 ACV720950:ACV720952 AMR720950:AMR720952 AWN720950:AWN720952 BGJ720950:BGJ720952 BQF720950:BQF720952 CAB720950:CAB720952 CJX720950:CJX720952 CTT720950:CTT720952 DDP720950:DDP720952 DNL720950:DNL720952 DXH720950:DXH720952 EHD720950:EHD720952 EQZ720950:EQZ720952 FAV720950:FAV720952 FKR720950:FKR720952 FUN720950:FUN720952 GEJ720950:GEJ720952 GOF720950:GOF720952 GYB720950:GYB720952 HHX720950:HHX720952 HRT720950:HRT720952 IBP720950:IBP720952 ILL720950:ILL720952 IVH720950:IVH720952 JFD720950:JFD720952 JOZ720950:JOZ720952 JYV720950:JYV720952 KIR720950:KIR720952 KSN720950:KSN720952 LCJ720950:LCJ720952 LMF720950:LMF720952 LWB720950:LWB720952 MFX720950:MFX720952 MPT720950:MPT720952 MZP720950:MZP720952 NJL720950:NJL720952 NTH720950:NTH720952 ODD720950:ODD720952 OMZ720950:OMZ720952 OWV720950:OWV720952 PGR720950:PGR720952 PQN720950:PQN720952 QAJ720950:QAJ720952 QKF720950:QKF720952 QUB720950:QUB720952 RDX720950:RDX720952 RNT720950:RNT720952 RXP720950:RXP720952 SHL720950:SHL720952 SRH720950:SRH720952 TBD720950:TBD720952 TKZ720950:TKZ720952 TUV720950:TUV720952 UER720950:UER720952 UON720950:UON720952 UYJ720950:UYJ720952 VIF720950:VIF720952 VSB720950:VSB720952 WBX720950:WBX720952 WLT720950:WLT720952 WVP720950:WVP720952 H786486:H786488 JD786486:JD786488 SZ786486:SZ786488 ACV786486:ACV786488 AMR786486:AMR786488 AWN786486:AWN786488 BGJ786486:BGJ786488 BQF786486:BQF786488 CAB786486:CAB786488 CJX786486:CJX786488 CTT786486:CTT786488 DDP786486:DDP786488 DNL786486:DNL786488 DXH786486:DXH786488 EHD786486:EHD786488 EQZ786486:EQZ786488 FAV786486:FAV786488 FKR786486:FKR786488 FUN786486:FUN786488 GEJ786486:GEJ786488 GOF786486:GOF786488 GYB786486:GYB786488 HHX786486:HHX786488 HRT786486:HRT786488 IBP786486:IBP786488 ILL786486:ILL786488 IVH786486:IVH786488 JFD786486:JFD786488 JOZ786486:JOZ786488 JYV786486:JYV786488 KIR786486:KIR786488 KSN786486:KSN786488 LCJ786486:LCJ786488 LMF786486:LMF786488 LWB786486:LWB786488 MFX786486:MFX786488 MPT786486:MPT786488 MZP786486:MZP786488 NJL786486:NJL786488 NTH786486:NTH786488 ODD786486:ODD786488 OMZ786486:OMZ786488 OWV786486:OWV786488 PGR786486:PGR786488 PQN786486:PQN786488 QAJ786486:QAJ786488 QKF786486:QKF786488 QUB786486:QUB786488 RDX786486:RDX786488 RNT786486:RNT786488 RXP786486:RXP786488 SHL786486:SHL786488 SRH786486:SRH786488 TBD786486:TBD786488 TKZ786486:TKZ786488 TUV786486:TUV786488 UER786486:UER786488 UON786486:UON786488 UYJ786486:UYJ786488 VIF786486:VIF786488 VSB786486:VSB786488 WBX786486:WBX786488 WLT786486:WLT786488 WVP786486:WVP786488 H852022:H852024 JD852022:JD852024 SZ852022:SZ852024 ACV852022:ACV852024 AMR852022:AMR852024 AWN852022:AWN852024 BGJ852022:BGJ852024 BQF852022:BQF852024 CAB852022:CAB852024 CJX852022:CJX852024 CTT852022:CTT852024 DDP852022:DDP852024 DNL852022:DNL852024 DXH852022:DXH852024 EHD852022:EHD852024 EQZ852022:EQZ852024 FAV852022:FAV852024 FKR852022:FKR852024 FUN852022:FUN852024 GEJ852022:GEJ852024 GOF852022:GOF852024 GYB852022:GYB852024 HHX852022:HHX852024 HRT852022:HRT852024 IBP852022:IBP852024 ILL852022:ILL852024 IVH852022:IVH852024 JFD852022:JFD852024 JOZ852022:JOZ852024 JYV852022:JYV852024 KIR852022:KIR852024 KSN852022:KSN852024 LCJ852022:LCJ852024 LMF852022:LMF852024 LWB852022:LWB852024 MFX852022:MFX852024 MPT852022:MPT852024 MZP852022:MZP852024 NJL852022:NJL852024 NTH852022:NTH852024 ODD852022:ODD852024 OMZ852022:OMZ852024 OWV852022:OWV852024 PGR852022:PGR852024 PQN852022:PQN852024 QAJ852022:QAJ852024 QKF852022:QKF852024 QUB852022:QUB852024 RDX852022:RDX852024 RNT852022:RNT852024 RXP852022:RXP852024 SHL852022:SHL852024 SRH852022:SRH852024 TBD852022:TBD852024 TKZ852022:TKZ852024 TUV852022:TUV852024 UER852022:UER852024 UON852022:UON852024 UYJ852022:UYJ852024 VIF852022:VIF852024 VSB852022:VSB852024 WBX852022:WBX852024 WLT852022:WLT852024 WVP852022:WVP852024 H917558:H917560 JD917558:JD917560 SZ917558:SZ917560 ACV917558:ACV917560 AMR917558:AMR917560 AWN917558:AWN917560 BGJ917558:BGJ917560 BQF917558:BQF917560 CAB917558:CAB917560 CJX917558:CJX917560 CTT917558:CTT917560 DDP917558:DDP917560 DNL917558:DNL917560 DXH917558:DXH917560 EHD917558:EHD917560 EQZ917558:EQZ917560 FAV917558:FAV917560 FKR917558:FKR917560 FUN917558:FUN917560 GEJ917558:GEJ917560 GOF917558:GOF917560 GYB917558:GYB917560 HHX917558:HHX917560 HRT917558:HRT917560 IBP917558:IBP917560 ILL917558:ILL917560 IVH917558:IVH917560 JFD917558:JFD917560 JOZ917558:JOZ917560 JYV917558:JYV917560 KIR917558:KIR917560 KSN917558:KSN917560 LCJ917558:LCJ917560 LMF917558:LMF917560 LWB917558:LWB917560 MFX917558:MFX917560 MPT917558:MPT917560 MZP917558:MZP917560 NJL917558:NJL917560 NTH917558:NTH917560 ODD917558:ODD917560 OMZ917558:OMZ917560 OWV917558:OWV917560 PGR917558:PGR917560 PQN917558:PQN917560 QAJ917558:QAJ917560 QKF917558:QKF917560 QUB917558:QUB917560 RDX917558:RDX917560 RNT917558:RNT917560 RXP917558:RXP917560 SHL917558:SHL917560 SRH917558:SRH917560 TBD917558:TBD917560 TKZ917558:TKZ917560 TUV917558:TUV917560 UER917558:UER917560 UON917558:UON917560 UYJ917558:UYJ917560 VIF917558:VIF917560 VSB917558:VSB917560 WBX917558:WBX917560 WLT917558:WLT917560 WVP917558:WVP917560 H983094:H983096 JD983094:JD983096 SZ983094:SZ983096 ACV983094:ACV983096 AMR983094:AMR983096 AWN983094:AWN983096 BGJ983094:BGJ983096 BQF983094:BQF983096 CAB983094:CAB983096 CJX983094:CJX983096 CTT983094:CTT983096 DDP983094:DDP983096 DNL983094:DNL983096 DXH983094:DXH983096 EHD983094:EHD983096 EQZ983094:EQZ983096 FAV983094:FAV983096 FKR983094:FKR983096 FUN983094:FUN983096 GEJ983094:GEJ983096 GOF983094:GOF983096 GYB983094:GYB983096 HHX983094:HHX983096 HRT983094:HRT983096 IBP983094:IBP983096 ILL983094:ILL983096 IVH983094:IVH983096 JFD983094:JFD983096 JOZ983094:JOZ983096 JYV983094:JYV983096 KIR983094:KIR983096 KSN983094:KSN983096 LCJ983094:LCJ983096 LMF983094:LMF983096 LWB983094:LWB983096 MFX983094:MFX983096 MPT983094:MPT983096 MZP983094:MZP983096 NJL983094:NJL983096 NTH983094:NTH983096 ODD983094:ODD983096 OMZ983094:OMZ983096 OWV983094:OWV983096 PGR983094:PGR983096 PQN983094:PQN983096 QAJ983094:QAJ983096 QKF983094:QKF983096 QUB983094:QUB983096 RDX983094:RDX983096 RNT983094:RNT983096 RXP983094:RXP983096 SHL983094:SHL983096 SRH983094:SRH983096 TBD983094:TBD983096 TKZ983094:TKZ983096 TUV983094:TUV983096 UER983094:UER983096 UON983094:UON983096 UYJ983094:UYJ983096 VIF983094:VIF983096 VSB983094:VSB983096 WBX983094:WBX983096 WLT983094:WLT983096 WVP983094:WVP983096 H58:H59 JD58:JD59 SZ58:SZ59 ACV58:ACV59 AMR58:AMR59 AWN58:AWN59 BGJ58:BGJ59 BQF58:BQF59 CAB58:CAB59 CJX58:CJX59 CTT58:CTT59 DDP58:DDP59 DNL58:DNL59 DXH58:DXH59 EHD58:EHD59 EQZ58:EQZ59 FAV58:FAV59 FKR58:FKR59 FUN58:FUN59 GEJ58:GEJ59 GOF58:GOF59 GYB58:GYB59 HHX58:HHX59 HRT58:HRT59 IBP58:IBP59 ILL58:ILL59 IVH58:IVH59 JFD58:JFD59 JOZ58:JOZ59 JYV58:JYV59 KIR58:KIR59 KSN58:KSN59 LCJ58:LCJ59 LMF58:LMF59 LWB58:LWB59 MFX58:MFX59 MPT58:MPT59 MZP58:MZP59 NJL58:NJL59 NTH58:NTH59 ODD58:ODD59 OMZ58:OMZ59 OWV58:OWV59 PGR58:PGR59 PQN58:PQN59 QAJ58:QAJ59 QKF58:QKF59 QUB58:QUB59 RDX58:RDX59 RNT58:RNT59 RXP58:RXP59 SHL58:SHL59 SRH58:SRH59 TBD58:TBD59 TKZ58:TKZ59 TUV58:TUV59 UER58:UER59 UON58:UON59 UYJ58:UYJ59 VIF58:VIF59 VSB58:VSB59 WBX58:WBX59 WLT58:WLT59 WVP58:WVP59 H65594:H65595 JD65594:JD65595 SZ65594:SZ65595 ACV65594:ACV65595 AMR65594:AMR65595 AWN65594:AWN65595 BGJ65594:BGJ65595 BQF65594:BQF65595 CAB65594:CAB65595 CJX65594:CJX65595 CTT65594:CTT65595 DDP65594:DDP65595 DNL65594:DNL65595 DXH65594:DXH65595 EHD65594:EHD65595 EQZ65594:EQZ65595 FAV65594:FAV65595 FKR65594:FKR65595 FUN65594:FUN65595 GEJ65594:GEJ65595 GOF65594:GOF65595 GYB65594:GYB65595 HHX65594:HHX65595 HRT65594:HRT65595 IBP65594:IBP65595 ILL65594:ILL65595 IVH65594:IVH65595 JFD65594:JFD65595 JOZ65594:JOZ65595 JYV65594:JYV65595 KIR65594:KIR65595 KSN65594:KSN65595 LCJ65594:LCJ65595 LMF65594:LMF65595 LWB65594:LWB65595 MFX65594:MFX65595 MPT65594:MPT65595 MZP65594:MZP65595 NJL65594:NJL65595 NTH65594:NTH65595 ODD65594:ODD65595 OMZ65594:OMZ65595 OWV65594:OWV65595 PGR65594:PGR65595 PQN65594:PQN65595 QAJ65594:QAJ65595 QKF65594:QKF65595 QUB65594:QUB65595 RDX65594:RDX65595 RNT65594:RNT65595 RXP65594:RXP65595 SHL65594:SHL65595 SRH65594:SRH65595 TBD65594:TBD65595 TKZ65594:TKZ65595 TUV65594:TUV65595 UER65594:UER65595 UON65594:UON65595 UYJ65594:UYJ65595 VIF65594:VIF65595 VSB65594:VSB65595 WBX65594:WBX65595 WLT65594:WLT65595 WVP65594:WVP65595 H131130:H131131 JD131130:JD131131 SZ131130:SZ131131 ACV131130:ACV131131 AMR131130:AMR131131 AWN131130:AWN131131 BGJ131130:BGJ131131 BQF131130:BQF131131 CAB131130:CAB131131 CJX131130:CJX131131 CTT131130:CTT131131 DDP131130:DDP131131 DNL131130:DNL131131 DXH131130:DXH131131 EHD131130:EHD131131 EQZ131130:EQZ131131 FAV131130:FAV131131 FKR131130:FKR131131 FUN131130:FUN131131 GEJ131130:GEJ131131 GOF131130:GOF131131 GYB131130:GYB131131 HHX131130:HHX131131 HRT131130:HRT131131 IBP131130:IBP131131 ILL131130:ILL131131 IVH131130:IVH131131 JFD131130:JFD131131 JOZ131130:JOZ131131 JYV131130:JYV131131 KIR131130:KIR131131 KSN131130:KSN131131 LCJ131130:LCJ131131 LMF131130:LMF131131 LWB131130:LWB131131 MFX131130:MFX131131 MPT131130:MPT131131 MZP131130:MZP131131 NJL131130:NJL131131 NTH131130:NTH131131 ODD131130:ODD131131 OMZ131130:OMZ131131 OWV131130:OWV131131 PGR131130:PGR131131 PQN131130:PQN131131 QAJ131130:QAJ131131 QKF131130:QKF131131 QUB131130:QUB131131 RDX131130:RDX131131 RNT131130:RNT131131 RXP131130:RXP131131 SHL131130:SHL131131 SRH131130:SRH131131 TBD131130:TBD131131 TKZ131130:TKZ131131 TUV131130:TUV131131 UER131130:UER131131 UON131130:UON131131 UYJ131130:UYJ131131 VIF131130:VIF131131 VSB131130:VSB131131 WBX131130:WBX131131 WLT131130:WLT131131 WVP131130:WVP131131 H196666:H196667 JD196666:JD196667 SZ196666:SZ196667 ACV196666:ACV196667 AMR196666:AMR196667 AWN196666:AWN196667 BGJ196666:BGJ196667 BQF196666:BQF196667 CAB196666:CAB196667 CJX196666:CJX196667 CTT196666:CTT196667 DDP196666:DDP196667 DNL196666:DNL196667 DXH196666:DXH196667 EHD196666:EHD196667 EQZ196666:EQZ196667 FAV196666:FAV196667 FKR196666:FKR196667 FUN196666:FUN196667 GEJ196666:GEJ196667 GOF196666:GOF196667 GYB196666:GYB196667 HHX196666:HHX196667 HRT196666:HRT196667 IBP196666:IBP196667 ILL196666:ILL196667 IVH196666:IVH196667 JFD196666:JFD196667 JOZ196666:JOZ196667 JYV196666:JYV196667 KIR196666:KIR196667 KSN196666:KSN196667 LCJ196666:LCJ196667 LMF196666:LMF196667 LWB196666:LWB196667 MFX196666:MFX196667 MPT196666:MPT196667 MZP196666:MZP196667 NJL196666:NJL196667 NTH196666:NTH196667 ODD196666:ODD196667 OMZ196666:OMZ196667 OWV196666:OWV196667 PGR196666:PGR196667 PQN196666:PQN196667 QAJ196666:QAJ196667 QKF196666:QKF196667 QUB196666:QUB196667 RDX196666:RDX196667 RNT196666:RNT196667 RXP196666:RXP196667 SHL196666:SHL196667 SRH196666:SRH196667 TBD196666:TBD196667 TKZ196666:TKZ196667 TUV196666:TUV196667 UER196666:UER196667 UON196666:UON196667 UYJ196666:UYJ196667 VIF196666:VIF196667 VSB196666:VSB196667 WBX196666:WBX196667 WLT196666:WLT196667 WVP196666:WVP196667 H262202:H262203 JD262202:JD262203 SZ262202:SZ262203 ACV262202:ACV262203 AMR262202:AMR262203 AWN262202:AWN262203 BGJ262202:BGJ262203 BQF262202:BQF262203 CAB262202:CAB262203 CJX262202:CJX262203 CTT262202:CTT262203 DDP262202:DDP262203 DNL262202:DNL262203 DXH262202:DXH262203 EHD262202:EHD262203 EQZ262202:EQZ262203 FAV262202:FAV262203 FKR262202:FKR262203 FUN262202:FUN262203 GEJ262202:GEJ262203 GOF262202:GOF262203 GYB262202:GYB262203 HHX262202:HHX262203 HRT262202:HRT262203 IBP262202:IBP262203 ILL262202:ILL262203 IVH262202:IVH262203 JFD262202:JFD262203 JOZ262202:JOZ262203 JYV262202:JYV262203 KIR262202:KIR262203 KSN262202:KSN262203 LCJ262202:LCJ262203 LMF262202:LMF262203 LWB262202:LWB262203 MFX262202:MFX262203 MPT262202:MPT262203 MZP262202:MZP262203 NJL262202:NJL262203 NTH262202:NTH262203 ODD262202:ODD262203 OMZ262202:OMZ262203 OWV262202:OWV262203 PGR262202:PGR262203 PQN262202:PQN262203 QAJ262202:QAJ262203 QKF262202:QKF262203 QUB262202:QUB262203 RDX262202:RDX262203 RNT262202:RNT262203 RXP262202:RXP262203 SHL262202:SHL262203 SRH262202:SRH262203 TBD262202:TBD262203 TKZ262202:TKZ262203 TUV262202:TUV262203 UER262202:UER262203 UON262202:UON262203 UYJ262202:UYJ262203 VIF262202:VIF262203 VSB262202:VSB262203 WBX262202:WBX262203 WLT262202:WLT262203 WVP262202:WVP262203 H327738:H327739 JD327738:JD327739 SZ327738:SZ327739 ACV327738:ACV327739 AMR327738:AMR327739 AWN327738:AWN327739 BGJ327738:BGJ327739 BQF327738:BQF327739 CAB327738:CAB327739 CJX327738:CJX327739 CTT327738:CTT327739 DDP327738:DDP327739 DNL327738:DNL327739 DXH327738:DXH327739 EHD327738:EHD327739 EQZ327738:EQZ327739 FAV327738:FAV327739 FKR327738:FKR327739 FUN327738:FUN327739 GEJ327738:GEJ327739 GOF327738:GOF327739 GYB327738:GYB327739 HHX327738:HHX327739 HRT327738:HRT327739 IBP327738:IBP327739 ILL327738:ILL327739 IVH327738:IVH327739 JFD327738:JFD327739 JOZ327738:JOZ327739 JYV327738:JYV327739 KIR327738:KIR327739 KSN327738:KSN327739 LCJ327738:LCJ327739 LMF327738:LMF327739 LWB327738:LWB327739 MFX327738:MFX327739 MPT327738:MPT327739 MZP327738:MZP327739 NJL327738:NJL327739 NTH327738:NTH327739 ODD327738:ODD327739 OMZ327738:OMZ327739 OWV327738:OWV327739 PGR327738:PGR327739 PQN327738:PQN327739 QAJ327738:QAJ327739 QKF327738:QKF327739 QUB327738:QUB327739 RDX327738:RDX327739 RNT327738:RNT327739 RXP327738:RXP327739 SHL327738:SHL327739 SRH327738:SRH327739 TBD327738:TBD327739 TKZ327738:TKZ327739 TUV327738:TUV327739 UER327738:UER327739 UON327738:UON327739 UYJ327738:UYJ327739 VIF327738:VIF327739 VSB327738:VSB327739 WBX327738:WBX327739 WLT327738:WLT327739 WVP327738:WVP327739 H393274:H393275 JD393274:JD393275 SZ393274:SZ393275 ACV393274:ACV393275 AMR393274:AMR393275 AWN393274:AWN393275 BGJ393274:BGJ393275 BQF393274:BQF393275 CAB393274:CAB393275 CJX393274:CJX393275 CTT393274:CTT393275 DDP393274:DDP393275 DNL393274:DNL393275 DXH393274:DXH393275 EHD393274:EHD393275 EQZ393274:EQZ393275 FAV393274:FAV393275 FKR393274:FKR393275 FUN393274:FUN393275 GEJ393274:GEJ393275 GOF393274:GOF393275 GYB393274:GYB393275 HHX393274:HHX393275 HRT393274:HRT393275 IBP393274:IBP393275 ILL393274:ILL393275 IVH393274:IVH393275 JFD393274:JFD393275 JOZ393274:JOZ393275 JYV393274:JYV393275 KIR393274:KIR393275 KSN393274:KSN393275 LCJ393274:LCJ393275 LMF393274:LMF393275 LWB393274:LWB393275 MFX393274:MFX393275 MPT393274:MPT393275 MZP393274:MZP393275 NJL393274:NJL393275 NTH393274:NTH393275 ODD393274:ODD393275 OMZ393274:OMZ393275 OWV393274:OWV393275 PGR393274:PGR393275 PQN393274:PQN393275 QAJ393274:QAJ393275 QKF393274:QKF393275 QUB393274:QUB393275 RDX393274:RDX393275 RNT393274:RNT393275 RXP393274:RXP393275 SHL393274:SHL393275 SRH393274:SRH393275 TBD393274:TBD393275 TKZ393274:TKZ393275 TUV393274:TUV393275 UER393274:UER393275 UON393274:UON393275 UYJ393274:UYJ393275 VIF393274:VIF393275 VSB393274:VSB393275 WBX393274:WBX393275 WLT393274:WLT393275 WVP393274:WVP393275 H458810:H458811 JD458810:JD458811 SZ458810:SZ458811 ACV458810:ACV458811 AMR458810:AMR458811 AWN458810:AWN458811 BGJ458810:BGJ458811 BQF458810:BQF458811 CAB458810:CAB458811 CJX458810:CJX458811 CTT458810:CTT458811 DDP458810:DDP458811 DNL458810:DNL458811 DXH458810:DXH458811 EHD458810:EHD458811 EQZ458810:EQZ458811 FAV458810:FAV458811 FKR458810:FKR458811 FUN458810:FUN458811 GEJ458810:GEJ458811 GOF458810:GOF458811 GYB458810:GYB458811 HHX458810:HHX458811 HRT458810:HRT458811 IBP458810:IBP458811 ILL458810:ILL458811 IVH458810:IVH458811 JFD458810:JFD458811 JOZ458810:JOZ458811 JYV458810:JYV458811 KIR458810:KIR458811 KSN458810:KSN458811 LCJ458810:LCJ458811 LMF458810:LMF458811 LWB458810:LWB458811 MFX458810:MFX458811 MPT458810:MPT458811 MZP458810:MZP458811 NJL458810:NJL458811 NTH458810:NTH458811 ODD458810:ODD458811 OMZ458810:OMZ458811 OWV458810:OWV458811 PGR458810:PGR458811 PQN458810:PQN458811 QAJ458810:QAJ458811 QKF458810:QKF458811 QUB458810:QUB458811 RDX458810:RDX458811 RNT458810:RNT458811 RXP458810:RXP458811 SHL458810:SHL458811 SRH458810:SRH458811 TBD458810:TBD458811 TKZ458810:TKZ458811 TUV458810:TUV458811 UER458810:UER458811 UON458810:UON458811 UYJ458810:UYJ458811 VIF458810:VIF458811 VSB458810:VSB458811 WBX458810:WBX458811 WLT458810:WLT458811 WVP458810:WVP458811 H524346:H524347 JD524346:JD524347 SZ524346:SZ524347 ACV524346:ACV524347 AMR524346:AMR524347 AWN524346:AWN524347 BGJ524346:BGJ524347 BQF524346:BQF524347 CAB524346:CAB524347 CJX524346:CJX524347 CTT524346:CTT524347 DDP524346:DDP524347 DNL524346:DNL524347 DXH524346:DXH524347 EHD524346:EHD524347 EQZ524346:EQZ524347 FAV524346:FAV524347 FKR524346:FKR524347 FUN524346:FUN524347 GEJ524346:GEJ524347 GOF524346:GOF524347 GYB524346:GYB524347 HHX524346:HHX524347 HRT524346:HRT524347 IBP524346:IBP524347 ILL524346:ILL524347 IVH524346:IVH524347 JFD524346:JFD524347 JOZ524346:JOZ524347 JYV524346:JYV524347 KIR524346:KIR524347 KSN524346:KSN524347 LCJ524346:LCJ524347 LMF524346:LMF524347 LWB524346:LWB524347 MFX524346:MFX524347 MPT524346:MPT524347 MZP524346:MZP524347 NJL524346:NJL524347 NTH524346:NTH524347 ODD524346:ODD524347 OMZ524346:OMZ524347 OWV524346:OWV524347 PGR524346:PGR524347 PQN524346:PQN524347 QAJ524346:QAJ524347 QKF524346:QKF524347 QUB524346:QUB524347 RDX524346:RDX524347 RNT524346:RNT524347 RXP524346:RXP524347 SHL524346:SHL524347 SRH524346:SRH524347 TBD524346:TBD524347 TKZ524346:TKZ524347 TUV524346:TUV524347 UER524346:UER524347 UON524346:UON524347 UYJ524346:UYJ524347 VIF524346:VIF524347 VSB524346:VSB524347 WBX524346:WBX524347 WLT524346:WLT524347 WVP524346:WVP524347 H589882:H589883 JD589882:JD589883 SZ589882:SZ589883 ACV589882:ACV589883 AMR589882:AMR589883 AWN589882:AWN589883 BGJ589882:BGJ589883 BQF589882:BQF589883 CAB589882:CAB589883 CJX589882:CJX589883 CTT589882:CTT589883 DDP589882:DDP589883 DNL589882:DNL589883 DXH589882:DXH589883 EHD589882:EHD589883 EQZ589882:EQZ589883 FAV589882:FAV589883 FKR589882:FKR589883 FUN589882:FUN589883 GEJ589882:GEJ589883 GOF589882:GOF589883 GYB589882:GYB589883 HHX589882:HHX589883 HRT589882:HRT589883 IBP589882:IBP589883 ILL589882:ILL589883 IVH589882:IVH589883 JFD589882:JFD589883 JOZ589882:JOZ589883 JYV589882:JYV589883 KIR589882:KIR589883 KSN589882:KSN589883 LCJ589882:LCJ589883 LMF589882:LMF589883 LWB589882:LWB589883 MFX589882:MFX589883 MPT589882:MPT589883 MZP589882:MZP589883 NJL589882:NJL589883 NTH589882:NTH589883 ODD589882:ODD589883 OMZ589882:OMZ589883 OWV589882:OWV589883 PGR589882:PGR589883 PQN589882:PQN589883 QAJ589882:QAJ589883 QKF589882:QKF589883 QUB589882:QUB589883 RDX589882:RDX589883 RNT589882:RNT589883 RXP589882:RXP589883 SHL589882:SHL589883 SRH589882:SRH589883 TBD589882:TBD589883 TKZ589882:TKZ589883 TUV589882:TUV589883 UER589882:UER589883 UON589882:UON589883 UYJ589882:UYJ589883 VIF589882:VIF589883 VSB589882:VSB589883 WBX589882:WBX589883 WLT589882:WLT589883 WVP589882:WVP589883 H655418:H655419 JD655418:JD655419 SZ655418:SZ655419 ACV655418:ACV655419 AMR655418:AMR655419 AWN655418:AWN655419 BGJ655418:BGJ655419 BQF655418:BQF655419 CAB655418:CAB655419 CJX655418:CJX655419 CTT655418:CTT655419 DDP655418:DDP655419 DNL655418:DNL655419 DXH655418:DXH655419 EHD655418:EHD655419 EQZ655418:EQZ655419 FAV655418:FAV655419 FKR655418:FKR655419 FUN655418:FUN655419 GEJ655418:GEJ655419 GOF655418:GOF655419 GYB655418:GYB655419 HHX655418:HHX655419 HRT655418:HRT655419 IBP655418:IBP655419 ILL655418:ILL655419 IVH655418:IVH655419 JFD655418:JFD655419 JOZ655418:JOZ655419 JYV655418:JYV655419 KIR655418:KIR655419 KSN655418:KSN655419 LCJ655418:LCJ655419 LMF655418:LMF655419 LWB655418:LWB655419 MFX655418:MFX655419 MPT655418:MPT655419 MZP655418:MZP655419 NJL655418:NJL655419 NTH655418:NTH655419 ODD655418:ODD655419 OMZ655418:OMZ655419 OWV655418:OWV655419 PGR655418:PGR655419 PQN655418:PQN655419 QAJ655418:QAJ655419 QKF655418:QKF655419 QUB655418:QUB655419 RDX655418:RDX655419 RNT655418:RNT655419 RXP655418:RXP655419 SHL655418:SHL655419 SRH655418:SRH655419 TBD655418:TBD655419 TKZ655418:TKZ655419 TUV655418:TUV655419 UER655418:UER655419 UON655418:UON655419 UYJ655418:UYJ655419 VIF655418:VIF655419 VSB655418:VSB655419 WBX655418:WBX655419 WLT655418:WLT655419 WVP655418:WVP655419 H720954:H720955 JD720954:JD720955 SZ720954:SZ720955 ACV720954:ACV720955 AMR720954:AMR720955 AWN720954:AWN720955 BGJ720954:BGJ720955 BQF720954:BQF720955 CAB720954:CAB720955 CJX720954:CJX720955 CTT720954:CTT720955 DDP720954:DDP720955 DNL720954:DNL720955 DXH720954:DXH720955 EHD720954:EHD720955 EQZ720954:EQZ720955 FAV720954:FAV720955 FKR720954:FKR720955 FUN720954:FUN720955 GEJ720954:GEJ720955 GOF720954:GOF720955 GYB720954:GYB720955 HHX720954:HHX720955 HRT720954:HRT720955 IBP720954:IBP720955 ILL720954:ILL720955 IVH720954:IVH720955 JFD720954:JFD720955 JOZ720954:JOZ720955 JYV720954:JYV720955 KIR720954:KIR720955 KSN720954:KSN720955 LCJ720954:LCJ720955 LMF720954:LMF720955 LWB720954:LWB720955 MFX720954:MFX720955 MPT720954:MPT720955 MZP720954:MZP720955 NJL720954:NJL720955 NTH720954:NTH720955 ODD720954:ODD720955 OMZ720954:OMZ720955 OWV720954:OWV720955 PGR720954:PGR720955 PQN720954:PQN720955 QAJ720954:QAJ720955 QKF720954:QKF720955 QUB720954:QUB720955 RDX720954:RDX720955 RNT720954:RNT720955 RXP720954:RXP720955 SHL720954:SHL720955 SRH720954:SRH720955 TBD720954:TBD720955 TKZ720954:TKZ720955 TUV720954:TUV720955 UER720954:UER720955 UON720954:UON720955 UYJ720954:UYJ720955 VIF720954:VIF720955 VSB720954:VSB720955 WBX720954:WBX720955 WLT720954:WLT720955 WVP720954:WVP720955 H786490:H786491 JD786490:JD786491 SZ786490:SZ786491 ACV786490:ACV786491 AMR786490:AMR786491 AWN786490:AWN786491 BGJ786490:BGJ786491 BQF786490:BQF786491 CAB786490:CAB786491 CJX786490:CJX786491 CTT786490:CTT786491 DDP786490:DDP786491 DNL786490:DNL786491 DXH786490:DXH786491 EHD786490:EHD786491 EQZ786490:EQZ786491 FAV786490:FAV786491 FKR786490:FKR786491 FUN786490:FUN786491 GEJ786490:GEJ786491 GOF786490:GOF786491 GYB786490:GYB786491 HHX786490:HHX786491 HRT786490:HRT786491 IBP786490:IBP786491 ILL786490:ILL786491 IVH786490:IVH786491 JFD786490:JFD786491 JOZ786490:JOZ786491 JYV786490:JYV786491 KIR786490:KIR786491 KSN786490:KSN786491 LCJ786490:LCJ786491 LMF786490:LMF786491 LWB786490:LWB786491 MFX786490:MFX786491 MPT786490:MPT786491 MZP786490:MZP786491 NJL786490:NJL786491 NTH786490:NTH786491 ODD786490:ODD786491 OMZ786490:OMZ786491 OWV786490:OWV786491 PGR786490:PGR786491 PQN786490:PQN786491 QAJ786490:QAJ786491 QKF786490:QKF786491 QUB786490:QUB786491 RDX786490:RDX786491 RNT786490:RNT786491 RXP786490:RXP786491 SHL786490:SHL786491 SRH786490:SRH786491 TBD786490:TBD786491 TKZ786490:TKZ786491 TUV786490:TUV786491 UER786490:UER786491 UON786490:UON786491 UYJ786490:UYJ786491 VIF786490:VIF786491 VSB786490:VSB786491 WBX786490:WBX786491 WLT786490:WLT786491 WVP786490:WVP786491 H852026:H852027 JD852026:JD852027 SZ852026:SZ852027 ACV852026:ACV852027 AMR852026:AMR852027 AWN852026:AWN852027 BGJ852026:BGJ852027 BQF852026:BQF852027 CAB852026:CAB852027 CJX852026:CJX852027 CTT852026:CTT852027 DDP852026:DDP852027 DNL852026:DNL852027 DXH852026:DXH852027 EHD852026:EHD852027 EQZ852026:EQZ852027 FAV852026:FAV852027 FKR852026:FKR852027 FUN852026:FUN852027 GEJ852026:GEJ852027 GOF852026:GOF852027 GYB852026:GYB852027 HHX852026:HHX852027 HRT852026:HRT852027 IBP852026:IBP852027 ILL852026:ILL852027 IVH852026:IVH852027 JFD852026:JFD852027 JOZ852026:JOZ852027 JYV852026:JYV852027 KIR852026:KIR852027 KSN852026:KSN852027 LCJ852026:LCJ852027 LMF852026:LMF852027 LWB852026:LWB852027 MFX852026:MFX852027 MPT852026:MPT852027 MZP852026:MZP852027 NJL852026:NJL852027 NTH852026:NTH852027 ODD852026:ODD852027 OMZ852026:OMZ852027 OWV852026:OWV852027 PGR852026:PGR852027 PQN852026:PQN852027 QAJ852026:QAJ852027 QKF852026:QKF852027 QUB852026:QUB852027 RDX852026:RDX852027 RNT852026:RNT852027 RXP852026:RXP852027 SHL852026:SHL852027 SRH852026:SRH852027 TBD852026:TBD852027 TKZ852026:TKZ852027 TUV852026:TUV852027 UER852026:UER852027 UON852026:UON852027 UYJ852026:UYJ852027 VIF852026:VIF852027 VSB852026:VSB852027 WBX852026:WBX852027 WLT852026:WLT852027 WVP852026:WVP852027 H917562:H917563 JD917562:JD917563 SZ917562:SZ917563 ACV917562:ACV917563 AMR917562:AMR917563 AWN917562:AWN917563 BGJ917562:BGJ917563 BQF917562:BQF917563 CAB917562:CAB917563 CJX917562:CJX917563 CTT917562:CTT917563 DDP917562:DDP917563 DNL917562:DNL917563 DXH917562:DXH917563 EHD917562:EHD917563 EQZ917562:EQZ917563 FAV917562:FAV917563 FKR917562:FKR917563 FUN917562:FUN917563 GEJ917562:GEJ917563 GOF917562:GOF917563 GYB917562:GYB917563 HHX917562:HHX917563 HRT917562:HRT917563 IBP917562:IBP917563 ILL917562:ILL917563 IVH917562:IVH917563 JFD917562:JFD917563 JOZ917562:JOZ917563 JYV917562:JYV917563 KIR917562:KIR917563 KSN917562:KSN917563 LCJ917562:LCJ917563 LMF917562:LMF917563 LWB917562:LWB917563 MFX917562:MFX917563 MPT917562:MPT917563 MZP917562:MZP917563 NJL917562:NJL917563 NTH917562:NTH917563 ODD917562:ODD917563 OMZ917562:OMZ917563 OWV917562:OWV917563 PGR917562:PGR917563 PQN917562:PQN917563 QAJ917562:QAJ917563 QKF917562:QKF917563 QUB917562:QUB917563 RDX917562:RDX917563 RNT917562:RNT917563 RXP917562:RXP917563 SHL917562:SHL917563 SRH917562:SRH917563 TBD917562:TBD917563 TKZ917562:TKZ917563 TUV917562:TUV917563 UER917562:UER917563 UON917562:UON917563 UYJ917562:UYJ917563 VIF917562:VIF917563 VSB917562:VSB917563 WBX917562:WBX917563 WLT917562:WLT917563 WVP917562:WVP917563 H983098:H983099 JD983098:JD983099 SZ983098:SZ983099 ACV983098:ACV983099 AMR983098:AMR983099 AWN983098:AWN983099 BGJ983098:BGJ983099 BQF983098:BQF983099 CAB983098:CAB983099 CJX983098:CJX983099 CTT983098:CTT983099 DDP983098:DDP983099 DNL983098:DNL983099 DXH983098:DXH983099 EHD983098:EHD983099 EQZ983098:EQZ983099 FAV983098:FAV983099 FKR983098:FKR983099 FUN983098:FUN983099 GEJ983098:GEJ983099 GOF983098:GOF983099 GYB983098:GYB983099 HHX983098:HHX983099 HRT983098:HRT983099 IBP983098:IBP983099 ILL983098:ILL983099 IVH983098:IVH983099 JFD983098:JFD983099 JOZ983098:JOZ983099 JYV983098:JYV983099 KIR983098:KIR983099 KSN983098:KSN983099 LCJ983098:LCJ983099 LMF983098:LMF983099 LWB983098:LWB983099 MFX983098:MFX983099 MPT983098:MPT983099 MZP983098:MZP983099 NJL983098:NJL983099 NTH983098:NTH983099 ODD983098:ODD983099 OMZ983098:OMZ983099 OWV983098:OWV983099 PGR983098:PGR983099 PQN983098:PQN983099 QAJ983098:QAJ983099 QKF983098:QKF983099 QUB983098:QUB983099 RDX983098:RDX983099 RNT983098:RNT983099 RXP983098:RXP983099 SHL983098:SHL983099 SRH983098:SRH983099 TBD983098:TBD983099 TKZ983098:TKZ983099 TUV983098:TUV983099 UER983098:UER983099 UON983098:UON983099 UYJ983098:UYJ983099 VIF983098:VIF983099 VSB983098:VSB983099 WBX983098:WBX983099 WLT983098:WLT983099 WVP983098:WVP983099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674" t="str">
        <f>IF(项目基本情况!B9="房地产市场价值","估价结果一览表","结果表-2")</f>
        <v>结果表-2</v>
      </c>
      <c r="B1" s="3674"/>
      <c r="C1" s="3674"/>
      <c r="D1" s="3674"/>
      <c r="E1" s="3674"/>
      <c r="F1" s="3674"/>
      <c r="G1" s="3674"/>
      <c r="H1" s="3674"/>
      <c r="I1" s="3674"/>
    </row>
    <row r="2" spans="1:9" ht="30" customHeight="1" thickTop="1">
      <c r="A2" s="3675" t="s">
        <v>928</v>
      </c>
      <c r="B2" s="3675" t="s">
        <v>929</v>
      </c>
      <c r="C2" s="3675" t="s">
        <v>930</v>
      </c>
      <c r="D2" s="3675" t="str">
        <f>结果表!D116</f>
        <v>出让国有建设用地使用权价值</v>
      </c>
      <c r="E2" s="3675"/>
      <c r="F2" s="3675" t="str">
        <f>结果表!F116</f>
        <v>在建建筑物价值</v>
      </c>
      <c r="G2" s="3675"/>
      <c r="H2" s="3675" t="str">
        <f>IF(项目基本情况!B9="房地产市场价值","房地产市场价值","房地产价值")</f>
        <v>房地产价值</v>
      </c>
      <c r="I2" s="3675"/>
    </row>
    <row r="3" spans="1:9" ht="15">
      <c r="A3" s="3670"/>
      <c r="B3" s="3670"/>
      <c r="C3" s="3670"/>
      <c r="D3" s="851" t="s">
        <v>925</v>
      </c>
      <c r="E3" s="851" t="s">
        <v>931</v>
      </c>
      <c r="F3" s="851" t="s">
        <v>925</v>
      </c>
      <c r="G3" s="851" t="s">
        <v>926</v>
      </c>
      <c r="H3" s="851" t="s">
        <v>925</v>
      </c>
      <c r="I3" s="851" t="s">
        <v>926</v>
      </c>
    </row>
    <row r="4" spans="1:9" ht="15">
      <c r="A4" s="1502" t="str">
        <f>项目基本情况!S2</f>
        <v>北京市房地产</v>
      </c>
      <c r="B4" s="851">
        <f>项目基本情况!C17</f>
        <v>12000.23</v>
      </c>
      <c r="C4" s="851">
        <f>项目基本情况!C18</f>
        <v>1066.21</v>
      </c>
      <c r="D4" s="851">
        <f ca="1">结果表!D118</f>
        <v>36996</v>
      </c>
      <c r="E4" s="851">
        <f ca="1">结果表!E118</f>
        <v>30830</v>
      </c>
      <c r="F4" s="851">
        <f ca="1">结果表!F118</f>
        <v>7311</v>
      </c>
      <c r="G4" s="851">
        <f ca="1">结果表!G118</f>
        <v>6092</v>
      </c>
      <c r="H4" s="851">
        <f ca="1">结果表!H118</f>
        <v>44307</v>
      </c>
      <c r="I4" s="851">
        <f ca="1">结果表!I118</f>
        <v>36922</v>
      </c>
    </row>
    <row r="5" spans="1:9" ht="30" customHeight="1">
      <c r="A5" s="3670" t="s">
        <v>927</v>
      </c>
      <c r="B5" s="3670"/>
      <c r="C5" s="3670"/>
      <c r="D5" s="3670" t="str">
        <f ca="1">结果表!D119</f>
        <v>叁亿陆仟玖佰玖拾陆万元整</v>
      </c>
      <c r="E5" s="3670"/>
      <c r="F5" s="3670" t="str">
        <f ca="1">结果表!F119</f>
        <v>柒仟叁佰壹拾壹万元整</v>
      </c>
      <c r="G5" s="3670"/>
      <c r="H5" s="3670" t="str">
        <f ca="1">结果表!H119</f>
        <v>肆亿肆仟叁佰零柒万元整</v>
      </c>
      <c r="I5" s="3670"/>
    </row>
    <row r="6" spans="1:9" ht="15.75">
      <c r="A6" s="3669" t="str">
        <f>结果表!A120</f>
        <v>估价师知悉的法定优先受偿款</v>
      </c>
      <c r="B6" s="3669"/>
      <c r="C6" s="3669"/>
      <c r="D6" s="3669">
        <f>结果表!D120</f>
        <v>0</v>
      </c>
      <c r="E6" s="3669"/>
      <c r="F6" s="3669"/>
      <c r="G6" s="3669"/>
      <c r="H6" s="3669"/>
      <c r="I6" s="3669"/>
    </row>
    <row r="7" spans="1:9" ht="15">
      <c r="A7" s="3670" t="s">
        <v>927</v>
      </c>
      <c r="B7" s="3670"/>
      <c r="C7" s="3670"/>
      <c r="D7" s="3671" t="str">
        <f>结果表!D121</f>
        <v>零元整</v>
      </c>
      <c r="E7" s="3672"/>
      <c r="F7" s="3672"/>
      <c r="G7" s="3672"/>
      <c r="H7" s="3672"/>
      <c r="I7" s="3673"/>
    </row>
    <row r="8" spans="1:9" ht="15.75">
      <c r="A8" s="3669" t="str">
        <f>结果表!A122</f>
        <v>房地产抵押价值</v>
      </c>
      <c r="B8" s="3669"/>
      <c r="C8" s="3669"/>
      <c r="D8" s="3669">
        <f ca="1">结果表!D122</f>
        <v>44307</v>
      </c>
      <c r="E8" s="3669"/>
      <c r="F8" s="3669"/>
      <c r="G8" s="3669"/>
      <c r="H8" s="3669"/>
      <c r="I8" s="3669"/>
    </row>
    <row r="9" spans="1:9" ht="15">
      <c r="A9" s="3670" t="s">
        <v>927</v>
      </c>
      <c r="B9" s="3670"/>
      <c r="C9" s="3670"/>
      <c r="D9" s="3670" t="str">
        <f ca="1">结果表!D123</f>
        <v>肆亿肆仟叁佰零柒万元整</v>
      </c>
      <c r="E9" s="3670"/>
      <c r="F9" s="3670"/>
      <c r="G9" s="3670"/>
      <c r="H9" s="3670"/>
      <c r="I9" s="3670"/>
    </row>
    <row r="10" spans="1:9" ht="15.75">
      <c r="A10" s="3669" t="str">
        <f>结果表!A124</f>
        <v/>
      </c>
      <c r="B10" s="3669"/>
      <c r="C10" s="3669"/>
      <c r="D10" s="3669" t="str">
        <f>结果表!D124</f>
        <v>——</v>
      </c>
      <c r="E10" s="3669"/>
      <c r="F10" s="3669"/>
      <c r="G10" s="3669"/>
      <c r="H10" s="3669"/>
      <c r="I10" s="3669"/>
    </row>
    <row r="11" spans="1:9" ht="15">
      <c r="A11" s="3670" t="s">
        <v>927</v>
      </c>
      <c r="B11" s="3670"/>
      <c r="C11" s="3670"/>
      <c r="D11" s="3670" t="e">
        <f>结果表!D125</f>
        <v>#VALUE!</v>
      </c>
      <c r="E11" s="3670"/>
      <c r="F11" s="3670"/>
      <c r="G11" s="3670"/>
      <c r="H11" s="3670"/>
      <c r="I11" s="3670"/>
    </row>
    <row r="12" spans="1:9" ht="15.75">
      <c r="A12" s="3669" t="str">
        <f>结果表!A126</f>
        <v/>
      </c>
      <c r="B12" s="3669"/>
      <c r="C12" s="3669"/>
      <c r="D12" s="3669" t="str">
        <f>结果表!D126</f>
        <v>——</v>
      </c>
      <c r="E12" s="3669"/>
      <c r="F12" s="3669"/>
      <c r="G12" s="3669"/>
      <c r="H12" s="3669"/>
      <c r="I12" s="3669"/>
    </row>
    <row r="13" spans="1:9" ht="15.75" thickBot="1">
      <c r="A13" s="3667" t="s">
        <v>927</v>
      </c>
      <c r="B13" s="3667"/>
      <c r="C13" s="3667"/>
      <c r="D13" s="3667" t="e">
        <f>结果表!D127</f>
        <v>#VALUE!</v>
      </c>
      <c r="E13" s="3667"/>
      <c r="F13" s="3667"/>
      <c r="G13" s="3667"/>
      <c r="H13" s="3667"/>
      <c r="I13" s="3667"/>
    </row>
    <row r="14" spans="1:9" ht="15" thickTop="1">
      <c r="A14" s="3668" t="s">
        <v>932</v>
      </c>
      <c r="B14" s="3668"/>
      <c r="C14" s="3668"/>
      <c r="D14" s="3668"/>
      <c r="E14" s="3668"/>
      <c r="F14" s="3668"/>
      <c r="G14" s="3668"/>
      <c r="H14" s="3668"/>
      <c r="I14" s="366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682" t="s">
        <v>949</v>
      </c>
      <c r="B1" s="3682"/>
      <c r="C1" s="3682"/>
      <c r="D1" s="3682"/>
    </row>
    <row r="2" spans="1:4" ht="18">
      <c r="A2" s="3683" t="s">
        <v>933</v>
      </c>
      <c r="B2" s="3683"/>
      <c r="C2" s="3683"/>
      <c r="D2" s="3683"/>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683" t="s">
        <v>939</v>
      </c>
      <c r="B6" s="3683"/>
      <c r="C6" s="3683"/>
      <c r="D6" s="3683"/>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684" t="s">
        <v>942</v>
      </c>
      <c r="B11" s="3676"/>
      <c r="C11" s="3676"/>
      <c r="D11" s="3676"/>
    </row>
    <row r="12" spans="1:4" ht="15.75">
      <c r="A12" s="36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1"/>
      <c r="C12" s="3681"/>
      <c r="D12" s="3681"/>
    </row>
    <row r="13" spans="1:4" ht="30" customHeight="1">
      <c r="A13" s="36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1"/>
      <c r="C13" s="3681"/>
      <c r="D13" s="3681"/>
    </row>
    <row r="14" spans="1:4" ht="15.75" customHeight="1">
      <c r="A14" s="3676" t="str">
        <f>IF(项目基本情况!B8="抵押","4.本次评估估价师所知悉的法定优先受偿款情况说明如下：","——")</f>
        <v>4.本次评估估价师所知悉的法定优先受偿款情况说明如下：</v>
      </c>
      <c r="B14" s="3681"/>
      <c r="C14" s="3681"/>
      <c r="D14" s="3681"/>
    </row>
    <row r="15" spans="1:4" ht="42" customHeight="1">
      <c r="A15" s="36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6"/>
      <c r="C15" s="3676"/>
      <c r="D15" s="3676"/>
    </row>
    <row r="16" spans="1:4" ht="30" customHeight="1">
      <c r="A16" s="3678" t="s">
        <v>943</v>
      </c>
      <c r="B16" s="3678"/>
      <c r="C16" s="3678"/>
      <c r="D16" s="3678"/>
    </row>
    <row r="17" spans="1:4" ht="144" customHeight="1">
      <c r="A17" s="3678" t="s">
        <v>944</v>
      </c>
      <c r="B17" s="3678"/>
      <c r="C17" s="3678"/>
      <c r="D17" s="3678"/>
    </row>
    <row r="18" spans="1:4" ht="15.75" customHeight="1">
      <c r="A18" s="3676" t="str">
        <f>IF(项目基本情况!B8="抵押",结果表!K120,"——")</f>
        <v>故，本次评估不存在估价师知悉的法定优先受偿款</v>
      </c>
      <c r="B18" s="3676"/>
      <c r="C18" s="3676"/>
      <c r="D18" s="3676"/>
    </row>
    <row r="19" spans="1:4" ht="46.5" customHeight="1">
      <c r="A19" s="36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6"/>
      <c r="C19" s="3676"/>
      <c r="D19" s="3676"/>
    </row>
    <row r="20" spans="1:4" ht="57.75" customHeight="1">
      <c r="A20" s="36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6"/>
      <c r="C20" s="3676"/>
      <c r="D20" s="3676"/>
    </row>
    <row r="21" spans="1:4" ht="57.75" customHeight="1">
      <c r="A21" s="3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9"/>
      <c r="C21" s="3679"/>
      <c r="D21" s="3679"/>
    </row>
    <row r="22" spans="1:4" ht="18.75" customHeight="1">
      <c r="A22" s="3680" t="s">
        <v>945</v>
      </c>
      <c r="B22" s="3680"/>
      <c r="C22" s="3680"/>
      <c r="D22" s="3680"/>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677">
        <v>42551</v>
      </c>
      <c r="D31" s="36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690" t="s">
        <v>956</v>
      </c>
      <c r="B15" s="3685" t="s">
        <v>109</v>
      </c>
      <c r="C15" s="3686"/>
    </row>
    <row r="16" spans="1:7" ht="13.5">
      <c r="A16" s="3691"/>
      <c r="B16" s="3685" t="s">
        <v>42</v>
      </c>
      <c r="C16" s="3686"/>
    </row>
    <row r="17" spans="1:3" ht="13.5">
      <c r="A17" s="3691"/>
      <c r="B17" s="3688" t="s">
        <v>957</v>
      </c>
      <c r="C17" s="1529" t="s">
        <v>956</v>
      </c>
    </row>
    <row r="18" spans="1:3" ht="13.5">
      <c r="A18" s="3691"/>
      <c r="B18" s="3688"/>
      <c r="C18" s="1529" t="s">
        <v>958</v>
      </c>
    </row>
    <row r="19" spans="1:3" ht="13.5">
      <c r="A19" s="3691"/>
      <c r="B19" s="3688"/>
      <c r="C19" s="1529" t="s">
        <v>959</v>
      </c>
    </row>
    <row r="20" spans="1:3" ht="13.5">
      <c r="A20" s="3692"/>
      <c r="B20" s="3687" t="s">
        <v>960</v>
      </c>
      <c r="C20" s="3686"/>
    </row>
    <row r="21" spans="1:3" ht="13.5">
      <c r="A21" s="1530" t="s">
        <v>961</v>
      </c>
      <c r="B21" s="1531"/>
      <c r="C21" s="1532"/>
    </row>
    <row r="22" spans="1:3" ht="13.5">
      <c r="A22" s="3689" t="s">
        <v>962</v>
      </c>
      <c r="B22" s="3687" t="s">
        <v>963</v>
      </c>
      <c r="C22" s="3686"/>
    </row>
    <row r="23" spans="1:3" ht="13.5">
      <c r="A23" s="3689"/>
      <c r="B23" s="3687" t="s">
        <v>964</v>
      </c>
      <c r="C23" s="3686"/>
    </row>
    <row r="24" spans="1:3" ht="13.5">
      <c r="A24" s="3689"/>
      <c r="B24" s="3687" t="s">
        <v>965</v>
      </c>
      <c r="C24" s="3686"/>
    </row>
    <row r="25" spans="1:3" ht="13.5">
      <c r="A25" s="3689"/>
      <c r="B25" s="3688" t="s">
        <v>966</v>
      </c>
      <c r="C25" s="1529" t="s">
        <v>967</v>
      </c>
    </row>
    <row r="26" spans="1:3" ht="13.5">
      <c r="A26" s="3689"/>
      <c r="B26" s="3688"/>
      <c r="C26" s="1529" t="s">
        <v>968</v>
      </c>
    </row>
    <row r="27" spans="1:3" ht="13.5">
      <c r="A27" s="3689"/>
      <c r="B27" s="3688"/>
      <c r="C27" s="1529" t="s">
        <v>969</v>
      </c>
    </row>
    <row r="28" spans="1:3" ht="13.5">
      <c r="A28" s="3689"/>
      <c r="B28" s="3688"/>
      <c r="C28" s="1529" t="s">
        <v>970</v>
      </c>
    </row>
    <row r="29" spans="1:3" ht="13.5">
      <c r="A29" s="3689"/>
      <c r="B29" s="3688"/>
      <c r="C29" s="1529" t="s">
        <v>971</v>
      </c>
    </row>
    <row r="30" spans="1:3" ht="13.5">
      <c r="A30" s="3689"/>
      <c r="B30" s="3688"/>
      <c r="C30" s="1529" t="s">
        <v>972</v>
      </c>
    </row>
    <row r="31" spans="1:3" ht="13.5">
      <c r="A31" s="3689"/>
      <c r="B31" s="3688"/>
      <c r="C31" s="1529" t="s">
        <v>973</v>
      </c>
    </row>
    <row r="32" spans="1:3" ht="13.5">
      <c r="A32" s="3689"/>
      <c r="B32" s="3688"/>
      <c r="C32" s="1529" t="s">
        <v>974</v>
      </c>
    </row>
    <row r="33" spans="1:3" ht="13.5">
      <c r="A33" s="3689"/>
      <c r="B33" s="3688"/>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44973</v>
      </c>
      <c r="C2" s="2337" t="s">
        <v>2140</v>
      </c>
      <c r="D2" s="2337"/>
      <c r="E2" s="2337"/>
      <c r="F2" s="2333"/>
      <c r="G2" s="2333"/>
      <c r="H2" s="2333"/>
    </row>
    <row r="3" spans="1:8" ht="24" customHeight="1">
      <c r="A3" s="2338" t="s">
        <v>2141</v>
      </c>
      <c r="B3" s="2339" t="s">
        <v>2142</v>
      </c>
      <c r="C3" s="2339" t="s">
        <v>2143</v>
      </c>
      <c r="D3" s="2340" t="s">
        <v>2144</v>
      </c>
      <c r="E3" s="2341" t="s">
        <v>2145</v>
      </c>
      <c r="F3" s="1301" t="s">
        <v>2146</v>
      </c>
      <c r="G3" s="2339" t="s">
        <v>2143</v>
      </c>
      <c r="H3" s="2340" t="s">
        <v>2147</v>
      </c>
    </row>
    <row r="4" spans="1:8" ht="24" customHeight="1">
      <c r="A4" s="1301" t="s">
        <v>2148</v>
      </c>
      <c r="B4" s="1301">
        <f ca="1">IF(C4&lt;B2,"已过期",1119970066)</f>
        <v>1119970066</v>
      </c>
      <c r="C4" s="2342">
        <v>45937</v>
      </c>
      <c r="D4" s="2343" t="str">
        <f ca="1">A4&amp;"（注册号："&amp;B4&amp;"）"</f>
        <v>梁津（注册号：1119970066）</v>
      </c>
      <c r="E4" s="2344" t="s">
        <v>2148</v>
      </c>
      <c r="F4" s="1301">
        <f ca="1">IF(G4&lt;B2,"已过期",96010014)</f>
        <v>96010014</v>
      </c>
      <c r="G4" s="2345">
        <v>47118</v>
      </c>
      <c r="H4" s="2346" t="str">
        <f ca="1">E4&amp;"（注册号："&amp;F4&amp;"）"</f>
        <v>梁津（注册号：96010014）</v>
      </c>
    </row>
    <row r="5" spans="1:8" ht="24" customHeight="1">
      <c r="A5" s="1301" t="s">
        <v>2149</v>
      </c>
      <c r="B5" s="1301">
        <f ca="1">IF(C5&lt;B2,"已过期",1119970111)</f>
        <v>1119970111</v>
      </c>
      <c r="C5" s="2342">
        <v>45937</v>
      </c>
      <c r="D5" s="2343" t="str">
        <f t="shared" ref="D5:D15" ca="1" si="0">A5&amp;"（注册号："&amp;B5&amp;"）"</f>
        <v>叶凌（注册号：1119970111）</v>
      </c>
      <c r="E5" s="2344" t="s">
        <v>2149</v>
      </c>
      <c r="F5" s="1301">
        <f ca="1">IF(G5&lt;B2,"已过期",94010078)</f>
        <v>94010078</v>
      </c>
      <c r="G5" s="2345">
        <v>46387</v>
      </c>
      <c r="H5" s="2346" t="str">
        <f t="shared" ref="H5:H16" ca="1" si="1">E5&amp;"（注册号："&amp;F5&amp;"）"</f>
        <v>叶凌（注册号：94010078）</v>
      </c>
    </row>
    <row r="6" spans="1:8" ht="24" customHeight="1">
      <c r="A6" s="1301" t="s">
        <v>2150</v>
      </c>
      <c r="B6" s="1301">
        <f ca="1">IF(C6&lt;B2,"已过期",1120050019)</f>
        <v>1120050019</v>
      </c>
      <c r="C6" s="2342">
        <v>45410</v>
      </c>
      <c r="D6" s="2343" t="str">
        <f t="shared" ca="1" si="0"/>
        <v>王鹏（注册号：1120050019）</v>
      </c>
      <c r="E6" s="2344" t="s">
        <v>2150</v>
      </c>
      <c r="F6" s="1301">
        <f ca="1">IF(G6&lt;B2,"已过期",2002110030)</f>
        <v>2002110030</v>
      </c>
      <c r="G6" s="2345">
        <v>46387</v>
      </c>
      <c r="H6" s="2346" t="str">
        <f t="shared" ca="1" si="1"/>
        <v>王鹏（注册号：2002110030）</v>
      </c>
    </row>
    <row r="7" spans="1:8" ht="24" customHeight="1">
      <c r="A7" s="1301" t="s">
        <v>2151</v>
      </c>
      <c r="B7" s="1301">
        <f ca="1">IF(C7&lt;B2,"已过期",1120000080)</f>
        <v>1120000080</v>
      </c>
      <c r="C7" s="2342">
        <v>45937</v>
      </c>
      <c r="D7" s="2343" t="str">
        <f t="shared" ca="1" si="0"/>
        <v>欧红伟（注册号：1120000080）</v>
      </c>
      <c r="E7" s="2344" t="s">
        <v>2151</v>
      </c>
      <c r="F7" s="1301">
        <f ca="1">IF(G7&lt;B2,"已过期",2000110082)</f>
        <v>2000110082</v>
      </c>
      <c r="G7" s="2345">
        <v>46387</v>
      </c>
      <c r="H7" s="2346" t="str">
        <f t="shared" ca="1" si="1"/>
        <v>欧红伟（注册号：2000110082）</v>
      </c>
    </row>
    <row r="8" spans="1:8" ht="24" customHeight="1">
      <c r="A8" s="1301" t="s">
        <v>2152</v>
      </c>
      <c r="B8" s="1301">
        <f ca="1">IF(C8&lt;B2,"已过期",1419970001)</f>
        <v>1419970001</v>
      </c>
      <c r="C8" s="2342">
        <v>45937</v>
      </c>
      <c r="D8" s="2343" t="str">
        <f t="shared" ca="1" si="0"/>
        <v>吴薇（注册号：1419970001）</v>
      </c>
      <c r="E8" s="2344" t="s">
        <v>2152</v>
      </c>
      <c r="F8" s="1301">
        <f ca="1">IF(G8&lt;B2,"已过期",2002110125)</f>
        <v>2002110125</v>
      </c>
      <c r="G8" s="2345">
        <v>47118</v>
      </c>
      <c r="H8" s="2346" t="str">
        <f t="shared" ca="1" si="1"/>
        <v>吴薇（注册号：2002110125）</v>
      </c>
    </row>
    <row r="9" spans="1:8" ht="24" customHeight="1">
      <c r="A9" s="1301" t="s">
        <v>2153</v>
      </c>
      <c r="B9" s="1301">
        <f ca="1">IF(C9&lt;B2,"已过期",1120060040)</f>
        <v>1120060040</v>
      </c>
      <c r="C9" s="2347">
        <v>45592</v>
      </c>
      <c r="D9" s="2343" t="str">
        <f t="shared" ca="1" si="0"/>
        <v>陈颖（注册号：1120060040）</v>
      </c>
      <c r="E9" s="2344" t="s">
        <v>2153</v>
      </c>
      <c r="F9" s="1301">
        <f ca="1">IF(G9&lt;B2,"已过期",2004110096)</f>
        <v>2004110096</v>
      </c>
      <c r="G9" s="2345">
        <v>47118</v>
      </c>
      <c r="H9" s="2346" t="str">
        <f t="shared" ca="1" si="1"/>
        <v>陈颖（注册号：2004110096）</v>
      </c>
    </row>
    <row r="10" spans="1:8" ht="24" customHeight="1">
      <c r="A10" s="1301" t="s">
        <v>2154</v>
      </c>
      <c r="B10" s="1301">
        <f ca="1">IF(C10&lt;B2,"已过期",1120100036)</f>
        <v>1120100036</v>
      </c>
      <c r="C10" s="2347">
        <v>45752</v>
      </c>
      <c r="D10" s="2343" t="str">
        <f t="shared" ca="1" si="0"/>
        <v>崔锴（注册号：1120100036）</v>
      </c>
      <c r="E10" s="2344" t="s">
        <v>2154</v>
      </c>
      <c r="F10" s="1301">
        <f ca="1">IF(G10&lt;B2,"已过期",2010110070)</f>
        <v>2010110070</v>
      </c>
      <c r="G10" s="2345">
        <v>47907</v>
      </c>
      <c r="H10" s="2346" t="str">
        <f t="shared" ca="1" si="1"/>
        <v>崔锴（注册号：2010110070）</v>
      </c>
    </row>
    <row r="11" spans="1:8" ht="24" customHeight="1">
      <c r="A11" s="1301" t="s">
        <v>2155</v>
      </c>
      <c r="B11" s="1301">
        <f ca="1">IF(C11&lt;B2,"已过期",1120070131)</f>
        <v>1120070131</v>
      </c>
      <c r="C11" s="2342">
        <v>45937</v>
      </c>
      <c r="D11" s="2343" t="str">
        <f t="shared" ca="1" si="0"/>
        <v>郑燚（注册号：1120070131）</v>
      </c>
      <c r="E11" s="2344" t="s">
        <v>2155</v>
      </c>
      <c r="F11" s="1301">
        <f ca="1">IF(G11&lt;B2,"已过期",2014110011)</f>
        <v>2014110011</v>
      </c>
      <c r="G11" s="2345">
        <v>49302</v>
      </c>
      <c r="H11" s="2346" t="str">
        <f t="shared" ca="1" si="1"/>
        <v>郑燚（注册号：2014110011）</v>
      </c>
    </row>
    <row r="12" spans="1:8" ht="24" customHeight="1">
      <c r="A12" s="1301" t="s">
        <v>2156</v>
      </c>
      <c r="B12" s="1301">
        <f ca="1">IF(C12&lt;B2,"已过期",1120040230)</f>
        <v>1120040230</v>
      </c>
      <c r="C12" s="2347">
        <v>45937</v>
      </c>
      <c r="D12" s="2343" t="str">
        <f t="shared" ca="1" si="0"/>
        <v>苏海（注册号：1120040230）</v>
      </c>
      <c r="E12" s="2344" t="s">
        <v>2156</v>
      </c>
      <c r="F12" s="1301">
        <f ca="1">IF(G12&lt;B2,"已过期",98030020)</f>
        <v>98030020</v>
      </c>
      <c r="G12" s="2345">
        <v>47118</v>
      </c>
      <c r="H12" s="2346" t="str">
        <f t="shared" ca="1" si="1"/>
        <v>苏海（注册号：98030020）</v>
      </c>
    </row>
    <row r="13" spans="1:8" ht="24" customHeight="1">
      <c r="A13" s="1301" t="s">
        <v>2157</v>
      </c>
      <c r="B13" s="1301">
        <f ca="1">IF(C13&lt;B2,"已过期",1120020033)</f>
        <v>1120020033</v>
      </c>
      <c r="C13" s="2342">
        <v>45375</v>
      </c>
      <c r="D13" s="2343" t="str">
        <f t="shared" ca="1" si="0"/>
        <v>刘敬东（注册号：1120020033）</v>
      </c>
      <c r="E13" s="2344" t="s">
        <v>2157</v>
      </c>
      <c r="F13" s="1301">
        <f ca="1">IF(G13&lt;B2,"已过期",2000110137)</f>
        <v>2000110137</v>
      </c>
      <c r="G13" s="2345">
        <v>46387</v>
      </c>
      <c r="H13" s="2346" t="str">
        <f t="shared" ca="1" si="1"/>
        <v>刘敬东（注册号：2000110137）</v>
      </c>
    </row>
    <row r="14" spans="1:8" ht="24" customHeight="1">
      <c r="A14" s="1301" t="s">
        <v>2158</v>
      </c>
      <c r="B14" s="1301" t="str">
        <f ca="1">IF(C14&lt;B2,"已过期",1119980106)</f>
        <v>已过期</v>
      </c>
      <c r="C14" s="2347">
        <v>44969</v>
      </c>
      <c r="D14" s="2343" t="str">
        <f t="shared" ca="1" si="0"/>
        <v>刘俊财（注册号：已过期）</v>
      </c>
      <c r="E14" s="2344" t="s">
        <v>2158</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2159</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693" t="s">
        <v>2160</v>
      </c>
      <c r="B17" s="3693"/>
      <c r="C17" s="3693"/>
      <c r="D17" s="3693"/>
      <c r="E17" s="3693"/>
      <c r="F17" s="3693"/>
      <c r="G17" s="3693"/>
      <c r="H17" s="3693"/>
    </row>
    <row r="18" spans="1:8" ht="24" customHeight="1">
      <c r="A18" s="3694" t="s">
        <v>2161</v>
      </c>
      <c r="B18" s="3694"/>
      <c r="C18" s="3694"/>
      <c r="D18" s="2340"/>
      <c r="E18" s="3695" t="s">
        <v>2162</v>
      </c>
      <c r="F18" s="3694"/>
      <c r="G18" s="3694"/>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大宗</vt:lpstr>
      <vt:lpstr>Sheet1</vt:lpstr>
      <vt:lpstr>收益法</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2023-02-16T11:29:43Z</dcterms:modified>
</cp:coreProperties>
</file>