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2758FAD6-951B-4E68-B2C7-82BA495BBB1F}" xr6:coauthVersionLast="47" xr6:coauthVersionMax="47" xr10:uidLastSave="{00000000-0000-0000-0000-000000000000}"/>
  <bookViews>
    <workbookView xWindow="-108" yWindow="-108" windowWidth="23256" windowHeight="1257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选取案例" sheetId="80" r:id="rId42"/>
    <sheet name="Sheet2" sheetId="82" r:id="rId43"/>
    <sheet name="Sheet3" sheetId="83" r:id="rId44"/>
    <sheet name="税率" sheetId="81"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F66" i="21"/>
  <c r="E66" i="21" s="1"/>
  <c r="D66" i="21" s="1"/>
  <c r="C66" i="21" s="1"/>
  <c r="G66" i="21"/>
  <c r="H66" i="21"/>
  <c r="I104" i="21"/>
  <c r="E104" i="21"/>
  <c r="F104" i="21" s="1"/>
  <c r="G104" i="21" s="1"/>
  <c r="H104" i="21" s="1"/>
  <c r="D104" i="21"/>
  <c r="B14" i="74"/>
  <c r="B35" i="1"/>
  <c r="G47" i="21"/>
  <c r="E47" i="21"/>
  <c r="I33" i="21"/>
  <c r="G33" i="21"/>
  <c r="E33" i="21"/>
  <c r="I37" i="21"/>
  <c r="G37" i="21"/>
  <c r="E37" i="21"/>
  <c r="G7" i="21"/>
  <c r="G6" i="21"/>
  <c r="G5" i="21"/>
  <c r="I7" i="21"/>
  <c r="E7" i="21"/>
  <c r="I6" i="21"/>
  <c r="I5" i="21"/>
  <c r="E6" i="21"/>
  <c r="E5" i="21"/>
  <c r="D91" i="21" l="1"/>
  <c r="E91" i="21" s="1"/>
  <c r="D3" i="4" l="1"/>
  <c r="J49" i="67"/>
  <c r="B21" i="1"/>
  <c r="N19" i="1"/>
  <c r="N6" i="1" s="1"/>
  <c r="Y6" i="1" s="1"/>
  <c r="C37" i="21"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50" i="79"/>
  <c r="AI50" i="79" s="1"/>
  <c r="Z3" i="79"/>
  <c r="AA31" i="79"/>
  <c r="AD31" i="79" s="1"/>
  <c r="U46" i="79"/>
  <c r="AI46" i="79" s="1"/>
  <c r="AD47" i="79"/>
  <c r="S48" i="79"/>
  <c r="AG48" i="79" s="1"/>
  <c r="AD51" i="79"/>
  <c r="S20" i="79"/>
  <c r="AG20" i="79" s="1"/>
  <c r="T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4" i="79"/>
  <c r="T33"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W35" i="79"/>
  <c r="AK35" i="79" s="1"/>
  <c r="AH35" i="79"/>
  <c r="W22" i="79"/>
  <c r="AK22" i="79" s="1"/>
  <c r="AH22" i="79"/>
  <c r="W19" i="79"/>
  <c r="AK19" i="79" s="1"/>
  <c r="AH19" i="79"/>
  <c r="W43" i="79"/>
  <c r="AK43" i="79" s="1"/>
  <c r="AH43" i="79"/>
  <c r="W38" i="79"/>
  <c r="AK38" i="79" s="1"/>
  <c r="AH38" i="79"/>
  <c r="W34" i="79"/>
  <c r="AK34" i="79" s="1"/>
  <c r="AH34"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B34" i="71"/>
  <c r="B35" i="71" s="1"/>
  <c r="B36" i="71" s="1"/>
  <c r="S36" i="71" s="1"/>
  <c r="E38" i="71"/>
  <c r="E39" i="71" s="1"/>
  <c r="E34" i="71"/>
  <c r="C30" i="71"/>
  <c r="C38" i="71"/>
  <c r="D38" i="71" s="1"/>
  <c r="D30" i="71"/>
  <c r="C51" i="71"/>
  <c r="P28" i="71"/>
  <c r="E28" i="71" s="1"/>
  <c r="U68" i="71"/>
  <c r="E67" i="71"/>
  <c r="Q28" i="71"/>
  <c r="D58" i="71"/>
  <c r="D62" i="71"/>
  <c r="D72" i="71"/>
  <c r="E75" i="71"/>
  <c r="E74" i="71" s="1"/>
  <c r="E79" i="71"/>
  <c r="E78" i="71" s="1"/>
  <c r="C87" i="71"/>
  <c r="F28" i="71"/>
  <c r="F27" i="71" s="1"/>
  <c r="F26" i="71" s="1"/>
  <c r="D59"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D81" i="21"/>
  <c r="H19" i="21" s="1"/>
  <c r="G20" i="20"/>
  <c r="C25" i="40" s="1"/>
  <c r="C22" i="20"/>
  <c r="S18" i="36"/>
  <c r="H25" i="40"/>
  <c r="AB25" i="40" s="1"/>
  <c r="J25" i="40"/>
  <c r="W25" i="40" s="1"/>
  <c r="H29" i="39"/>
  <c r="AB29" i="39" s="1"/>
  <c r="J29" i="39"/>
  <c r="AC29" i="39" s="1"/>
  <c r="J18" i="36"/>
  <c r="AC18" i="36" s="1"/>
  <c r="F68" i="35"/>
  <c r="G68" i="35" s="1"/>
  <c r="H18" i="35"/>
  <c r="AB18" i="35" s="1"/>
  <c r="J18" i="35"/>
  <c r="AC18" i="35" s="1"/>
  <c r="H21" i="37"/>
  <c r="F21" i="37"/>
  <c r="H21" i="34"/>
  <c r="AB21" i="34" s="1"/>
  <c r="H21" i="33"/>
  <c r="F21" i="33"/>
  <c r="E83" i="21"/>
  <c r="F83" i="21" s="1"/>
  <c r="G83" i="21" s="1"/>
  <c r="H1" i="69"/>
  <c r="U25" i="40"/>
  <c r="U29" i="39"/>
  <c r="W29" i="39"/>
  <c r="AA21" i="33"/>
  <c r="S21" i="33"/>
  <c r="J21" i="37"/>
  <c r="W21" i="37" s="1"/>
  <c r="J21" i="34"/>
  <c r="W21" i="34" s="1"/>
  <c r="J21" i="33"/>
  <c r="W21" i="33" s="1"/>
  <c r="F38" i="69"/>
  <c r="E37" i="69"/>
  <c r="F36" i="69"/>
  <c r="F35" i="69"/>
  <c r="F21" i="69"/>
  <c r="F20" i="69"/>
  <c r="F39" i="69" s="1"/>
  <c r="E10" i="69"/>
  <c r="E9" i="69"/>
  <c r="C7" i="69"/>
  <c r="F38" i="68"/>
  <c r="E37" i="68"/>
  <c r="F36" i="68"/>
  <c r="F35" i="68"/>
  <c r="F21" i="68"/>
  <c r="F40" i="68" s="1"/>
  <c r="F20" i="68"/>
  <c r="F39" i="68" s="1"/>
  <c r="E10" i="68"/>
  <c r="E9" i="68"/>
  <c r="Q72" i="67"/>
  <c r="Q59" i="67"/>
  <c r="Q58" i="67"/>
  <c r="Q51" i="67"/>
  <c r="J50" i="67"/>
  <c r="M47" i="67"/>
  <c r="D46" i="67"/>
  <c r="F61" i="67"/>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C33" i="2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F13" i="40" s="1"/>
  <c r="AA13" i="40" s="1"/>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H40" i="37" s="1"/>
  <c r="U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c r="D64" i="36"/>
  <c r="E64" i="36" s="1"/>
  <c r="F64" i="36" s="1"/>
  <c r="G64" i="36" s="1"/>
  <c r="J16" i="36"/>
  <c r="W16" i="36" s="1"/>
  <c r="D62" i="36"/>
  <c r="E62" i="36"/>
  <c r="F62" i="36" s="1"/>
  <c r="G62" i="36" s="1"/>
  <c r="B59" i="36"/>
  <c r="H13" i="36" s="1"/>
  <c r="AB13" i="36" s="1"/>
  <c r="B57" i="36"/>
  <c r="H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c r="Q16" i="36"/>
  <c r="Z16" i="36" s="1"/>
  <c r="Q14" i="36"/>
  <c r="Z14" i="36" s="1"/>
  <c r="Q13" i="36"/>
  <c r="Z13" i="36" s="1"/>
  <c r="Q12" i="36"/>
  <c r="Z12" i="36" s="1"/>
  <c r="U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F25" i="35" s="1"/>
  <c r="S25" i="35" s="1"/>
  <c r="B75" i="35"/>
  <c r="J24" i="35" s="1"/>
  <c r="AC24" i="35" s="1"/>
  <c r="B73" i="35"/>
  <c r="J23" i="35" s="1"/>
  <c r="AC23" i="35" s="1"/>
  <c r="H23" i="35"/>
  <c r="U23" i="35" s="1"/>
  <c r="B57" i="35"/>
  <c r="F11" i="35" s="1"/>
  <c r="S11" i="35" s="1"/>
  <c r="B61" i="35"/>
  <c r="B59" i="35"/>
  <c r="B131" i="34"/>
  <c r="H47" i="34" s="1"/>
  <c r="U47" i="34" s="1"/>
  <c r="B129" i="34"/>
  <c r="F46" i="34" s="1"/>
  <c r="B127" i="34"/>
  <c r="B99" i="34"/>
  <c r="B97" i="34"/>
  <c r="B95" i="34"/>
  <c r="B93" i="34"/>
  <c r="B75" i="34"/>
  <c r="B73" i="34"/>
  <c r="J13" i="34" s="1"/>
  <c r="W13" i="34" s="1"/>
  <c r="B71" i="34"/>
  <c r="J12" i="34" s="1"/>
  <c r="W12" i="34" s="1"/>
  <c r="B130" i="33"/>
  <c r="B128" i="33"/>
  <c r="B126" i="33"/>
  <c r="H44" i="33" s="1"/>
  <c r="U44" i="33" s="1"/>
  <c r="B98" i="33"/>
  <c r="H31" i="33" s="1"/>
  <c r="B96" i="33"/>
  <c r="B94" i="33"/>
  <c r="B74" i="33"/>
  <c r="J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D123"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B96" i="21"/>
  <c r="F30" i="21" s="1"/>
  <c r="B94" i="21"/>
  <c r="J29" i="21" s="1"/>
  <c r="AC29" i="21" s="1"/>
  <c r="B92" i="21"/>
  <c r="J28" i="21" s="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H38" i="21"/>
  <c r="U38" i="21" s="1"/>
  <c r="H43" i="21"/>
  <c r="AB43" i="21" s="1"/>
  <c r="F38" i="21"/>
  <c r="S38" i="21" s="1"/>
  <c r="F36" i="21"/>
  <c r="S36" i="21" s="1"/>
  <c r="F39" i="21"/>
  <c r="AA39" i="21" s="1"/>
  <c r="J40" i="21"/>
  <c r="W40" i="21" s="1"/>
  <c r="H35" i="21"/>
  <c r="AB35" i="21"/>
  <c r="J8" i="21"/>
  <c r="AC8" i="21" s="1"/>
  <c r="H8" i="21"/>
  <c r="U8" i="21" s="1"/>
  <c r="H10" i="21"/>
  <c r="AB10" i="21" s="1"/>
  <c r="H39" i="21"/>
  <c r="AB39" i="21" s="1"/>
  <c r="J34" i="21"/>
  <c r="W34" i="21" s="1"/>
  <c r="H36" i="21"/>
  <c r="U36" i="21" s="1"/>
  <c r="F35" i="21"/>
  <c r="AA35" i="21" s="1"/>
  <c r="J10" i="21"/>
  <c r="AC10" i="21" s="1"/>
  <c r="H26" i="21"/>
  <c r="AB26" i="21" s="1"/>
  <c r="AB19" i="21"/>
  <c r="J19" i="21"/>
  <c r="W19" i="21" s="1"/>
  <c r="J26" i="21"/>
  <c r="W26" i="21" s="1"/>
  <c r="F26" i="21"/>
  <c r="S26" i="21" s="1"/>
  <c r="S41" i="21"/>
  <c r="AA41" i="21"/>
  <c r="F45" i="39"/>
  <c r="S45" i="39"/>
  <c r="H36" i="39"/>
  <c r="AB36" i="39" s="1"/>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s="1"/>
  <c r="W28" i="35"/>
  <c r="U31" i="35"/>
  <c r="S31" i="35"/>
  <c r="U34" i="35"/>
  <c r="F36" i="34"/>
  <c r="J35" i="34"/>
  <c r="U34" i="34"/>
  <c r="H39" i="33"/>
  <c r="AB39" i="33" s="1"/>
  <c r="U35" i="33"/>
  <c r="S40" i="33"/>
  <c r="H39" i="37"/>
  <c r="AB39" i="37"/>
  <c r="S27" i="35"/>
  <c r="F11" i="40"/>
  <c r="AA11" i="40" s="1"/>
  <c r="H11" i="40"/>
  <c r="AB11" i="40"/>
  <c r="W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J27" i="39"/>
  <c r="AC27" i="39"/>
  <c r="F27" i="39"/>
  <c r="F11" i="21"/>
  <c r="S11" i="21" s="1"/>
  <c r="C25" i="39"/>
  <c r="H11" i="39"/>
  <c r="S40" i="39"/>
  <c r="H32" i="33"/>
  <c r="AB32" i="33"/>
  <c r="H11" i="21"/>
  <c r="U11" i="21" s="1"/>
  <c r="J11" i="21"/>
  <c r="W11" i="21" s="1"/>
  <c r="H37" i="40"/>
  <c r="U37" i="40"/>
  <c r="H36" i="40"/>
  <c r="AB36" i="40" s="1"/>
  <c r="F35" i="40"/>
  <c r="AA35" i="40"/>
  <c r="H23" i="40"/>
  <c r="AB23" i="40" s="1"/>
  <c r="H17" i="40"/>
  <c r="U17" i="40" s="1"/>
  <c r="J15" i="40"/>
  <c r="W15" i="40" s="1"/>
  <c r="J11" i="40"/>
  <c r="AB12" i="36"/>
  <c r="W32" i="40"/>
  <c r="S44" i="39"/>
  <c r="J34" i="36"/>
  <c r="W34" i="36" s="1"/>
  <c r="J30" i="35"/>
  <c r="W30" i="35" s="1"/>
  <c r="H30" i="35"/>
  <c r="AB30" i="35" s="1"/>
  <c r="F22" i="35"/>
  <c r="AA22" i="35"/>
  <c r="H10" i="35"/>
  <c r="U10" i="35" s="1"/>
  <c r="F33" i="36"/>
  <c r="AA33" i="36" s="1"/>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s="1"/>
  <c r="AB34" i="37"/>
  <c r="J33" i="37"/>
  <c r="AC33" i="37" s="1"/>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F113" i="33"/>
  <c r="G113" i="33" s="1"/>
  <c r="H113" i="33" s="1"/>
  <c r="I113" i="33" s="1"/>
  <c r="J113" i="33" s="1"/>
  <c r="K113" i="33" s="1"/>
  <c r="L113" i="33" s="1"/>
  <c r="M113" i="33" s="1"/>
  <c r="H37" i="33"/>
  <c r="AB37" i="33"/>
  <c r="H15" i="33"/>
  <c r="AB15" i="33" s="1"/>
  <c r="H11" i="33"/>
  <c r="AB11" i="33" s="1"/>
  <c r="F28" i="40"/>
  <c r="AA28" i="40"/>
  <c r="AA29" i="35"/>
  <c r="AA42" i="34"/>
  <c r="AC38" i="34"/>
  <c r="AA38" i="34"/>
  <c r="J37" i="34"/>
  <c r="AC37" i="34" s="1"/>
  <c r="J11" i="33"/>
  <c r="W11" i="33" s="1"/>
  <c r="J42" i="21"/>
  <c r="AC42" i="21" s="1"/>
  <c r="H42" i="21"/>
  <c r="U42" i="21" s="1"/>
  <c r="J44" i="34"/>
  <c r="F44" i="34"/>
  <c r="AA44" i="34" s="1"/>
  <c r="J10" i="35"/>
  <c r="AC10" i="35" s="1"/>
  <c r="J14" i="21"/>
  <c r="W14" i="21" s="1"/>
  <c r="F14" i="21"/>
  <c r="S14" i="21" s="1"/>
  <c r="H14" i="21"/>
  <c r="U14" i="21" s="1"/>
  <c r="H28" i="21"/>
  <c r="AB28" i="21" s="1"/>
  <c r="F28" i="21"/>
  <c r="AA28" i="21" s="1"/>
  <c r="H30" i="21"/>
  <c r="U30" i="21" s="1"/>
  <c r="J44" i="21"/>
  <c r="AC44" i="21" s="1"/>
  <c r="H44" i="21"/>
  <c r="U44" i="21" s="1"/>
  <c r="F44" i="21"/>
  <c r="AA44" i="21" s="1"/>
  <c r="H28" i="33"/>
  <c r="U28" i="33" s="1"/>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45" i="21"/>
  <c r="AA45" i="21" s="1"/>
  <c r="J13" i="33"/>
  <c r="H13" i="33"/>
  <c r="U13" i="33" s="1"/>
  <c r="F13" i="33"/>
  <c r="S13" i="33" s="1"/>
  <c r="J29" i="33"/>
  <c r="H29" i="33"/>
  <c r="U29" i="33" s="1"/>
  <c r="F29" i="33"/>
  <c r="S29" i="33" s="1"/>
  <c r="J31" i="33"/>
  <c r="W31" i="33" s="1"/>
  <c r="F31" i="33"/>
  <c r="H45" i="33"/>
  <c r="U45" i="33" s="1"/>
  <c r="J45" i="33"/>
  <c r="W45" i="33" s="1"/>
  <c r="F45" i="33"/>
  <c r="AA45" i="33"/>
  <c r="J14" i="34"/>
  <c r="W14" i="34" s="1"/>
  <c r="F14" i="34"/>
  <c r="S14" i="34" s="1"/>
  <c r="H14" i="34"/>
  <c r="H30" i="34"/>
  <c r="F30" i="34"/>
  <c r="S30" i="34" s="1"/>
  <c r="J30" i="34"/>
  <c r="H32" i="34"/>
  <c r="F32" i="34"/>
  <c r="J32" i="34"/>
  <c r="W32" i="34" s="1"/>
  <c r="H46" i="34"/>
  <c r="U46" i="34" s="1"/>
  <c r="J46" i="34"/>
  <c r="H11" i="35"/>
  <c r="AB11" i="35" s="1"/>
  <c r="J11" i="35"/>
  <c r="W11" i="35" s="1"/>
  <c r="J26" i="36"/>
  <c r="W26" i="36" s="1"/>
  <c r="H28" i="36"/>
  <c r="U28" i="36" s="1"/>
  <c r="H32" i="36"/>
  <c r="AB32" i="36" s="1"/>
  <c r="J32" i="36"/>
  <c r="W32" i="36" s="1"/>
  <c r="J11" i="36"/>
  <c r="AC11" i="36" s="1"/>
  <c r="H11" i="36"/>
  <c r="U11" i="36" s="1"/>
  <c r="F11" i="36"/>
  <c r="AA11"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c r="F40" i="37"/>
  <c r="AA40" i="37" s="1"/>
  <c r="H14" i="33"/>
  <c r="U14" i="33" s="1"/>
  <c r="F14" i="33"/>
  <c r="S14" i="33" s="1"/>
  <c r="H30" i="33"/>
  <c r="AB30" i="33" s="1"/>
  <c r="F30" i="33"/>
  <c r="J30" i="33"/>
  <c r="J44" i="33"/>
  <c r="AC44" i="33" s="1"/>
  <c r="F44" i="33"/>
  <c r="J46" i="33"/>
  <c r="AC46" i="33" s="1"/>
  <c r="F46" i="33"/>
  <c r="AA46" i="33" s="1"/>
  <c r="H46" i="33"/>
  <c r="AB46" i="33" s="1"/>
  <c r="H13" i="34"/>
  <c r="U13" i="34" s="1"/>
  <c r="F13" i="34"/>
  <c r="AA13" i="34" s="1"/>
  <c r="J29" i="34"/>
  <c r="F29" i="34"/>
  <c r="S29" i="34" s="1"/>
  <c r="H29" i="34"/>
  <c r="AB29" i="34" s="1"/>
  <c r="J31" i="34"/>
  <c r="AC31" i="34" s="1"/>
  <c r="H31" i="34"/>
  <c r="F31" i="34"/>
  <c r="S31" i="34" s="1"/>
  <c r="H45" i="34"/>
  <c r="U45" i="34" s="1"/>
  <c r="J45" i="34"/>
  <c r="W45" i="34"/>
  <c r="F45" i="34"/>
  <c r="S45" i="34" s="1"/>
  <c r="F47" i="34"/>
  <c r="S47" i="34" s="1"/>
  <c r="J47" i="34"/>
  <c r="AC47" i="34" s="1"/>
  <c r="F13" i="35"/>
  <c r="J13" i="35"/>
  <c r="AC13" i="35" s="1"/>
  <c r="H13" i="35"/>
  <c r="U13" i="35" s="1"/>
  <c r="J25" i="35"/>
  <c r="W25" i="35"/>
  <c r="H25" i="35"/>
  <c r="AB25" i="35" s="1"/>
  <c r="J35" i="35"/>
  <c r="AC35" i="35" s="1"/>
  <c r="F35" i="35"/>
  <c r="AA35" i="35" s="1"/>
  <c r="H35" i="35"/>
  <c r="J25" i="36"/>
  <c r="W25" i="36" s="1"/>
  <c r="F25" i="36"/>
  <c r="S25" i="36" s="1"/>
  <c r="H25" i="36"/>
  <c r="AB25" i="36" s="1"/>
  <c r="H13" i="37"/>
  <c r="AB13" i="37" s="1"/>
  <c r="F13" i="37"/>
  <c r="S13" i="37" s="1"/>
  <c r="J13" i="37"/>
  <c r="W13" i="37" s="1"/>
  <c r="J28" i="37"/>
  <c r="AC28" i="37" s="1"/>
  <c r="H28" i="37"/>
  <c r="H38" i="37"/>
  <c r="AB38" i="37" s="1"/>
  <c r="J38" i="37"/>
  <c r="AC38" i="37" s="1"/>
  <c r="F38" i="37"/>
  <c r="S38" i="37" s="1"/>
  <c r="F43" i="39"/>
  <c r="AA43" i="39" s="1"/>
  <c r="H43" i="39"/>
  <c r="F14" i="39"/>
  <c r="H14" i="39"/>
  <c r="AB14" i="39" s="1"/>
  <c r="F12" i="40"/>
  <c r="S12" i="40" s="1"/>
  <c r="H30" i="40"/>
  <c r="AB30" i="40" s="1"/>
  <c r="F33" i="40"/>
  <c r="AA33" i="40" s="1"/>
  <c r="H33" i="40"/>
  <c r="U33" i="40" s="1"/>
  <c r="J35" i="40"/>
  <c r="AC35" i="40" s="1"/>
  <c r="J37" i="40"/>
  <c r="AC37" i="40" s="1"/>
  <c r="H13" i="40"/>
  <c r="U13" i="40" s="1"/>
  <c r="J13" i="40"/>
  <c r="W13" i="40" s="1"/>
  <c r="F14" i="37"/>
  <c r="S14" i="37" s="1"/>
  <c r="F27" i="37"/>
  <c r="AA27" i="37" s="1"/>
  <c r="F13" i="39"/>
  <c r="H13" i="39"/>
  <c r="H14" i="40"/>
  <c r="AB14" i="40" s="1"/>
  <c r="J14" i="40"/>
  <c r="W14" i="40" s="1"/>
  <c r="F14" i="40"/>
  <c r="AA14" i="40" s="1"/>
  <c r="J14" i="37"/>
  <c r="J27" i="37"/>
  <c r="AC27" i="37" s="1"/>
  <c r="J36" i="37"/>
  <c r="AC36" i="37" s="1"/>
  <c r="J10" i="36"/>
  <c r="AC10" i="36" s="1"/>
  <c r="S11" i="36"/>
  <c r="AA14" i="34"/>
  <c r="S45" i="33"/>
  <c r="BA586" i="3"/>
  <c r="BA585" i="3"/>
  <c r="F17" i="21"/>
  <c r="AA17" i="21" s="1"/>
  <c r="H17" i="21"/>
  <c r="AB17" i="21" s="1"/>
  <c r="F15" i="21"/>
  <c r="S15" i="21" s="1"/>
  <c r="J41" i="39"/>
  <c r="W41" i="39" s="1"/>
  <c r="S35" i="39"/>
  <c r="G540" i="3"/>
  <c r="G536" i="3"/>
  <c r="G535" i="3"/>
  <c r="G531" i="3"/>
  <c r="G528" i="3"/>
  <c r="G527" i="3"/>
  <c r="G518" i="3"/>
  <c r="G514" i="3"/>
  <c r="G510" i="3"/>
  <c r="G504" i="3"/>
  <c r="G500" i="3"/>
  <c r="G496" i="3"/>
  <c r="G584" i="3"/>
  <c r="G580" i="3"/>
  <c r="G576" i="3"/>
  <c r="G572" i="3"/>
  <c r="G568"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G533" i="3"/>
  <c r="BL532" i="3"/>
  <c r="G529" i="3"/>
  <c r="G525" i="3"/>
  <c r="BL524" i="3"/>
  <c r="BL518" i="3"/>
  <c r="BL510" i="3"/>
  <c r="BL504" i="3"/>
  <c r="BL500" i="3"/>
  <c r="G493" i="3"/>
  <c r="BA584" i="3"/>
  <c r="AZ584" i="3" s="1"/>
  <c r="BA582" i="3"/>
  <c r="AZ582" i="3" s="1"/>
  <c r="BA578" i="3"/>
  <c r="BA576" i="3"/>
  <c r="BA574" i="3"/>
  <c r="BA570" i="3"/>
  <c r="BA568" i="3"/>
  <c r="BA566" i="3"/>
  <c r="AZ566" i="3" s="1"/>
  <c r="BA562" i="3"/>
  <c r="BA560" i="3"/>
  <c r="BA558" i="3"/>
  <c r="BA554" i="3"/>
  <c r="BA552" i="3"/>
  <c r="AZ552" i="3" s="1"/>
  <c r="BA548" i="3"/>
  <c r="BA544" i="3"/>
  <c r="BA542" i="3"/>
  <c r="AZ542" i="3" s="1"/>
  <c r="BA540" i="3"/>
  <c r="BA536" i="3"/>
  <c r="BA534" i="3"/>
  <c r="BA532" i="3"/>
  <c r="AZ532" i="3" s="1"/>
  <c r="BA530" i="3"/>
  <c r="BA528" i="3"/>
  <c r="BA524" i="3"/>
  <c r="AZ524" i="3" s="1"/>
  <c r="BA522" i="3"/>
  <c r="AZ522" i="3" s="1"/>
  <c r="BA520" i="3"/>
  <c r="BA516" i="3"/>
  <c r="BA514" i="3"/>
  <c r="BA512" i="3"/>
  <c r="AZ512" i="3" s="1"/>
  <c r="BA508" i="3"/>
  <c r="BA506" i="3"/>
  <c r="BA504" i="3"/>
  <c r="AZ504" i="3" s="1"/>
  <c r="BA500" i="3"/>
  <c r="AZ500" i="3" s="1"/>
  <c r="BA498" i="3"/>
  <c r="BA496" i="3"/>
  <c r="BA583" i="3"/>
  <c r="BA581" i="3"/>
  <c r="BA579" i="3"/>
  <c r="BA575" i="3"/>
  <c r="BA573" i="3"/>
  <c r="BA571" i="3"/>
  <c r="BA567" i="3"/>
  <c r="BA565" i="3"/>
  <c r="BA563" i="3"/>
  <c r="BA559" i="3"/>
  <c r="AZ559" i="3" s="1"/>
  <c r="BA555" i="3"/>
  <c r="BA553" i="3"/>
  <c r="BA547" i="3"/>
  <c r="BA545" i="3"/>
  <c r="BA543" i="3"/>
  <c r="BA539" i="3"/>
  <c r="BA537" i="3"/>
  <c r="BA535" i="3"/>
  <c r="BA531" i="3"/>
  <c r="BA529" i="3"/>
  <c r="BA527" i="3"/>
  <c r="AZ527" i="3" s="1"/>
  <c r="BA523" i="3"/>
  <c r="BA519" i="3"/>
  <c r="BA517" i="3"/>
  <c r="BA513" i="3"/>
  <c r="BA511" i="3"/>
  <c r="BA507" i="3"/>
  <c r="BA503" i="3"/>
  <c r="BA501" i="3"/>
  <c r="BA499" i="3"/>
  <c r="AZ499" i="3" s="1"/>
  <c r="BA495" i="3"/>
  <c r="BA493" i="3"/>
  <c r="G583"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AZ553" i="3" s="1"/>
  <c r="BQ551" i="3"/>
  <c r="BL551" i="3"/>
  <c r="BQ549" i="3"/>
  <c r="BL549" i="3" s="1"/>
  <c r="BQ547" i="3"/>
  <c r="BL547" i="3" s="1"/>
  <c r="BQ545" i="3"/>
  <c r="BL545" i="3"/>
  <c r="BQ543" i="3"/>
  <c r="BL543" i="3" s="1"/>
  <c r="AZ543" i="3" s="1"/>
  <c r="BQ541" i="3"/>
  <c r="BL541" i="3"/>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s="1"/>
  <c r="H23" i="37"/>
  <c r="J32" i="37"/>
  <c r="AC32" i="37" s="1"/>
  <c r="F36" i="37"/>
  <c r="AA36" i="37" s="1"/>
  <c r="F37" i="37"/>
  <c r="AA37" i="37" s="1"/>
  <c r="F31" i="40"/>
  <c r="H31" i="40"/>
  <c r="U31" i="40" s="1"/>
  <c r="F32" i="40"/>
  <c r="S32" i="40" s="1"/>
  <c r="H32" i="40"/>
  <c r="AB32" i="40" s="1"/>
  <c r="J36" i="40"/>
  <c r="H19" i="37"/>
  <c r="AB19" i="37" s="1"/>
  <c r="H42" i="33"/>
  <c r="AB42" i="33" s="1"/>
  <c r="J43" i="33"/>
  <c r="AC43" i="33" s="1"/>
  <c r="S28" i="31"/>
  <c r="S27" i="31"/>
  <c r="S26" i="31"/>
  <c r="W23" i="35"/>
  <c r="U39" i="37"/>
  <c r="AA13" i="33"/>
  <c r="AC31" i="33"/>
  <c r="AC45" i="33"/>
  <c r="U11" i="33"/>
  <c r="U19"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F88" i="40"/>
  <c r="G88" i="40" s="1"/>
  <c r="F19" i="40"/>
  <c r="S19" i="40" s="1"/>
  <c r="S14" i="40"/>
  <c r="AC13" i="40"/>
  <c r="AB33" i="40"/>
  <c r="W23" i="39"/>
  <c r="AC43" i="39"/>
  <c r="W43" i="39"/>
  <c r="U45" i="39"/>
  <c r="AB45" i="39"/>
  <c r="G100"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W35" i="40"/>
  <c r="A118" i="9"/>
  <c r="A4" i="52"/>
  <c r="B41" i="72" s="1"/>
  <c r="J11" i="39"/>
  <c r="W11" i="39" s="1"/>
  <c r="F11" i="39"/>
  <c r="G4" i="4"/>
  <c r="I4" i="4"/>
  <c r="A2" i="9"/>
  <c r="F61" i="43"/>
  <c r="H64" i="43" s="1"/>
  <c r="AZ530"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G197" i="3"/>
  <c r="BA199" i="3"/>
  <c r="BL200" i="3"/>
  <c r="G201" i="3"/>
  <c r="BA203" i="3"/>
  <c r="BL20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AZ358" i="3" s="1"/>
  <c r="G359" i="3"/>
  <c r="BA361" i="3"/>
  <c r="BL362" i="3"/>
  <c r="G363" i="3"/>
  <c r="BA365" i="3"/>
  <c r="BL366" i="3"/>
  <c r="G367" i="3"/>
  <c r="BA369" i="3"/>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BO5" i="3"/>
  <c r="BM5" i="3"/>
  <c r="BJ5" i="3"/>
  <c r="BH5" i="3"/>
  <c r="BF5" i="3"/>
  <c r="BD5" i="3"/>
  <c r="AZ506" i="3"/>
  <c r="G548" i="3"/>
  <c r="G538" i="3"/>
  <c r="G520" i="3"/>
  <c r="G502" i="3"/>
  <c r="BS5" i="3"/>
  <c r="BP5" i="3"/>
  <c r="BN5" i="3"/>
  <c r="G29" i="6" s="1"/>
  <c r="BK5" i="3"/>
  <c r="BI5" i="3"/>
  <c r="BG5" i="3"/>
  <c r="BE5" i="3"/>
  <c r="BC5" i="3"/>
  <c r="G17" i="3"/>
  <c r="BA17" i="3"/>
  <c r="BT5" i="3"/>
  <c r="BA15" i="3"/>
  <c r="BB5" i="3"/>
  <c r="BR5" i="3"/>
  <c r="G509" i="3"/>
  <c r="BL493" i="3"/>
  <c r="U36" i="40"/>
  <c r="F83" i="43"/>
  <c r="H85" i="43" s="1"/>
  <c r="F50" i="43"/>
  <c r="H54" i="43" s="1"/>
  <c r="F72" i="43"/>
  <c r="H75" i="43" s="1"/>
  <c r="U17" i="39"/>
  <c r="S14" i="35"/>
  <c r="U35" i="21"/>
  <c r="AC35" i="21"/>
  <c r="AC11" i="39"/>
  <c r="W37" i="37"/>
  <c r="W44" i="34"/>
  <c r="AC44" i="34"/>
  <c r="S15" i="37"/>
  <c r="J37" i="33"/>
  <c r="AC17" i="34"/>
  <c r="F106" i="33"/>
  <c r="G106" i="33" s="1"/>
  <c r="H106" i="33" s="1"/>
  <c r="I106" i="33" s="1"/>
  <c r="J106" i="33" s="1"/>
  <c r="K106" i="33" s="1"/>
  <c r="L106" i="33" s="1"/>
  <c r="M106" i="33" s="1"/>
  <c r="J34" i="33"/>
  <c r="W34" i="33" s="1"/>
  <c r="F33" i="34"/>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F96" i="37"/>
  <c r="H27" i="40"/>
  <c r="U27" i="40" s="1"/>
  <c r="J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AZ248"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K6" i="1"/>
  <c r="AP6" i="1" s="1"/>
  <c r="W27" i="34"/>
  <c r="AC27" i="34"/>
  <c r="AB34" i="36"/>
  <c r="U34" i="36"/>
  <c r="AC12" i="39"/>
  <c r="W12" i="39"/>
  <c r="AC39" i="40"/>
  <c r="W39" i="40"/>
  <c r="W12" i="33"/>
  <c r="AC12" i="33"/>
  <c r="AA32" i="36"/>
  <c r="S32" i="36"/>
  <c r="BL14" i="3"/>
  <c r="U30" i="33"/>
  <c r="AC13" i="34"/>
  <c r="W28" i="37"/>
  <c r="S19" i="39"/>
  <c r="F12" i="33"/>
  <c r="H12" i="39"/>
  <c r="AB12" i="39"/>
  <c r="F39" i="40"/>
  <c r="AA39" i="40" s="1"/>
  <c r="BA14" i="3"/>
  <c r="AZ189" i="3"/>
  <c r="B12" i="1"/>
  <c r="E12" i="1" s="1"/>
  <c r="B10" i="1"/>
  <c r="E10" i="1" s="1"/>
  <c r="K12" i="1"/>
  <c r="M12" i="1" s="1"/>
  <c r="S13" i="1"/>
  <c r="AR13" i="1" s="1"/>
  <c r="R13" i="1"/>
  <c r="J51" i="67"/>
  <c r="AC34" i="33"/>
  <c r="AA34" i="33"/>
  <c r="AB37" i="40"/>
  <c r="S35" i="40"/>
  <c r="W38" i="40"/>
  <c r="AA32" i="40"/>
  <c r="S17" i="40"/>
  <c r="S23" i="40"/>
  <c r="AC17" i="40"/>
  <c r="AC15" i="40"/>
  <c r="AB27" i="40"/>
  <c r="S30" i="40"/>
  <c r="AA19" i="40"/>
  <c r="S28" i="40"/>
  <c r="AA27" i="40"/>
  <c r="U37" i="39"/>
  <c r="S43" i="39"/>
  <c r="U35" i="39"/>
  <c r="F32" i="39"/>
  <c r="AA32" i="39" s="1"/>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U26" i="36"/>
  <c r="S33" i="36"/>
  <c r="AA34" i="36"/>
  <c r="AC26" i="36"/>
  <c r="AA22" i="36"/>
  <c r="AB14" i="36"/>
  <c r="U22" i="36"/>
  <c r="S16" i="36"/>
  <c r="AA25" i="36"/>
  <c r="S24" i="36"/>
  <c r="U24"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W30" i="37"/>
  <c r="S36" i="37"/>
  <c r="AA38" i="37"/>
  <c r="W38" i="37"/>
  <c r="AC35" i="37"/>
  <c r="W39" i="37"/>
  <c r="S30" i="37"/>
  <c r="S37" i="37"/>
  <c r="J17" i="37"/>
  <c r="W17" i="37" s="1"/>
  <c r="G73" i="37"/>
  <c r="F17" i="37"/>
  <c r="AB17" i="37"/>
  <c r="F75" i="37"/>
  <c r="F19" i="37"/>
  <c r="S19" i="37" s="1"/>
  <c r="F79" i="37"/>
  <c r="G79" i="37" s="1"/>
  <c r="F23" i="37"/>
  <c r="U15" i="37"/>
  <c r="AC13" i="37"/>
  <c r="AA13" i="37"/>
  <c r="H10" i="37"/>
  <c r="AB10" i="37" s="1"/>
  <c r="F63" i="37"/>
  <c r="F11" i="37"/>
  <c r="S11" i="37" s="1"/>
  <c r="W25" i="34"/>
  <c r="AB8" i="34"/>
  <c r="U43" i="34"/>
  <c r="AC39" i="34"/>
  <c r="W41" i="34"/>
  <c r="AC42" i="34"/>
  <c r="AB35" i="34"/>
  <c r="U39"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AB27" i="33" s="1"/>
  <c r="F87" i="33"/>
  <c r="H25" i="33"/>
  <c r="U25" i="33" s="1"/>
  <c r="F25" i="33"/>
  <c r="S25" i="33" s="1"/>
  <c r="J23" i="33"/>
  <c r="AC23" i="33" s="1"/>
  <c r="F85" i="33"/>
  <c r="H23" i="33"/>
  <c r="U23" i="33" s="1"/>
  <c r="F81" i="33"/>
  <c r="G81" i="33" s="1"/>
  <c r="F19" i="33"/>
  <c r="S19" i="33" s="1"/>
  <c r="W19" i="33"/>
  <c r="J17" i="33"/>
  <c r="AC17" i="33" s="1"/>
  <c r="F79" i="33"/>
  <c r="G79" i="33" s="1"/>
  <c r="S15" i="33"/>
  <c r="W15" i="33"/>
  <c r="J10" i="33"/>
  <c r="W10" i="33" s="1"/>
  <c r="H10" i="33"/>
  <c r="U10" i="33" s="1"/>
  <c r="AC11" i="33"/>
  <c r="W41" i="21"/>
  <c r="AA36" i="21"/>
  <c r="AC40" i="21"/>
  <c r="J15" i="21"/>
  <c r="W15" i="21" s="1"/>
  <c r="F77" i="21"/>
  <c r="G77" i="21" s="1"/>
  <c r="F23" i="21"/>
  <c r="S23" i="21" s="1"/>
  <c r="E85" i="21"/>
  <c r="F85" i="21" s="1"/>
  <c r="G85" i="21" s="1"/>
  <c r="AA14" i="21"/>
  <c r="F34" i="67"/>
  <c r="F62" i="67" s="1"/>
  <c r="M20" i="67"/>
  <c r="F34" i="15"/>
  <c r="F62" i="15" s="1"/>
  <c r="G13" i="3"/>
  <c r="BA13" i="3"/>
  <c r="BL17" i="3"/>
  <c r="AZ17" i="3" s="1"/>
  <c r="BL13" i="3"/>
  <c r="J56" i="9"/>
  <c r="J57" i="9" s="1"/>
  <c r="J59" i="9" s="1"/>
  <c r="J61" i="9" s="1"/>
  <c r="A24" i="51"/>
  <c r="B18" i="72" s="1"/>
  <c r="E5" i="6"/>
  <c r="E32" i="6"/>
  <c r="G1" i="68"/>
  <c r="E19" i="69"/>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U25" i="36"/>
  <c r="AB28" i="36"/>
  <c r="AA13" i="36"/>
  <c r="W9" i="36"/>
  <c r="W22" i="36"/>
  <c r="W23" i="36"/>
  <c r="AB20" i="35"/>
  <c r="AC25" i="35"/>
  <c r="U25" i="35"/>
  <c r="U24" i="35"/>
  <c r="S35" i="35"/>
  <c r="W35" i="35"/>
  <c r="AA16" i="35"/>
  <c r="AA35" i="37"/>
  <c r="W36" i="37"/>
  <c r="S27" i="37"/>
  <c r="S28" i="37"/>
  <c r="W32" i="37"/>
  <c r="U36" i="37"/>
  <c r="S40" i="37"/>
  <c r="U38"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S30" i="33"/>
  <c r="AA30" i="33"/>
  <c r="AC14" i="33"/>
  <c r="W14" i="33"/>
  <c r="AC30" i="33"/>
  <c r="W30" i="33"/>
  <c r="S31" i="33"/>
  <c r="AA31" i="33"/>
  <c r="W13" i="33"/>
  <c r="AC13" i="33"/>
  <c r="U15" i="33"/>
  <c r="S11" i="33"/>
  <c r="U37" i="33"/>
  <c r="AC28" i="33"/>
  <c r="S28" i="33"/>
  <c r="W8" i="33"/>
  <c r="U28"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4" i="21"/>
  <c r="H45" i="21"/>
  <c r="F29" i="21"/>
  <c r="AA29" i="21" s="1"/>
  <c r="F13" i="21"/>
  <c r="AA13" i="21" s="1"/>
  <c r="H32" i="21"/>
  <c r="AB32" i="21" s="1"/>
  <c r="H9" i="21"/>
  <c r="AB9" i="21" s="1"/>
  <c r="J9" i="21"/>
  <c r="W9" i="21" s="1"/>
  <c r="J32" i="21"/>
  <c r="W32" i="21" s="1"/>
  <c r="F32" i="21"/>
  <c r="AA32" i="21" s="1"/>
  <c r="AA31" i="21"/>
  <c r="U17" i="21"/>
  <c r="W29" i="21"/>
  <c r="AA9" i="21"/>
  <c r="K141" i="21"/>
  <c r="K144" i="21"/>
  <c r="K143" i="21"/>
  <c r="W13" i="21"/>
  <c r="AC45" i="21"/>
  <c r="F10" i="21"/>
  <c r="AA10" i="21" s="1"/>
  <c r="K145" i="21"/>
  <c r="S28"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S32" i="39"/>
  <c r="AB21" i="39"/>
  <c r="AA21" i="39"/>
  <c r="S21" i="39"/>
  <c r="AC17" i="37"/>
  <c r="J19" i="37"/>
  <c r="W19" i="37" s="1"/>
  <c r="G75" i="37"/>
  <c r="AA19" i="37"/>
  <c r="J23" i="37"/>
  <c r="J10" i="37"/>
  <c r="W10" i="37" s="1"/>
  <c r="G63" i="37"/>
  <c r="H63" i="37" s="1"/>
  <c r="I63" i="37" s="1"/>
  <c r="J63" i="37" s="1"/>
  <c r="K63" i="37" s="1"/>
  <c r="L63" i="37" s="1"/>
  <c r="M63" i="37" s="1"/>
  <c r="H11" i="37"/>
  <c r="AB11" i="37" s="1"/>
  <c r="H11" i="34"/>
  <c r="U11" i="34" s="1"/>
  <c r="J10" i="34"/>
  <c r="AC10" i="34" s="1"/>
  <c r="W35" i="33"/>
  <c r="AC35" i="33"/>
  <c r="J36" i="33"/>
  <c r="W36" i="33" s="1"/>
  <c r="H36" i="33"/>
  <c r="U36" i="33" s="1"/>
  <c r="S36" i="33"/>
  <c r="W32" i="33"/>
  <c r="U27" i="33"/>
  <c r="J27" i="33"/>
  <c r="W27" i="33" s="1"/>
  <c r="AB25" i="33"/>
  <c r="AA25" i="33"/>
  <c r="G87" i="33"/>
  <c r="H87" i="33" s="1"/>
  <c r="I87" i="33" s="1"/>
  <c r="J87" i="33" s="1"/>
  <c r="K87" i="33" s="1"/>
  <c r="L87" i="33" s="1"/>
  <c r="M87" i="33" s="1"/>
  <c r="J25" i="33"/>
  <c r="W25" i="33" s="1"/>
  <c r="AB23" i="33"/>
  <c r="F23" i="33"/>
  <c r="G85" i="33"/>
  <c r="AA19" i="33"/>
  <c r="H19" i="33"/>
  <c r="AB19" i="33" s="1"/>
  <c r="H17" i="33"/>
  <c r="U17" i="33" s="1"/>
  <c r="F17" i="33"/>
  <c r="S17" i="33" s="1"/>
  <c r="W17" i="33"/>
  <c r="J23" i="21"/>
  <c r="AC23" i="21" s="1"/>
  <c r="H23" i="21"/>
  <c r="U23" i="21" s="1"/>
  <c r="AP7" i="1"/>
  <c r="U32" i="39"/>
  <c r="W23" i="37"/>
  <c r="AC23" i="37"/>
  <c r="J11" i="37"/>
  <c r="AC11" i="37" s="1"/>
  <c r="J11" i="34"/>
  <c r="W11" i="34" s="1"/>
  <c r="AB36" i="33"/>
  <c r="AC27" i="33"/>
  <c r="AC25" i="33"/>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5" i="73"/>
  <c r="M24" i="67"/>
  <c r="F40" i="67"/>
  <c r="F6" i="67"/>
  <c r="J15" i="67"/>
  <c r="AO13" i="1"/>
  <c r="F20" i="31"/>
  <c r="B13" i="76"/>
  <c r="M28" i="67"/>
  <c r="E13" i="76"/>
  <c r="F38" i="67"/>
  <c r="F13" i="67"/>
  <c r="F4" i="73"/>
  <c r="M29" i="67"/>
  <c r="E12" i="76"/>
  <c r="B11" i="76"/>
  <c r="M22" i="67"/>
  <c r="B9" i="76"/>
  <c r="F43" i="67"/>
  <c r="B7" i="76"/>
  <c r="E8" i="76"/>
  <c r="F9" i="67"/>
  <c r="M23" i="67"/>
  <c r="M9" i="67"/>
  <c r="M6" i="67"/>
  <c r="F7" i="73"/>
  <c r="L48" i="67"/>
  <c r="E2" i="68"/>
  <c r="F3" i="73"/>
  <c r="D6" i="73"/>
  <c r="C76" i="67"/>
  <c r="B12" i="76"/>
  <c r="F8" i="67"/>
  <c r="E7" i="76"/>
  <c r="F7" i="67"/>
  <c r="M26" i="67"/>
  <c r="E9" i="76"/>
  <c r="E2" i="69"/>
  <c r="M8" i="67"/>
  <c r="E11" i="76"/>
  <c r="F16" i="67"/>
  <c r="E10" i="76"/>
  <c r="F6" i="73"/>
  <c r="F36" i="67"/>
  <c r="F42" i="67"/>
  <c r="B8" i="76"/>
  <c r="AC38" i="21" l="1"/>
  <c r="AA38" i="21"/>
  <c r="C18" i="9"/>
  <c r="D18" i="9" s="1"/>
  <c r="S13" i="21"/>
  <c r="AC32" i="39"/>
  <c r="W32" i="39"/>
  <c r="W20" i="36"/>
  <c r="AC20" i="36"/>
  <c r="U45" i="21"/>
  <c r="AB45" i="21"/>
  <c r="S35" i="33"/>
  <c r="AA35" i="33"/>
  <c r="S33" i="34"/>
  <c r="AA33" i="34"/>
  <c r="W37" i="33"/>
  <c r="AC37" i="33"/>
  <c r="AB41" i="33"/>
  <c r="U41" i="33"/>
  <c r="U25" i="39"/>
  <c r="AA12" i="40"/>
  <c r="AZ318" i="3"/>
  <c r="AZ376" i="3"/>
  <c r="AZ309" i="3"/>
  <c r="AZ511" i="3"/>
  <c r="AZ533" i="3"/>
  <c r="AA14" i="33"/>
  <c r="AC12" i="34"/>
  <c r="AB41" i="21"/>
  <c r="H31" i="21"/>
  <c r="J31" i="21"/>
  <c r="E123" i="21"/>
  <c r="F123" i="21" s="1"/>
  <c r="G123" i="21" s="1"/>
  <c r="H123" i="21" s="1"/>
  <c r="I123" i="21" s="1"/>
  <c r="J123" i="21" s="1"/>
  <c r="K123" i="21" s="1"/>
  <c r="L123" i="21" s="1"/>
  <c r="M123" i="21" s="1"/>
  <c r="F42" i="21"/>
  <c r="AA42" i="21" s="1"/>
  <c r="F9" i="33"/>
  <c r="AA9" i="33" s="1"/>
  <c r="H9" i="33"/>
  <c r="U12" i="35"/>
  <c r="AB12" i="35"/>
  <c r="H23" i="36"/>
  <c r="F23" i="36"/>
  <c r="J37" i="39"/>
  <c r="F37" i="39"/>
  <c r="BA549" i="3"/>
  <c r="AZ549" i="3" s="1"/>
  <c r="BA541" i="3"/>
  <c r="AZ541" i="3" s="1"/>
  <c r="BL536" i="3"/>
  <c r="BA533" i="3"/>
  <c r="BL528" i="3"/>
  <c r="AZ528" i="3" s="1"/>
  <c r="BA525" i="3"/>
  <c r="AZ525" i="3" s="1"/>
  <c r="BA518" i="3"/>
  <c r="BL514" i="3"/>
  <c r="AZ514" i="3" s="1"/>
  <c r="BA510" i="3"/>
  <c r="AZ510" i="3" s="1"/>
  <c r="BA505" i="3"/>
  <c r="BA497" i="3"/>
  <c r="AZ497" i="3" s="1"/>
  <c r="D120" i="9"/>
  <c r="S14" i="36"/>
  <c r="F29" i="6"/>
  <c r="AZ391" i="3"/>
  <c r="AZ345" i="3"/>
  <c r="AZ338" i="3"/>
  <c r="AZ327" i="3"/>
  <c r="AZ369" i="3"/>
  <c r="AZ364" i="3"/>
  <c r="AZ337" i="3"/>
  <c r="AZ305" i="3"/>
  <c r="AZ378" i="3"/>
  <c r="AZ360" i="3"/>
  <c r="U14" i="40"/>
  <c r="AZ509" i="3"/>
  <c r="AZ535" i="3"/>
  <c r="AZ503" i="3"/>
  <c r="AZ565" i="3"/>
  <c r="AZ536" i="3"/>
  <c r="AZ544" i="3"/>
  <c r="AZ558" i="3"/>
  <c r="W31" i="34"/>
  <c r="U46" i="33"/>
  <c r="F46" i="21"/>
  <c r="S28" i="34"/>
  <c r="AB23" i="34"/>
  <c r="U23" i="34"/>
  <c r="W11" i="40"/>
  <c r="AC11" i="40"/>
  <c r="S34" i="40"/>
  <c r="W33" i="33"/>
  <c r="AC27" i="35"/>
  <c r="E125" i="21"/>
  <c r="F125" i="21" s="1"/>
  <c r="G125" i="21" s="1"/>
  <c r="J43" i="21"/>
  <c r="AC43" i="21" s="1"/>
  <c r="F43" i="21"/>
  <c r="B72" i="43"/>
  <c r="C15" i="39"/>
  <c r="H33" i="36"/>
  <c r="J33" i="36"/>
  <c r="AC33" i="36" s="1"/>
  <c r="H31" i="39"/>
  <c r="J31" i="39"/>
  <c r="J12" i="40"/>
  <c r="H12" i="40"/>
  <c r="BL554" i="3"/>
  <c r="AZ554" i="3" s="1"/>
  <c r="BA546" i="3"/>
  <c r="AZ546" i="3" s="1"/>
  <c r="BA538" i="3"/>
  <c r="AZ538" i="3" s="1"/>
  <c r="BL534" i="3"/>
  <c r="AZ534" i="3" s="1"/>
  <c r="BA526" i="3"/>
  <c r="AZ526" i="3" s="1"/>
  <c r="BL516" i="3"/>
  <c r="BA515" i="3"/>
  <c r="BA502" i="3"/>
  <c r="BL498" i="3"/>
  <c r="AZ498" i="3" s="1"/>
  <c r="BL496" i="3"/>
  <c r="AZ496" i="3" s="1"/>
  <c r="BA494" i="3"/>
  <c r="AZ494" i="3" s="1"/>
  <c r="AC15" i="37"/>
  <c r="AZ320" i="3"/>
  <c r="AZ155" i="3"/>
  <c r="AZ306" i="3"/>
  <c r="AZ508" i="3"/>
  <c r="AZ520" i="3"/>
  <c r="AZ570" i="3"/>
  <c r="AZ540" i="3"/>
  <c r="S44" i="33"/>
  <c r="AA44" i="33"/>
  <c r="J46" i="21"/>
  <c r="W22" i="35"/>
  <c r="AA40" i="21"/>
  <c r="S40" i="21"/>
  <c r="AB33" i="33"/>
  <c r="U33" i="33"/>
  <c r="AA35" i="34"/>
  <c r="H36" i="35"/>
  <c r="J36" i="35"/>
  <c r="AC36" i="35" s="1"/>
  <c r="W31" i="35"/>
  <c r="AC31" i="35"/>
  <c r="AC30" i="36"/>
  <c r="W30" i="36"/>
  <c r="BL556" i="3"/>
  <c r="AZ505" i="3"/>
  <c r="AZ515" i="3"/>
  <c r="BA587" i="3"/>
  <c r="F9" i="34"/>
  <c r="AA9" i="34" s="1"/>
  <c r="H9" i="34"/>
  <c r="AA38" i="39"/>
  <c r="S38" i="39"/>
  <c r="AB9" i="40"/>
  <c r="U9" i="40"/>
  <c r="J36" i="39"/>
  <c r="AC36" i="39" s="1"/>
  <c r="F36" i="39"/>
  <c r="BA580" i="3"/>
  <c r="AZ580" i="3" s="1"/>
  <c r="BA577" i="3"/>
  <c r="AZ577" i="3" s="1"/>
  <c r="BL574" i="3"/>
  <c r="AZ574" i="3" s="1"/>
  <c r="BL572" i="3"/>
  <c r="BA572" i="3"/>
  <c r="AZ572" i="3" s="1"/>
  <c r="BA569" i="3"/>
  <c r="AZ569" i="3" s="1"/>
  <c r="BA564" i="3"/>
  <c r="AZ564" i="3" s="1"/>
  <c r="BA561" i="3"/>
  <c r="AZ561" i="3" s="1"/>
  <c r="BA556" i="3"/>
  <c r="AZ556" i="3" s="1"/>
  <c r="AZ402" i="3"/>
  <c r="W39" i="33"/>
  <c r="F39" i="37"/>
  <c r="S39" i="37" s="1"/>
  <c r="J12" i="36"/>
  <c r="G582" i="3"/>
  <c r="G574" i="3"/>
  <c r="G566" i="3"/>
  <c r="G558" i="3"/>
  <c r="A15" i="62"/>
  <c r="B61" i="72" s="1"/>
  <c r="BL401" i="3"/>
  <c r="BL404" i="3"/>
  <c r="BL405" i="3"/>
  <c r="BA407" i="3"/>
  <c r="AZ407" i="3" s="1"/>
  <c r="BL407" i="3"/>
  <c r="BA414" i="3"/>
  <c r="BA415" i="3"/>
  <c r="BA416" i="3"/>
  <c r="AZ416" i="3" s="1"/>
  <c r="BL423" i="3"/>
  <c r="BA437" i="3"/>
  <c r="BL437" i="3"/>
  <c r="BL447" i="3"/>
  <c r="BL451" i="3"/>
  <c r="BA456" i="3"/>
  <c r="BA462" i="3"/>
  <c r="BL465" i="3"/>
  <c r="BA476" i="3"/>
  <c r="AZ476" i="3" s="1"/>
  <c r="BL476" i="3"/>
  <c r="BL477" i="3"/>
  <c r="BA486" i="3"/>
  <c r="G417" i="3"/>
  <c r="BA420" i="3"/>
  <c r="BL427" i="3"/>
  <c r="BA431" i="3"/>
  <c r="BL15" i="3"/>
  <c r="AZ15" i="3" s="1"/>
  <c r="BA398" i="3"/>
  <c r="BA399" i="3"/>
  <c r="AZ399" i="3" s="1"/>
  <c r="BA412" i="3"/>
  <c r="AZ412" i="3" s="1"/>
  <c r="BA419" i="3"/>
  <c r="AZ419" i="3" s="1"/>
  <c r="AA21" i="37"/>
  <c r="S21" i="37"/>
  <c r="B100" i="43"/>
  <c r="B77" i="43"/>
  <c r="B57" i="43"/>
  <c r="B68" i="43"/>
  <c r="Y29" i="71"/>
  <c r="Z29" i="71" s="1"/>
  <c r="AB27" i="71"/>
  <c r="D42" i="71"/>
  <c r="C43" i="71"/>
  <c r="BA425" i="3"/>
  <c r="BA426" i="3"/>
  <c r="BA427" i="3"/>
  <c r="BL443" i="3"/>
  <c r="G444" i="3"/>
  <c r="BA448" i="3"/>
  <c r="AZ448" i="3" s="1"/>
  <c r="BL448" i="3"/>
  <c r="G450" i="3"/>
  <c r="G451" i="3"/>
  <c r="BA457" i="3"/>
  <c r="G459" i="3"/>
  <c r="BA460" i="3"/>
  <c r="BA461" i="3"/>
  <c r="G464" i="3"/>
  <c r="BL464" i="3"/>
  <c r="BL469" i="3"/>
  <c r="G472" i="3"/>
  <c r="G473" i="3"/>
  <c r="BL479" i="3"/>
  <c r="G480" i="3"/>
  <c r="G485" i="3"/>
  <c r="BA487" i="3"/>
  <c r="AZ487" i="3" s="1"/>
  <c r="BA489" i="3"/>
  <c r="BL489" i="3"/>
  <c r="BL491" i="3"/>
  <c r="BL492" i="3"/>
  <c r="G307" i="3"/>
  <c r="G311" i="3"/>
  <c r="G315" i="3"/>
  <c r="G323" i="3"/>
  <c r="G339" i="3"/>
  <c r="BL350" i="3"/>
  <c r="BA353" i="3"/>
  <c r="AZ353" i="3" s="1"/>
  <c r="BL353" i="3"/>
  <c r="G364" i="3"/>
  <c r="G380" i="3"/>
  <c r="G384" i="3"/>
  <c r="BA385" i="3"/>
  <c r="G397" i="3"/>
  <c r="BL208" i="3"/>
  <c r="G212" i="3"/>
  <c r="G217" i="3"/>
  <c r="G221" i="3"/>
  <c r="BA221" i="3"/>
  <c r="G224" i="3"/>
  <c r="G225" i="3"/>
  <c r="BA228" i="3"/>
  <c r="BL228" i="3"/>
  <c r="BA233" i="3"/>
  <c r="G238" i="3"/>
  <c r="BL240" i="3"/>
  <c r="AZ240" i="3" s="1"/>
  <c r="BA245" i="3"/>
  <c r="AZ245" i="3" s="1"/>
  <c r="BL254" i="3"/>
  <c r="G256" i="3"/>
  <c r="BA263" i="3"/>
  <c r="G266" i="3"/>
  <c r="G271" i="3"/>
  <c r="BL280" i="3"/>
  <c r="G282" i="3"/>
  <c r="BA283" i="3"/>
  <c r="G286" i="3"/>
  <c r="BL289" i="3"/>
  <c r="G290" i="3"/>
  <c r="G291" i="3"/>
  <c r="AA25" i="40"/>
  <c r="S25" i="40"/>
  <c r="E30" i="71"/>
  <c r="E31" i="71" s="1"/>
  <c r="E32" i="71" s="1"/>
  <c r="U32" i="71" s="1"/>
  <c r="AA28" i="71"/>
  <c r="D34" i="71"/>
  <c r="C35" i="71"/>
  <c r="V72" i="71"/>
  <c r="F71" i="71"/>
  <c r="F70" i="71" s="1"/>
  <c r="T80" i="71"/>
  <c r="D80" i="71"/>
  <c r="BA319" i="3"/>
  <c r="AZ319" i="3" s="1"/>
  <c r="BL383" i="3"/>
  <c r="AZ383" i="3" s="1"/>
  <c r="BA384" i="3"/>
  <c r="AZ384" i="3" s="1"/>
  <c r="BL211" i="3"/>
  <c r="BL216" i="3"/>
  <c r="BA220" i="3"/>
  <c r="BL224" i="3"/>
  <c r="BL232" i="3"/>
  <c r="BL245" i="3"/>
  <c r="BL252" i="3"/>
  <c r="BL269" i="3"/>
  <c r="BA277" i="3"/>
  <c r="BL298" i="3"/>
  <c r="BL299" i="3"/>
  <c r="BA302" i="3"/>
  <c r="BL122" i="3"/>
  <c r="BL155" i="3"/>
  <c r="BL158" i="3"/>
  <c r="D60" i="71"/>
  <c r="T60" i="71"/>
  <c r="F67" i="71"/>
  <c r="V68" i="71"/>
  <c r="Q68" i="71"/>
  <c r="BA400" i="3"/>
  <c r="BL402" i="3"/>
  <c r="G403" i="3"/>
  <c r="BL406" i="3"/>
  <c r="G407" i="3"/>
  <c r="BA410" i="3"/>
  <c r="BA413" i="3"/>
  <c r="G418" i="3"/>
  <c r="BA421" i="3"/>
  <c r="BA423" i="3"/>
  <c r="BA433" i="3"/>
  <c r="AZ433" i="3" s="1"/>
  <c r="BA435" i="3"/>
  <c r="G443" i="3"/>
  <c r="BA443" i="3"/>
  <c r="BA454" i="3"/>
  <c r="BA458" i="3"/>
  <c r="AZ458" i="3" s="1"/>
  <c r="BL458" i="3"/>
  <c r="BL462" i="3"/>
  <c r="G466" i="3"/>
  <c r="BA473" i="3"/>
  <c r="BL484" i="3"/>
  <c r="BL487" i="3"/>
  <c r="BL488" i="3"/>
  <c r="BL308" i="3"/>
  <c r="AZ308" i="3" s="1"/>
  <c r="BL316" i="3"/>
  <c r="BL340" i="3"/>
  <c r="AZ340" i="3" s="1"/>
  <c r="BL346" i="3"/>
  <c r="AZ346" i="3" s="1"/>
  <c r="G349" i="3"/>
  <c r="BL359" i="3"/>
  <c r="AZ359" i="3" s="1"/>
  <c r="G362" i="3"/>
  <c r="BL365" i="3"/>
  <c r="AZ365" i="3" s="1"/>
  <c r="G366" i="3"/>
  <c r="G374" i="3"/>
  <c r="G382" i="3"/>
  <c r="BL386" i="3"/>
  <c r="G396" i="3"/>
  <c r="BA396" i="3"/>
  <c r="G215" i="3"/>
  <c r="BA219" i="3"/>
  <c r="AZ219" i="3" s="1"/>
  <c r="G222" i="3"/>
  <c r="G223" i="3"/>
  <c r="BA223" i="3"/>
  <c r="BL227" i="3"/>
  <c r="BA231" i="3"/>
  <c r="BA235" i="3"/>
  <c r="BA237" i="3"/>
  <c r="AZ237" i="3" s="1"/>
  <c r="G239" i="3"/>
  <c r="BA250" i="3"/>
  <c r="AZ250" i="3" s="1"/>
  <c r="BL250" i="3"/>
  <c r="G252" i="3"/>
  <c r="BA255" i="3"/>
  <c r="BL259" i="3"/>
  <c r="BA265" i="3"/>
  <c r="G268" i="3"/>
  <c r="BL272" i="3"/>
  <c r="BL273" i="3"/>
  <c r="G274" i="3"/>
  <c r="BL285" i="3"/>
  <c r="BA133" i="3"/>
  <c r="BL135" i="3"/>
  <c r="AZ135" i="3" s="1"/>
  <c r="BL146" i="3"/>
  <c r="BL166" i="3"/>
  <c r="C29" i="39"/>
  <c r="F21" i="21"/>
  <c r="AA21" i="21" s="1"/>
  <c r="J21" i="21"/>
  <c r="AC21" i="21" s="1"/>
  <c r="H21" i="21"/>
  <c r="U21" i="21" s="1"/>
  <c r="S68" i="71"/>
  <c r="B67" i="71"/>
  <c r="N67" i="71" s="1"/>
  <c r="N68" i="71"/>
  <c r="S76" i="71"/>
  <c r="B75" i="71"/>
  <c r="B74" i="71" s="1"/>
  <c r="G116" i="3"/>
  <c r="BA117" i="3"/>
  <c r="G126" i="3"/>
  <c r="BA132" i="3"/>
  <c r="AZ132" i="3" s="1"/>
  <c r="G135" i="3"/>
  <c r="G140" i="3"/>
  <c r="BA145" i="3"/>
  <c r="BL154" i="3"/>
  <c r="G158" i="3"/>
  <c r="G162" i="3"/>
  <c r="G164" i="3"/>
  <c r="BA164" i="3"/>
  <c r="AZ164" i="3" s="1"/>
  <c r="BA166" i="3"/>
  <c r="AZ166" i="3" s="1"/>
  <c r="G171" i="3"/>
  <c r="BA177" i="3"/>
  <c r="G180" i="3"/>
  <c r="BA188" i="3"/>
  <c r="AZ188" i="3" s="1"/>
  <c r="G194" i="3"/>
  <c r="BL198" i="3"/>
  <c r="BL199" i="3"/>
  <c r="AZ199" i="3" s="1"/>
  <c r="BA200" i="3"/>
  <c r="AZ200" i="3" s="1"/>
  <c r="BA207" i="3"/>
  <c r="BL207" i="3"/>
  <c r="BL18" i="3"/>
  <c r="G19" i="3"/>
  <c r="BL19" i="3"/>
  <c r="BA20" i="3"/>
  <c r="G24" i="3"/>
  <c r="G25" i="3"/>
  <c r="G30" i="3"/>
  <c r="BA40" i="3"/>
  <c r="BA41" i="3"/>
  <c r="BA42" i="3"/>
  <c r="G45" i="3"/>
  <c r="G51" i="3"/>
  <c r="G54" i="3"/>
  <c r="BA65" i="3"/>
  <c r="G74" i="3"/>
  <c r="BA95" i="3"/>
  <c r="G96" i="3"/>
  <c r="BL103" i="3"/>
  <c r="G104" i="3"/>
  <c r="G105" i="3"/>
  <c r="F3" i="35"/>
  <c r="AA18" i="35"/>
  <c r="E71" i="71"/>
  <c r="E70" i="71" s="1"/>
  <c r="Y37" i="71"/>
  <c r="Z37" i="71" s="1"/>
  <c r="E55" i="71"/>
  <c r="E56" i="71" s="1"/>
  <c r="U56" i="71" s="1"/>
  <c r="B59" i="71"/>
  <c r="B60" i="71" s="1"/>
  <c r="S60" i="71" s="1"/>
  <c r="BL175" i="3"/>
  <c r="AZ175" i="3" s="1"/>
  <c r="BA176" i="3"/>
  <c r="AZ176" i="3" s="1"/>
  <c r="BA184" i="3"/>
  <c r="AZ184" i="3" s="1"/>
  <c r="BL187" i="3"/>
  <c r="AZ187" i="3" s="1"/>
  <c r="BL195" i="3"/>
  <c r="AZ195" i="3" s="1"/>
  <c r="BL197" i="3"/>
  <c r="BL205" i="3"/>
  <c r="BA33" i="3"/>
  <c r="BA38" i="3"/>
  <c r="BA50" i="3"/>
  <c r="BA64" i="3"/>
  <c r="BA68" i="3"/>
  <c r="BA80" i="3"/>
  <c r="BL84" i="3"/>
  <c r="BA91" i="3"/>
  <c r="AZ91" i="3" s="1"/>
  <c r="BL93" i="3"/>
  <c r="BL101" i="3"/>
  <c r="BL102" i="3"/>
  <c r="E40" i="71"/>
  <c r="U40" i="71" s="1"/>
  <c r="X26" i="71"/>
  <c r="AB34" i="71"/>
  <c r="AA37" i="71"/>
  <c r="AA38" i="71"/>
  <c r="F79" i="71"/>
  <c r="F78" i="71" s="1"/>
  <c r="G294" i="3"/>
  <c r="BL127" i="3"/>
  <c r="AZ127" i="3" s="1"/>
  <c r="BA130" i="3"/>
  <c r="BL130" i="3"/>
  <c r="G134" i="3"/>
  <c r="BA134" i="3"/>
  <c r="G138" i="3"/>
  <c r="G146" i="3"/>
  <c r="BA148" i="3"/>
  <c r="AZ148" i="3" s="1"/>
  <c r="G151" i="3"/>
  <c r="BA156" i="3"/>
  <c r="AZ156" i="3" s="1"/>
  <c r="BA162" i="3"/>
  <c r="BL173" i="3"/>
  <c r="G174" i="3"/>
  <c r="BL181" i="3"/>
  <c r="G182" i="3"/>
  <c r="G186" i="3"/>
  <c r="G187" i="3"/>
  <c r="BA194" i="3"/>
  <c r="G202" i="3"/>
  <c r="BA202" i="3"/>
  <c r="G21" i="3"/>
  <c r="BA30" i="3"/>
  <c r="BA31" i="3"/>
  <c r="BA32" i="3"/>
  <c r="G35" i="3"/>
  <c r="G36" i="3"/>
  <c r="G40" i="3"/>
  <c r="G48" i="3"/>
  <c r="BL48" i="3"/>
  <c r="BA55" i="3"/>
  <c r="BL55" i="3"/>
  <c r="G57" i="3"/>
  <c r="G58" i="3"/>
  <c r="BA59" i="3"/>
  <c r="G61" i="3"/>
  <c r="BL61" i="3"/>
  <c r="BA67" i="3"/>
  <c r="G71" i="3"/>
  <c r="G72" i="3"/>
  <c r="BL76" i="3"/>
  <c r="BL86" i="3"/>
  <c r="G88" i="3"/>
  <c r="BA88" i="3"/>
  <c r="G93" i="3"/>
  <c r="G99" i="3"/>
  <c r="BL110" i="3"/>
  <c r="BL111" i="3"/>
  <c r="AC21" i="33"/>
  <c r="C31" i="71"/>
  <c r="D31" i="71" s="1"/>
  <c r="B43" i="71"/>
  <c r="B44" i="71" s="1"/>
  <c r="S44" i="71" s="1"/>
  <c r="B55" i="71"/>
  <c r="B56" i="71" s="1"/>
  <c r="S56" i="71" s="1"/>
  <c r="AB44" i="21"/>
  <c r="S44" i="21"/>
  <c r="W39" i="21"/>
  <c r="U32" i="21"/>
  <c r="AB29" i="21"/>
  <c r="U43" i="21"/>
  <c r="AB42" i="21"/>
  <c r="W25" i="21"/>
  <c r="AB25" i="21"/>
  <c r="AC26" i="21"/>
  <c r="S42" i="21"/>
  <c r="W42" i="21"/>
  <c r="AC34" i="21"/>
  <c r="AC27" i="21"/>
  <c r="U27" i="21"/>
  <c r="W43" i="21"/>
  <c r="S39" i="21"/>
  <c r="U39" i="21"/>
  <c r="W36" i="21"/>
  <c r="U34" i="21"/>
  <c r="S32" i="21"/>
  <c r="AA26" i="21"/>
  <c r="AB23" i="21"/>
  <c r="AA23" i="21"/>
  <c r="W23" i="21"/>
  <c r="S19" i="21"/>
  <c r="AC19" i="21"/>
  <c r="W17" i="21"/>
  <c r="S17" i="21"/>
  <c r="AB15" i="21"/>
  <c r="AC9" i="21"/>
  <c r="U9" i="21"/>
  <c r="C7" i="36"/>
  <c r="C46" i="36" s="1"/>
  <c r="D46" i="36" s="1"/>
  <c r="E46" i="36" s="1"/>
  <c r="F46" i="36" s="1"/>
  <c r="G46" i="36" s="1"/>
  <c r="H46" i="36" s="1"/>
  <c r="I46" i="36" s="1"/>
  <c r="C7" i="40"/>
  <c r="C63" i="40" s="1"/>
  <c r="C7" i="39"/>
  <c r="C67" i="39" s="1"/>
  <c r="C69" i="39" s="1"/>
  <c r="C7" i="21"/>
  <c r="C7" i="34"/>
  <c r="G23" i="43"/>
  <c r="C23" i="43" s="1"/>
  <c r="C7" i="33"/>
  <c r="C58" i="33" s="1"/>
  <c r="D58" i="33" s="1"/>
  <c r="E58" i="33" s="1"/>
  <c r="F58" i="33" s="1"/>
  <c r="G58" i="33" s="1"/>
  <c r="H58" i="33" s="1"/>
  <c r="I58" i="33" s="1"/>
  <c r="J58" i="33" s="1"/>
  <c r="K58" i="33" s="1"/>
  <c r="L58" i="33" s="1"/>
  <c r="M58" i="33" s="1"/>
  <c r="N58" i="33" s="1"/>
  <c r="O58" i="33" s="1"/>
  <c r="C42" i="1"/>
  <c r="C24" i="12" s="1"/>
  <c r="B41" i="1"/>
  <c r="D93" i="9"/>
  <c r="C40" i="68"/>
  <c r="C21" i="68"/>
  <c r="G1" i="15"/>
  <c r="B6" i="1"/>
  <c r="E6" i="1" s="1"/>
  <c r="K1" i="12"/>
  <c r="AA43" i="34"/>
  <c r="S43" i="34"/>
  <c r="AZ362" i="3"/>
  <c r="AZ336" i="3"/>
  <c r="S11" i="39"/>
  <c r="AA11" i="39"/>
  <c r="AB41" i="39"/>
  <c r="U41" i="39"/>
  <c r="AB26" i="37"/>
  <c r="U26" i="37"/>
  <c r="U19" i="33"/>
  <c r="S23" i="37"/>
  <c r="AA23" i="37"/>
  <c r="AC27" i="40"/>
  <c r="W27" i="40"/>
  <c r="AB32" i="37"/>
  <c r="U32" i="37"/>
  <c r="AZ390" i="3"/>
  <c r="AZ351" i="3"/>
  <c r="AZ380" i="3"/>
  <c r="W36" i="40"/>
  <c r="AC36" i="40"/>
  <c r="AA31" i="40"/>
  <c r="S31" i="40"/>
  <c r="AB23" i="37"/>
  <c r="U23" i="37"/>
  <c r="S30" i="21"/>
  <c r="AA30" i="21"/>
  <c r="AA17" i="37"/>
  <c r="S17" i="37"/>
  <c r="U19" i="40"/>
  <c r="AB19" i="40"/>
  <c r="AA43" i="33"/>
  <c r="S43" i="33"/>
  <c r="W28" i="21"/>
  <c r="AC28" i="21"/>
  <c r="AC26" i="33"/>
  <c r="W26" i="33"/>
  <c r="AC25" i="37"/>
  <c r="W25" i="37"/>
  <c r="AA17" i="33"/>
  <c r="S37" i="21"/>
  <c r="S39" i="40"/>
  <c r="AC15" i="21"/>
  <c r="U35" i="40"/>
  <c r="U33" i="34"/>
  <c r="AA23" i="39"/>
  <c r="AZ311" i="3"/>
  <c r="AA24" i="35"/>
  <c r="S24" i="35"/>
  <c r="AZ493" i="3"/>
  <c r="AZ501" i="3"/>
  <c r="AB38" i="40"/>
  <c r="U38" i="40"/>
  <c r="AZ513" i="3"/>
  <c r="AZ575" i="3"/>
  <c r="AZ502" i="3"/>
  <c r="J9" i="33"/>
  <c r="J9" i="34"/>
  <c r="AB44" i="33"/>
  <c r="AB37" i="37"/>
  <c r="AB14" i="33"/>
  <c r="AB41" i="34"/>
  <c r="AC29" i="37"/>
  <c r="U13" i="36"/>
  <c r="AA47" i="34"/>
  <c r="U13" i="37"/>
  <c r="AC5" i="3"/>
  <c r="AZ357" i="3"/>
  <c r="AZ322" i="3"/>
  <c r="AZ313" i="3"/>
  <c r="AZ394" i="3"/>
  <c r="AB38" i="21"/>
  <c r="W44" i="33"/>
  <c r="AC36" i="34"/>
  <c r="AZ519" i="3"/>
  <c r="AZ531" i="3"/>
  <c r="AZ573" i="3"/>
  <c r="AZ583" i="3"/>
  <c r="AZ568" i="3"/>
  <c r="AZ576" i="3"/>
  <c r="U36" i="39"/>
  <c r="S44" i="34"/>
  <c r="AA14" i="37"/>
  <c r="F27" i="21"/>
  <c r="H26" i="33"/>
  <c r="J30" i="21"/>
  <c r="AB8" i="39"/>
  <c r="S34" i="39"/>
  <c r="W31" i="40"/>
  <c r="AA9" i="40"/>
  <c r="F26" i="33"/>
  <c r="U31" i="36"/>
  <c r="G585" i="3"/>
  <c r="BL587" i="3"/>
  <c r="AZ587" i="3" s="1"/>
  <c r="BL586" i="3"/>
  <c r="AZ586" i="3" s="1"/>
  <c r="G570" i="3"/>
  <c r="G551" i="3"/>
  <c r="BL550" i="3"/>
  <c r="G542" i="3"/>
  <c r="AZ443" i="3"/>
  <c r="AA15" i="21"/>
  <c r="U29" i="34"/>
  <c r="W43" i="33"/>
  <c r="S42" i="33"/>
  <c r="AB31" i="37"/>
  <c r="W14" i="36"/>
  <c r="AA26" i="36"/>
  <c r="U21" i="40"/>
  <c r="AZ14" i="3"/>
  <c r="AZ334" i="3"/>
  <c r="AZ347" i="3"/>
  <c r="W44" i="21"/>
  <c r="W47" i="34"/>
  <c r="AZ523" i="3"/>
  <c r="AZ547" i="3"/>
  <c r="AZ571" i="3"/>
  <c r="AZ579" i="3"/>
  <c r="AZ516" i="3"/>
  <c r="AB46" i="34"/>
  <c r="AB30" i="21"/>
  <c r="AC11" i="35"/>
  <c r="S41" i="33"/>
  <c r="AB39" i="40"/>
  <c r="W40" i="39"/>
  <c r="J45" i="39"/>
  <c r="W45" i="39" s="1"/>
  <c r="B79" i="43"/>
  <c r="F12" i="34"/>
  <c r="S12" i="34" s="1"/>
  <c r="F12" i="35"/>
  <c r="J12" i="35"/>
  <c r="AB30" i="37"/>
  <c r="U30" i="37"/>
  <c r="H44" i="39"/>
  <c r="J44" i="39"/>
  <c r="AZ462" i="3"/>
  <c r="AZ539" i="3"/>
  <c r="AZ529" i="3"/>
  <c r="AZ537" i="3"/>
  <c r="AZ518" i="3"/>
  <c r="AZ585" i="3"/>
  <c r="AB45" i="33"/>
  <c r="BL585" i="3"/>
  <c r="H25" i="37"/>
  <c r="F25" i="37"/>
  <c r="AZ406" i="3"/>
  <c r="AZ418" i="3"/>
  <c r="AZ435" i="3"/>
  <c r="AZ451" i="3"/>
  <c r="AZ469" i="3"/>
  <c r="AZ483" i="3"/>
  <c r="BL367" i="3"/>
  <c r="BA368" i="3"/>
  <c r="BL368" i="3"/>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G587"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BL398" i="3"/>
  <c r="AZ398" i="3" s="1"/>
  <c r="BL403" i="3"/>
  <c r="G405" i="3"/>
  <c r="BA408" i="3"/>
  <c r="AZ408" i="3" s="1"/>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G486" i="3"/>
  <c r="G488" i="3"/>
  <c r="BL317" i="3"/>
  <c r="G318" i="3"/>
  <c r="BA349" i="3"/>
  <c r="AZ349" i="3" s="1"/>
  <c r="BA367" i="3"/>
  <c r="AZ367" i="3" s="1"/>
  <c r="BA370" i="3"/>
  <c r="AZ370" i="3" s="1"/>
  <c r="BA386" i="3"/>
  <c r="AZ386" i="3" s="1"/>
  <c r="BA216" i="3"/>
  <c r="AZ216" i="3" s="1"/>
  <c r="BA218" i="3"/>
  <c r="BL218" i="3"/>
  <c r="BL220" i="3"/>
  <c r="BL221" i="3"/>
  <c r="BL223" i="3"/>
  <c r="AZ223" i="3" s="1"/>
  <c r="BA227" i="3"/>
  <c r="AZ227" i="3" s="1"/>
  <c r="BA229" i="3"/>
  <c r="BL229" i="3"/>
  <c r="BL231" i="3"/>
  <c r="BL233" i="3"/>
  <c r="BL235" i="3"/>
  <c r="AZ235" i="3" s="1"/>
  <c r="BL236" i="3"/>
  <c r="BL238" i="3"/>
  <c r="BL243" i="3"/>
  <c r="BA247" i="3"/>
  <c r="BL247" i="3"/>
  <c r="BA249" i="3"/>
  <c r="BL249" i="3"/>
  <c r="BA251" i="3"/>
  <c r="BL251" i="3"/>
  <c r="BA253" i="3"/>
  <c r="BA256" i="3"/>
  <c r="BL256" i="3"/>
  <c r="BA259" i="3"/>
  <c r="AZ259" i="3" s="1"/>
  <c r="BL262" i="3"/>
  <c r="BL263" i="3"/>
  <c r="AZ263" i="3" s="1"/>
  <c r="G264" i="3"/>
  <c r="BL266" i="3"/>
  <c r="BA269" i="3"/>
  <c r="AZ269" i="3" s="1"/>
  <c r="BL278" i="3"/>
  <c r="BA282" i="3"/>
  <c r="BL282" i="3"/>
  <c r="BA288" i="3"/>
  <c r="BA290" i="3"/>
  <c r="BL300"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G260" i="3"/>
  <c r="BL260" i="3"/>
  <c r="G262" i="3"/>
  <c r="BL264" i="3"/>
  <c r="BA267" i="3"/>
  <c r="AZ267" i="3" s="1"/>
  <c r="G270" i="3"/>
  <c r="BL270" i="3"/>
  <c r="AZ270" i="3" s="1"/>
  <c r="BA272" i="3"/>
  <c r="AZ272" i="3" s="1"/>
  <c r="BL275" i="3"/>
  <c r="AZ275" i="3" s="1"/>
  <c r="G277" i="3"/>
  <c r="BA281" i="3"/>
  <c r="BA286" i="3"/>
  <c r="AZ286" i="3" s="1"/>
  <c r="BL287" i="3"/>
  <c r="BL290" i="3"/>
  <c r="BL291" i="3"/>
  <c r="AZ291" i="3" s="1"/>
  <c r="BL293" i="3"/>
  <c r="AZ293" i="3" s="1"/>
  <c r="BL294" i="3"/>
  <c r="BA297" i="3"/>
  <c r="BL297" i="3"/>
  <c r="BA120" i="3"/>
  <c r="AZ120" i="3" s="1"/>
  <c r="BA122" i="3"/>
  <c r="AZ122" i="3" s="1"/>
  <c r="BL125" i="3"/>
  <c r="AZ125" i="3" s="1"/>
  <c r="BL126" i="3"/>
  <c r="G130" i="3"/>
  <c r="BA374" i="3"/>
  <c r="AZ374" i="3" s="1"/>
  <c r="BA388" i="3"/>
  <c r="AZ388" i="3" s="1"/>
  <c r="BL234" i="3"/>
  <c r="BA236" i="3"/>
  <c r="BA238" i="3"/>
  <c r="AZ238" i="3" s="1"/>
  <c r="BA243" i="3"/>
  <c r="AZ243" i="3" s="1"/>
  <c r="BL277" i="3"/>
  <c r="AZ277" i="3" s="1"/>
  <c r="G302" i="3"/>
  <c r="BL113" i="3"/>
  <c r="BL115" i="3"/>
  <c r="AZ115" i="3" s="1"/>
  <c r="BA118" i="3"/>
  <c r="BL118" i="3"/>
  <c r="BA395" i="3"/>
  <c r="AZ395" i="3" s="1"/>
  <c r="BA208" i="3"/>
  <c r="AZ208" i="3" s="1"/>
  <c r="BA211" i="3"/>
  <c r="AZ211" i="3" s="1"/>
  <c r="BL213" i="3"/>
  <c r="BL215" i="3"/>
  <c r="BA222" i="3"/>
  <c r="AZ222" i="3" s="1"/>
  <c r="BA224" i="3"/>
  <c r="AZ224" i="3" s="1"/>
  <c r="BA226" i="3"/>
  <c r="BA258" i="3"/>
  <c r="BL261" i="3"/>
  <c r="BA268" i="3"/>
  <c r="BA271" i="3"/>
  <c r="BL271" i="3"/>
  <c r="BA274" i="3"/>
  <c r="BL274" i="3"/>
  <c r="BA276" i="3"/>
  <c r="BA284" i="3"/>
  <c r="BL286" i="3"/>
  <c r="C52" i="71"/>
  <c r="D51" i="71"/>
  <c r="F66" i="71"/>
  <c r="Q67" i="71"/>
  <c r="X25" i="71"/>
  <c r="AA3" i="71"/>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G37" i="3"/>
  <c r="BL40" i="3"/>
  <c r="BL41" i="3"/>
  <c r="AZ41" i="3" s="1"/>
  <c r="BL45" i="3"/>
  <c r="BA48" i="3"/>
  <c r="BA49" i="3"/>
  <c r="BA51" i="3"/>
  <c r="G55" i="3"/>
  <c r="BL56" i="3"/>
  <c r="BA58" i="3"/>
  <c r="BL59" i="3"/>
  <c r="AZ59" i="3" s="1"/>
  <c r="BL60" i="3"/>
  <c r="BA61" i="3"/>
  <c r="AZ61" i="3" s="1"/>
  <c r="BL69" i="3"/>
  <c r="G70" i="3"/>
  <c r="BL70" i="3"/>
  <c r="BL71" i="3"/>
  <c r="BL72" i="3"/>
  <c r="AZ72" i="3" s="1"/>
  <c r="BA75" i="3"/>
  <c r="AZ75" i="3" s="1"/>
  <c r="BA89" i="3"/>
  <c r="BA98" i="3"/>
  <c r="BA106" i="3"/>
  <c r="BL108" i="3"/>
  <c r="AZ108" i="3" s="1"/>
  <c r="W21" i="21"/>
  <c r="P65" i="71"/>
  <c r="P66" i="71"/>
  <c r="C47" i="71"/>
  <c r="D47" i="71" s="1"/>
  <c r="D46" i="71"/>
  <c r="C67" i="71"/>
  <c r="T68" i="71"/>
  <c r="O68" i="71"/>
  <c r="T76" i="71"/>
  <c r="D76" i="71"/>
  <c r="C75" i="71"/>
  <c r="Y27" i="71"/>
  <c r="Z27" i="71" s="1"/>
  <c r="Y26" i="71"/>
  <c r="Z26" i="71" s="1"/>
  <c r="C23" i="71"/>
  <c r="B22" i="71"/>
  <c r="B21" i="71" s="1"/>
  <c r="B20" i="71" s="1"/>
  <c r="BA296" i="3"/>
  <c r="BA116" i="3"/>
  <c r="AZ116" i="3" s="1"/>
  <c r="BA121" i="3"/>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BL53" i="3"/>
  <c r="BL64" i="3"/>
  <c r="AZ64" i="3" s="1"/>
  <c r="BL65" i="3"/>
  <c r="AZ65" i="3" s="1"/>
  <c r="BL66" i="3"/>
  <c r="BL67" i="3"/>
  <c r="AZ67" i="3" s="1"/>
  <c r="AZ70" i="3"/>
  <c r="BL73" i="3"/>
  <c r="BA74" i="3"/>
  <c r="AZ74" i="3" s="1"/>
  <c r="BL79" i="3"/>
  <c r="BL81" i="3"/>
  <c r="BA104" i="3"/>
  <c r="BA109" i="3"/>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AZ39" i="3" s="1"/>
  <c r="BL47" i="3"/>
  <c r="AZ47" i="3" s="1"/>
  <c r="G49" i="3"/>
  <c r="G50" i="3"/>
  <c r="G52" i="3"/>
  <c r="BA52" i="3"/>
  <c r="AZ52" i="3" s="1"/>
  <c r="BA53" i="3"/>
  <c r="AZ53" i="3" s="1"/>
  <c r="BA54" i="3"/>
  <c r="BL57" i="3"/>
  <c r="G62" i="3"/>
  <c r="BL62" i="3"/>
  <c r="AZ62" i="3" s="1"/>
  <c r="BL63" i="3"/>
  <c r="G67" i="3"/>
  <c r="BL68" i="3"/>
  <c r="BA69" i="3"/>
  <c r="BA73" i="3"/>
  <c r="G78" i="3"/>
  <c r="G79" i="3"/>
  <c r="G81" i="3"/>
  <c r="G85" i="3"/>
  <c r="BL85" i="3"/>
  <c r="BA86" i="3"/>
  <c r="AZ86" i="3" s="1"/>
  <c r="G89" i="3"/>
  <c r="BA92" i="3"/>
  <c r="AZ92" i="3" s="1"/>
  <c r="BL96" i="3"/>
  <c r="BL97" i="3"/>
  <c r="AZ97" i="3" s="1"/>
  <c r="G103" i="3"/>
  <c r="BA103" i="3"/>
  <c r="AZ103" i="3" s="1"/>
  <c r="BA110" i="3"/>
  <c r="AZ110" i="3" s="1"/>
  <c r="B13" i="1"/>
  <c r="E13" i="1" s="1"/>
  <c r="K13" i="1"/>
  <c r="M13" i="1" s="1"/>
  <c r="O13" i="1" s="1"/>
  <c r="P13" i="1" s="1"/>
  <c r="F40" i="69"/>
  <c r="C40" i="69"/>
  <c r="AC25" i="40"/>
  <c r="U21" i="33"/>
  <c r="AB21" i="33"/>
  <c r="C32" i="71"/>
  <c r="C86" i="71"/>
  <c r="D86" i="71" s="1"/>
  <c r="D87" i="71"/>
  <c r="B66" i="71"/>
  <c r="Y25" i="71"/>
  <c r="Z25" i="71" s="1"/>
  <c r="C36" i="71"/>
  <c r="D35" i="71"/>
  <c r="AB32" i="71"/>
  <c r="Y35" i="71"/>
  <c r="Z35" i="71" s="1"/>
  <c r="S80" i="71"/>
  <c r="B79" i="71"/>
  <c r="B78" i="71" s="1"/>
  <c r="V24" i="71"/>
  <c r="E23" i="71"/>
  <c r="E22" i="71" s="1"/>
  <c r="E21" i="71" s="1"/>
  <c r="E20" i="71" s="1"/>
  <c r="V20" i="71" s="1"/>
  <c r="AA27" i="71"/>
  <c r="S28" i="71"/>
  <c r="C83" i="71"/>
  <c r="C79" i="71"/>
  <c r="C71" i="71"/>
  <c r="C39" i="71"/>
  <c r="Y28" i="71"/>
  <c r="Z28" i="71" s="1"/>
  <c r="Y30" i="71"/>
  <c r="Z30" i="71" s="1"/>
  <c r="X28" i="71"/>
  <c r="X32" i="71"/>
  <c r="AB38"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S21" i="34"/>
  <c r="B88" i="43"/>
  <c r="F35" i="71"/>
  <c r="F36" i="71" s="1"/>
  <c r="V36" i="71" s="1"/>
  <c r="AA34" i="71"/>
  <c r="BA82" i="3"/>
  <c r="AZ82" i="3" s="1"/>
  <c r="BL83" i="3"/>
  <c r="G86" i="3"/>
  <c r="G87" i="3"/>
  <c r="BA90" i="3"/>
  <c r="BL94" i="3"/>
  <c r="AZ94" i="3" s="1"/>
  <c r="BA100" i="3"/>
  <c r="AZ100" i="3" s="1"/>
  <c r="BA102" i="3"/>
  <c r="AZ102" i="3" s="1"/>
  <c r="BL105" i="3"/>
  <c r="AZ105" i="3" s="1"/>
  <c r="G107" i="3"/>
  <c r="BL107" i="3"/>
  <c r="BA111" i="3"/>
  <c r="AZ111" i="3" s="1"/>
  <c r="AC21" i="37"/>
  <c r="U21" i="34"/>
  <c r="W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F66" i="67"/>
  <c r="Q71" i="67"/>
  <c r="F71" i="67"/>
  <c r="B13" i="70"/>
  <c r="M7" i="67"/>
  <c r="J6" i="67" s="1"/>
  <c r="F50" i="67"/>
  <c r="F68" i="67"/>
  <c r="F64" i="67"/>
  <c r="D9" i="69"/>
  <c r="C36" i="69"/>
  <c r="D9" i="68"/>
  <c r="J15" i="15"/>
  <c r="F38" i="15"/>
  <c r="L47" i="15"/>
  <c r="L47" i="67"/>
  <c r="F43" i="15"/>
  <c r="F9" i="15"/>
  <c r="C16" i="67"/>
  <c r="D5" i="73"/>
  <c r="F40" i="15"/>
  <c r="M22" i="15"/>
  <c r="F42" i="15"/>
  <c r="F7" i="15"/>
  <c r="F37" i="15"/>
  <c r="M23" i="15"/>
  <c r="L48" i="15"/>
  <c r="M29" i="15"/>
  <c r="C76" i="15"/>
  <c r="F36" i="15"/>
  <c r="F26" i="15"/>
  <c r="D4" i="73"/>
  <c r="F6" i="15"/>
  <c r="F8" i="15"/>
  <c r="F37" i="67"/>
  <c r="F26" i="67"/>
  <c r="M28" i="15"/>
  <c r="M26" i="15"/>
  <c r="F16" i="15"/>
  <c r="D3" i="73"/>
  <c r="D7" i="73"/>
  <c r="M24" i="15"/>
  <c r="M9" i="15"/>
  <c r="M8" i="15"/>
  <c r="F13" i="15"/>
  <c r="M6" i="15"/>
  <c r="C36" i="68" l="1"/>
  <c r="AB9" i="34"/>
  <c r="U9" i="34"/>
  <c r="AB31" i="39"/>
  <c r="U31" i="39"/>
  <c r="AA46" i="21"/>
  <c r="S46" i="21"/>
  <c r="AB23" i="36"/>
  <c r="U23" i="36"/>
  <c r="AB31" i="21"/>
  <c r="U31" i="21"/>
  <c r="N94" i="46"/>
  <c r="AZ69" i="3"/>
  <c r="AZ121" i="3"/>
  <c r="AZ55" i="3"/>
  <c r="AZ130" i="3"/>
  <c r="C44" i="71"/>
  <c r="D43" i="71"/>
  <c r="W12" i="36"/>
  <c r="AC12" i="36"/>
  <c r="AB36" i="35"/>
  <c r="U36" i="35"/>
  <c r="AB12" i="40"/>
  <c r="U12" i="40"/>
  <c r="S43" i="21"/>
  <c r="AA43" i="21"/>
  <c r="D121" i="9"/>
  <c r="D7" i="52" s="1"/>
  <c r="D6" i="52"/>
  <c r="AA37" i="39"/>
  <c r="S37" i="39"/>
  <c r="AZ37" i="3"/>
  <c r="AZ26" i="3"/>
  <c r="AZ165" i="3"/>
  <c r="AZ264" i="3"/>
  <c r="AZ354" i="3"/>
  <c r="AZ29" i="3"/>
  <c r="AZ126" i="3"/>
  <c r="AZ31" i="3"/>
  <c r="AZ297" i="3"/>
  <c r="AZ241" i="3"/>
  <c r="AZ256" i="3"/>
  <c r="AZ233" i="3"/>
  <c r="AZ428" i="3"/>
  <c r="AZ411" i="3"/>
  <c r="AZ332" i="3"/>
  <c r="AZ368" i="3"/>
  <c r="AZ423" i="3"/>
  <c r="AZ228" i="3"/>
  <c r="AZ427" i="3"/>
  <c r="AZ437" i="3"/>
  <c r="S36" i="39"/>
  <c r="AA36" i="39"/>
  <c r="AC12" i="40"/>
  <c r="W12" i="40"/>
  <c r="AB33" i="36"/>
  <c r="U33" i="36"/>
  <c r="AC37" i="39"/>
  <c r="W37" i="39"/>
  <c r="AZ21" i="3"/>
  <c r="AZ51" i="3"/>
  <c r="W31" i="39"/>
  <c r="AC31" i="39"/>
  <c r="AA23" i="36"/>
  <c r="S23" i="36"/>
  <c r="AB9" i="33"/>
  <c r="U9" i="33"/>
  <c r="AC31" i="21"/>
  <c r="W31" i="21"/>
  <c r="C33" i="67"/>
  <c r="D67" i="39"/>
  <c r="D69" i="39" s="1"/>
  <c r="J7" i="36"/>
  <c r="F48" i="9"/>
  <c r="O52" i="9" s="1"/>
  <c r="F31" i="12"/>
  <c r="C31" i="12" s="1"/>
  <c r="F30" i="69"/>
  <c r="F30" i="68"/>
  <c r="F52" i="9"/>
  <c r="F32" i="15"/>
  <c r="F60" i="15" s="1"/>
  <c r="F30" i="11"/>
  <c r="M18" i="67"/>
  <c r="M18" i="15"/>
  <c r="D68" i="9"/>
  <c r="F28" i="67"/>
  <c r="C28" i="67" s="1"/>
  <c r="F32" i="67"/>
  <c r="F60" i="67" s="1"/>
  <c r="F28" i="15"/>
  <c r="C28" i="15" s="1"/>
  <c r="F54" i="9"/>
  <c r="F51" i="15"/>
  <c r="F65" i="15"/>
  <c r="C6" i="15"/>
  <c r="C32" i="15" s="1"/>
  <c r="F31" i="15"/>
  <c r="L58" i="15"/>
  <c r="Q60" i="15" s="1"/>
  <c r="N59" i="15"/>
  <c r="M59" i="15"/>
  <c r="L59" i="15"/>
  <c r="Q74" i="15" s="1"/>
  <c r="F64" i="15"/>
  <c r="Q71" i="15"/>
  <c r="M7" i="15"/>
  <c r="J6" i="15" s="1"/>
  <c r="J18" i="15" s="1"/>
  <c r="F50" i="15"/>
  <c r="F66" i="15"/>
  <c r="F71" i="15"/>
  <c r="F68" i="15"/>
  <c r="C27" i="15"/>
  <c r="I54" i="15"/>
  <c r="J53" i="15"/>
  <c r="L56" i="15" s="1"/>
  <c r="J57" i="15"/>
  <c r="J55" i="15" s="1"/>
  <c r="J58" i="15" s="1"/>
  <c r="Q50" i="15" s="1"/>
  <c r="P6" i="1"/>
  <c r="C13" i="12" s="1"/>
  <c r="Q16" i="1"/>
  <c r="F27" i="69" s="1"/>
  <c r="F45" i="69" s="1"/>
  <c r="N370" i="46"/>
  <c r="K16" i="1"/>
  <c r="H16" i="1"/>
  <c r="J26" i="43"/>
  <c r="F26" i="43"/>
  <c r="E26" i="43"/>
  <c r="H26" i="43"/>
  <c r="C27" i="67"/>
  <c r="F65" i="67"/>
  <c r="M59" i="67"/>
  <c r="L59" i="67"/>
  <c r="Q61" i="67" s="1"/>
  <c r="L58" i="67"/>
  <c r="Q60" i="67" s="1"/>
  <c r="N59" i="67"/>
  <c r="G5" i="3"/>
  <c r="B3" i="3" s="1"/>
  <c r="E510" i="3" s="1"/>
  <c r="C70" i="71"/>
  <c r="D70" i="71" s="1"/>
  <c r="D71" i="71"/>
  <c r="C26" i="71"/>
  <c r="D26" i="71" s="1"/>
  <c r="D27" i="71"/>
  <c r="AZ182" i="3"/>
  <c r="AZ137" i="3"/>
  <c r="AZ274" i="3"/>
  <c r="AZ118" i="3"/>
  <c r="AZ210" i="3"/>
  <c r="AZ249" i="3"/>
  <c r="AZ218" i="3"/>
  <c r="AZ432" i="3"/>
  <c r="AZ417" i="3"/>
  <c r="AA25" i="37"/>
  <c r="S25" i="37"/>
  <c r="AC30" i="21"/>
  <c r="W30" i="21"/>
  <c r="AC9" i="34"/>
  <c r="W9" i="34"/>
  <c r="D79" i="71"/>
  <c r="C78" i="71"/>
  <c r="D78" i="71" s="1"/>
  <c r="T32" i="71"/>
  <c r="D32" i="71"/>
  <c r="AZ284" i="3"/>
  <c r="U25" i="37"/>
  <c r="AB25" i="37"/>
  <c r="AB26" i="33"/>
  <c r="U26" i="33"/>
  <c r="AC9" i="33"/>
  <c r="W9" i="33"/>
  <c r="D83" i="71"/>
  <c r="C82" i="71"/>
  <c r="D82" i="71" s="1"/>
  <c r="N65" i="71"/>
  <c r="N66" i="71"/>
  <c r="B19" i="71"/>
  <c r="B18" i="71" s="1"/>
  <c r="B17" i="71" s="1"/>
  <c r="B16" i="71" s="1"/>
  <c r="S16" i="71" s="1"/>
  <c r="S20" i="71"/>
  <c r="D75" i="71"/>
  <c r="C74" i="71"/>
  <c r="D74" i="71" s="1"/>
  <c r="AZ58" i="3"/>
  <c r="AZ5" i="3" s="1"/>
  <c r="AY6" i="3" s="1"/>
  <c r="AZ49" i="3"/>
  <c r="T52" i="71"/>
  <c r="D52" i="71"/>
  <c r="AZ271" i="3"/>
  <c r="AZ397" i="3"/>
  <c r="AZ282" i="3"/>
  <c r="AZ251" i="3"/>
  <c r="AZ247" i="3"/>
  <c r="AZ229" i="3"/>
  <c r="AZ471" i="3"/>
  <c r="AZ429" i="3"/>
  <c r="W44" i="39"/>
  <c r="AC44" i="39"/>
  <c r="W12" i="35"/>
  <c r="AC12" i="35"/>
  <c r="AA27" i="21"/>
  <c r="S27" i="21"/>
  <c r="C40" i="71"/>
  <c r="D39" i="71"/>
  <c r="C56" i="71"/>
  <c r="D55" i="71"/>
  <c r="D23" i="71"/>
  <c r="C22" i="71"/>
  <c r="D67" i="71"/>
  <c r="C66" i="71"/>
  <c r="O67" i="71"/>
  <c r="AZ403" i="3"/>
  <c r="AB44" i="39"/>
  <c r="U44" i="39"/>
  <c r="S26" i="33"/>
  <c r="AA26" i="33"/>
  <c r="G16" i="1"/>
  <c r="F10" i="39" s="1"/>
  <c r="S10" i="39" s="1"/>
  <c r="J7" i="37"/>
  <c r="W7" i="37" s="1"/>
  <c r="K1" i="73"/>
  <c r="E442" i="3"/>
  <c r="E255" i="3"/>
  <c r="E554" i="3"/>
  <c r="E479" i="3"/>
  <c r="E152" i="3"/>
  <c r="E258" i="3"/>
  <c r="E389" i="3"/>
  <c r="E409" i="3"/>
  <c r="E484" i="3"/>
  <c r="E160" i="3"/>
  <c r="E371" i="3"/>
  <c r="E310" i="3"/>
  <c r="E33" i="3"/>
  <c r="E355" i="3"/>
  <c r="E68" i="3"/>
  <c r="E309" i="3"/>
  <c r="E494" i="3"/>
  <c r="E198" i="3"/>
  <c r="AL6" i="3"/>
  <c r="E482" i="3"/>
  <c r="E18" i="3"/>
  <c r="E235" i="3"/>
  <c r="E86" i="3"/>
  <c r="E34" i="3"/>
  <c r="E102" i="3"/>
  <c r="E308" i="3"/>
  <c r="E22" i="3"/>
  <c r="E173" i="3"/>
  <c r="T6" i="3"/>
  <c r="E405" i="3"/>
  <c r="E408" i="3"/>
  <c r="E556" i="3"/>
  <c r="E497" i="3"/>
  <c r="E420" i="3"/>
  <c r="E41" i="3"/>
  <c r="E115" i="3"/>
  <c r="E356" i="3"/>
  <c r="E428" i="3"/>
  <c r="E78" i="3"/>
  <c r="E220" i="3"/>
  <c r="E324" i="3"/>
  <c r="E342" i="3"/>
  <c r="E49" i="3"/>
  <c r="E232" i="3"/>
  <c r="E370" i="3"/>
  <c r="E158" i="3"/>
  <c r="E326" i="3"/>
  <c r="E83" i="3"/>
  <c r="E16" i="3"/>
  <c r="E188" i="3"/>
  <c r="E223" i="3"/>
  <c r="E105" i="3"/>
  <c r="E393" i="3"/>
  <c r="E493" i="3"/>
  <c r="E543" i="3"/>
  <c r="E427" i="3"/>
  <c r="E486" i="3"/>
  <c r="E422" i="3"/>
  <c r="E440" i="3"/>
  <c r="E490"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F7" i="33"/>
  <c r="E58" i="21"/>
  <c r="AC7" i="36"/>
  <c r="V36" i="36" s="1"/>
  <c r="I36" i="36" s="1"/>
  <c r="W7" i="36"/>
  <c r="F7" i="37"/>
  <c r="M17" i="67"/>
  <c r="P28" i="43"/>
  <c r="B66" i="40" s="1"/>
  <c r="P25" i="43"/>
  <c r="C49" i="67"/>
  <c r="P29" i="43"/>
  <c r="P27" i="43"/>
  <c r="B70" i="39" s="1"/>
  <c r="M11" i="67"/>
  <c r="J10" i="67" s="1"/>
  <c r="J5" i="67" s="1"/>
  <c r="F11" i="15"/>
  <c r="M11" i="15"/>
  <c r="J10" i="15" s="1"/>
  <c r="F11" i="67"/>
  <c r="J18" i="67"/>
  <c r="F1" i="67"/>
  <c r="Q52" i="67"/>
  <c r="AE11" i="1"/>
  <c r="AE9" i="1"/>
  <c r="F27" i="68"/>
  <c r="AE7" i="1"/>
  <c r="AE8" i="1"/>
  <c r="AE12" i="1"/>
  <c r="AE10" i="1"/>
  <c r="G1" i="73"/>
  <c r="AE6" i="1"/>
  <c r="C16" i="15"/>
  <c r="C29" i="69" l="1"/>
  <c r="D27" i="69" s="1"/>
  <c r="H6" i="3"/>
  <c r="D26" i="43"/>
  <c r="C25" i="43" s="1"/>
  <c r="C47" i="69"/>
  <c r="D45" i="69" s="1"/>
  <c r="C32" i="67"/>
  <c r="D44" i="71"/>
  <c r="T44" i="71"/>
  <c r="H10" i="40"/>
  <c r="AB10" i="40" s="1"/>
  <c r="M17" i="15"/>
  <c r="J10" i="40"/>
  <c r="AC10" i="40" s="1"/>
  <c r="J5" i="15"/>
  <c r="J24" i="15" s="1"/>
  <c r="F1" i="15"/>
  <c r="Q73" i="15"/>
  <c r="Q73" i="67"/>
  <c r="Q52" i="15"/>
  <c r="F59" i="15"/>
  <c r="F48" i="68"/>
  <c r="C48" i="68"/>
  <c r="C30" i="68"/>
  <c r="C48" i="11"/>
  <c r="C30" i="11"/>
  <c r="F48" i="69"/>
  <c r="C30" i="69"/>
  <c r="C48" i="69"/>
  <c r="C49" i="15"/>
  <c r="Q61" i="15"/>
  <c r="J10" i="39"/>
  <c r="W10" i="39" s="1"/>
  <c r="AA10" i="39"/>
  <c r="F10" i="40"/>
  <c r="S10" i="40" s="1"/>
  <c r="H10" i="39"/>
  <c r="U10" i="39" s="1"/>
  <c r="E376" i="3"/>
  <c r="E507" i="3"/>
  <c r="E564" i="3"/>
  <c r="E116" i="3"/>
  <c r="E329" i="3"/>
  <c r="E80" i="3"/>
  <c r="E35" i="3"/>
  <c r="E190" i="3"/>
  <c r="E243" i="3"/>
  <c r="E470" i="3"/>
  <c r="E512" i="3"/>
  <c r="E197" i="3"/>
  <c r="AF6" i="3"/>
  <c r="E174" i="3"/>
  <c r="E391" i="3"/>
  <c r="E283" i="3"/>
  <c r="E67" i="3"/>
  <c r="E46" i="3"/>
  <c r="E349" i="3"/>
  <c r="E417" i="3"/>
  <c r="E499" i="3"/>
  <c r="E3" i="6"/>
  <c r="E104" i="3"/>
  <c r="E452" i="3"/>
  <c r="E360" i="3"/>
  <c r="E469" i="3"/>
  <c r="E534" i="3"/>
  <c r="E140" i="3"/>
  <c r="E287" i="3"/>
  <c r="E251" i="3"/>
  <c r="E522" i="3"/>
  <c r="E129" i="3"/>
  <c r="E75" i="3"/>
  <c r="E332" i="3"/>
  <c r="E21" i="3"/>
  <c r="E81" i="3"/>
  <c r="E233" i="3"/>
  <c r="E84" i="3"/>
  <c r="E249" i="3"/>
  <c r="E64" i="3"/>
  <c r="E59" i="3"/>
  <c r="E292" i="3"/>
  <c r="E95" i="3"/>
  <c r="E491" i="3"/>
  <c r="E449" i="3"/>
  <c r="E575" i="3"/>
  <c r="E412" i="3"/>
  <c r="E225" i="3"/>
  <c r="E26" i="3"/>
  <c r="E13" i="3"/>
  <c r="E451" i="3"/>
  <c r="E456" i="3"/>
  <c r="E525" i="3"/>
  <c r="E205" i="3"/>
  <c r="E113" i="3"/>
  <c r="E206" i="3"/>
  <c r="E383" i="3"/>
  <c r="E96" i="3"/>
  <c r="E42" i="3"/>
  <c r="E281" i="3"/>
  <c r="E513" i="3"/>
  <c r="E63" i="3"/>
  <c r="E184" i="3"/>
  <c r="E492" i="3"/>
  <c r="E267" i="3"/>
  <c r="E467" i="3"/>
  <c r="E544" i="3"/>
  <c r="E241" i="3"/>
  <c r="E37" i="3"/>
  <c r="E517" i="3"/>
  <c r="E466" i="3"/>
  <c r="E536" i="3"/>
  <c r="AB7" i="36"/>
  <c r="T36" i="36" s="1"/>
  <c r="G36" i="36" s="1"/>
  <c r="Q74" i="67"/>
  <c r="E212" i="3"/>
  <c r="T40" i="71"/>
  <c r="D40" i="71"/>
  <c r="O65" i="71"/>
  <c r="D66" i="71"/>
  <c r="O66" i="71"/>
  <c r="AP6" i="3"/>
  <c r="E430" i="3"/>
  <c r="E502" i="3"/>
  <c r="E286" i="3"/>
  <c r="E539" i="3"/>
  <c r="D56" i="71"/>
  <c r="T56" i="71"/>
  <c r="R36" i="36"/>
  <c r="R37" i="36" s="1"/>
  <c r="E264" i="3"/>
  <c r="E381" i="3"/>
  <c r="E144" i="3"/>
  <c r="E23" i="3"/>
  <c r="E300" i="3"/>
  <c r="E103" i="3"/>
  <c r="E425" i="3"/>
  <c r="E76" i="3"/>
  <c r="E363" i="3"/>
  <c r="E192" i="3"/>
  <c r="E56" i="3"/>
  <c r="E435" i="3"/>
  <c r="I3" i="6"/>
  <c r="E541" i="3"/>
  <c r="R6" i="3"/>
  <c r="E199" i="3"/>
  <c r="D22" i="71"/>
  <c r="C21"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M27" i="15"/>
  <c r="M27" i="67"/>
  <c r="F41" i="15"/>
  <c r="F41" i="67"/>
  <c r="C48" i="15" l="1"/>
  <c r="C66" i="15" s="1"/>
  <c r="AA10" i="40"/>
  <c r="F69" i="67"/>
  <c r="D116" i="43"/>
  <c r="AC6" i="3"/>
  <c r="E6" i="3" s="1"/>
  <c r="F25" i="12"/>
  <c r="C26" i="12" s="1"/>
  <c r="D25" i="12" s="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M19" i="9" l="1"/>
  <c r="C118" i="9" s="1"/>
  <c r="B2" i="74" s="1"/>
  <c r="C23" i="68"/>
  <c r="C44" i="68"/>
  <c r="D41" i="68" s="1"/>
  <c r="C26" i="68"/>
  <c r="D22" i="68" s="1"/>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B6" i="76"/>
  <c r="E6" i="76"/>
  <c r="D19" i="71" l="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C34" i="67" l="1"/>
  <c r="C31" i="67" s="1"/>
  <c r="T16" i="71"/>
  <c r="D16" i="71"/>
  <c r="U16" i="71" s="1"/>
  <c r="C15" i="71"/>
  <c r="E48" i="21"/>
  <c r="I53" i="21" s="1"/>
  <c r="J53" i="21" s="1"/>
  <c r="AC7" i="35"/>
  <c r="V38" i="35" s="1"/>
  <c r="I38" i="35" s="1"/>
  <c r="C56" i="67"/>
  <c r="C65" i="67" s="1"/>
  <c r="J22" i="67"/>
  <c r="C37" i="67"/>
  <c r="C75" i="67"/>
  <c r="C36" i="15"/>
  <c r="J59" i="15"/>
  <c r="J60" i="15" s="1"/>
  <c r="Q48" i="15" s="1"/>
  <c r="C46" i="11"/>
  <c r="C45" i="11" s="1"/>
  <c r="C43" i="11"/>
  <c r="C42" i="1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3" i="21" l="1"/>
  <c r="F53" i="21" s="1"/>
  <c r="E52" i="2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C20" i="9"/>
  <c r="D19" i="9"/>
  <c r="L51" i="15"/>
  <c r="D2" i="36"/>
  <c r="D2" i="35"/>
  <c r="C103" i="9" l="1"/>
  <c r="D102" i="9"/>
  <c r="D2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AO9" i="1"/>
  <c r="AO8" i="1"/>
  <c r="D20" i="9"/>
  <c r="AO11" i="1"/>
  <c r="AO6"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I4" i="52" l="1"/>
  <c r="H118" i="9"/>
  <c r="D14" i="74" s="1"/>
  <c r="G14" i="74" s="1"/>
  <c r="B6" i="74" s="1"/>
  <c r="D6" i="74" s="1"/>
  <c r="E118" i="9"/>
  <c r="H102" i="9"/>
  <c r="C105" i="9"/>
  <c r="E4" i="52"/>
  <c r="B48" i="72" s="1"/>
  <c r="D118" i="9"/>
  <c r="F118" i="9"/>
  <c r="B5" i="74" l="1"/>
  <c r="D5" i="74" s="1"/>
  <c r="F14" i="74"/>
  <c r="E14" i="74"/>
  <c r="D7" i="53"/>
  <c r="B21" i="72" s="1"/>
  <c r="H4" i="52"/>
  <c r="H119" i="9"/>
  <c r="H5" i="52" s="1"/>
  <c r="H101" i="9"/>
  <c r="C104" i="9"/>
  <c r="F119" i="9"/>
  <c r="F5" i="52" s="1"/>
  <c r="B53" i="72" s="1"/>
  <c r="F4" i="52"/>
  <c r="B51" i="72" s="1"/>
  <c r="D119" i="9"/>
  <c r="D5" i="52" s="1"/>
  <c r="B49" i="72" s="1"/>
  <c r="D4" i="52"/>
  <c r="B47" i="72" s="1"/>
  <c r="C5" i="74" l="1"/>
  <c r="D5" i="53"/>
  <c r="M48" i="9"/>
  <c r="H107" i="9"/>
  <c r="D45" i="9"/>
  <c r="D55" i="9" l="1"/>
  <c r="M53" i="9" s="1"/>
  <c r="D53" i="9"/>
  <c r="C78" i="9"/>
  <c r="C73" i="9" s="1"/>
  <c r="C64" i="9"/>
  <c r="C63" i="9" s="1"/>
  <c r="C67" i="9" s="1"/>
  <c r="D52" i="9"/>
  <c r="C93" i="9"/>
  <c r="C86" i="9" s="1"/>
  <c r="C85" i="9"/>
  <c r="C72" i="9"/>
  <c r="D122" i="9"/>
  <c r="H108" i="9"/>
  <c r="M49" i="9"/>
  <c r="D13" i="53"/>
  <c r="B20" i="72"/>
  <c r="D6" i="53"/>
  <c r="B22" i="72" s="1"/>
  <c r="C95" i="9" l="1"/>
  <c r="C96" i="9" s="1"/>
  <c r="E96" i="9" s="1"/>
  <c r="E97" i="9" s="1"/>
  <c r="C79" i="9"/>
  <c r="C80" i="9" s="1"/>
  <c r="E80" i="9" s="1"/>
  <c r="E81" i="9" s="1"/>
  <c r="D59" i="9"/>
  <c r="M55" i="9" s="1"/>
  <c r="C68" i="9"/>
  <c r="D54" i="9" s="1"/>
  <c r="B30" i="72"/>
  <c r="D14" i="53"/>
  <c r="B32" i="72" s="1"/>
  <c r="L67" i="9"/>
  <c r="M67" i="9" s="1"/>
  <c r="L66" i="9"/>
  <c r="M66" i="9" s="1"/>
  <c r="L64" i="9"/>
  <c r="M64" i="9" s="1"/>
  <c r="L63" i="9"/>
  <c r="M63" i="9" s="1"/>
  <c r="L68" i="9"/>
  <c r="M68" i="9" s="1"/>
  <c r="L65" i="9"/>
  <c r="M65" i="9" s="1"/>
  <c r="C6" i="74"/>
  <c r="D15" i="53"/>
  <c r="B31" i="72" s="1"/>
  <c r="D123" i="9"/>
  <c r="D9" i="52" s="1"/>
  <c r="D8" i="52"/>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<sst xmlns="http://schemas.openxmlformats.org/spreadsheetml/2006/main" count="8085" uniqueCount="3559">
  <si>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</si>
  <si>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</si>
  <si>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</si>
  <si>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</si>
  <si>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</si>
  <si>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</si>
  <si>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</si>
  <si>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</si>
  <si>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</si>
  <si>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</si>
  <si>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</si>
  <si>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</si>
  <si>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</si>
  <si>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</si>
  <si>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</si>
  <si>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</si>
  <si>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</si>
  <si>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</si>
  <si>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</si>
  <si>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</si>
  <si>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</si>
  <si>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</si>
  <si>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</si>
  <si>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</si>
  <si>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</si>
  <si>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</si>
  <si>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</si>
  <si>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</si>
  <si>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</si>
  <si>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</si>
  <si>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</si>
  <si>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</si>
  <si>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</si>
  <si>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</si>
  <si>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</si>
  <si>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</si>
  <si>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</si>
  <si>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</si>
  <si>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</si>
  <si>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</si>
  <si>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</si>
  <si>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</si>
  <si>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</si>
  <si>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</si>
  <si>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</si>
  <si>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</si>
  <si>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</si>
  <si>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</si>
  <si>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</si>
  <si>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</si>
  <si>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</si>
  <si>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</si>
  <si>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</si>
  <si>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</si>
  <si>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</si>
  <si>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</si>
  <si>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</si>
  <si>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</si>
  <si>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</si>
  <si>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</si>
  <si>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</si>
  <si>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</si>
  <si>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</si>
  <si>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</si>
  <si>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</si>
  <si>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</si>
  <si>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</si>
  <si>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</si>
  <si>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</si>
  <si>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</si>
  <si>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</si>
  <si>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</si>
  <si>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</si>
  <si>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</si>
  <si>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</si>
  <si>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</si>
  <si>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</si>
  <si>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</si>
  <si>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</si>
  <si>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</si>
  <si>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</si>
  <si>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</si>
  <si>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</si>
  <si>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</si>
  <si>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</si>
  <si>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</si>
  <si>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</si>
  <si>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</si>
  <si>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</si>
  <si>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</si>
  <si>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</si>
  <si>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</si>
  <si>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</si>
  <si>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</si>
  <si>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</si>
  <si>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</si>
  <si>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</si>
  <si>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</si>
  <si>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</si>
  <si>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</si>
  <si>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</si>
  <si>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</si>
  <si>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</si>
  <si>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</si>
  <si>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</si>
  <si>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</si>
  <si>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</si>
  <si>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</si>
  <si>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</si>
  <si>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</si>
  <si>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</si>
  <si>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</si>
  <si>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</si>
  <si>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</si>
  <si>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</si>
  <si>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</si>
  <si>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</si>
  <si>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</si>
  <si>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</si>
  <si>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</si>
  <si>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</si>
  <si>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</si>
  <si>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</si>
  <si>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</si>
  <si>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</si>
  <si>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</si>
  <si>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</si>
  <si>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</si>
  <si>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</si>
  <si>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</si>
  <si>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</si>
  <si>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</si>
  <si>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</si>
  <si>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</si>
  <si>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</si>
  <si>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</si>
  <si>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</si>
  <si>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</si>
  <si>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</si>
  <si>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</si>
  <si>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</si>
  <si>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</si>
  <si>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</si>
  <si>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</si>
  <si>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</si>
  <si>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</si>
  <si>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</si>
  <si>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</si>
  <si>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</si>
  <si>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</si>
  <si>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</si>
  <si>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</si>
  <si>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</si>
  <si>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</si>
  <si>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</si>
  <si>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</si>
  <si>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</si>
  <si>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</si>
  <si>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</si>
  <si>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</si>
  <si>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</si>
  <si>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</si>
  <si>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</si>
  <si>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</si>
  <si>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</si>
  <si>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</si>
  <si>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</si>
  <si>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</si>
  <si>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</si>
  <si>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</si>
  <si>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</si>
  <si>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</si>
  <si>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</si>
  <si>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</si>
  <si>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</si>
  <si>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</si>
  <si>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</si>
  <si>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</si>
  <si>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</si>
  <si>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</si>
  <si>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</si>
  <si>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</si>
  <si>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</si>
  <si>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</si>
  <si>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</si>
  <si>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</si>
  <si>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</si>
  <si>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</si>
  <si>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</si>
  <si>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</si>
  <si>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</si>
  <si>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</si>
  <si>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</si>
  <si>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</si>
  <si>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</si>
  <si>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</si>
  <si>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</si>
  <si>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</si>
  <si>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</si>
  <si>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</si>
  <si>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</si>
  <si>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</si>
  <si>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</si>
  <si>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</si>
  <si>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</si>
  <si>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</si>
  <si>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</si>
  <si>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</si>
  <si>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</si>
  <si>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</si>
  <si>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</si>
  <si>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</si>
  <si>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</si>
  <si>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</si>
  <si>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</si>
  <si>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</si>
  <si>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</si>
  <si>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</si>
  <si>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</si>
  <si>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</si>
  <si>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</si>
  <si>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</si>
  <si>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</si>
  <si>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</si>
  <si>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</si>
  <si>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</si>
  <si>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</si>
  <si>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</si>
  <si>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</si>
  <si>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</si>
  <si>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</si>
  <si>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</si>
  <si>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</si>
  <si>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</si>
  <si>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</si>
  <si>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</si>
  <si>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</si>
  <si>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</si>
  <si>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</si>
  <si>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</si>
  <si>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</si>
  <si>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</si>
  <si>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</si>
  <si>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</si>
  <si>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</si>
  <si>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</si>
  <si>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</si>
  <si>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</si>
  <si>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</si>
  <si>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</si>
  <si>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</si>
  <si>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</si>
  <si>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</si>
  <si>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</si>
  <si>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</si>
  <si>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</si>
  <si>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</si>
  <si>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</si>
  <si>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</si>
  <si>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</si>
  <si>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</si>
  <si>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</si>
  <si>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</si>
  <si>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</si>
  <si>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</si>
  <si>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</si>
  <si>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</si>
  <si>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</si>
  <si>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</si>
  <si>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</si>
  <si>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</si>
  <si>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</si>
  <si>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</si>
  <si>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</si>
  <si>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</si>
  <si>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</si>
  <si>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</si>
  <si>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</si>
  <si>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</si>
  <si>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</si>
  <si>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</si>
  <si>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</si>
  <si>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</si>
  <si>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</si>
  <si>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</si>
  <si>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</si>
  <si>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</si>
  <si>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</si>
  <si>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</si>
  <si>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</si>
  <si>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</si>
  <si>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</si>
  <si>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</si>
  <si>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</si>
  <si>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</si>
  <si>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</si>
  <si>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</si>
  <si>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</si>
  <si>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</si>
  <si>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</si>
  <si>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</si>
  <si>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</si>
  <si>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</si>
  <si>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</si>
  <si>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</si>
  <si>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</si>
  <si>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</si>
  <si>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</si>
  <si>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</si>
  <si>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</si>
  <si>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</si>
  <si>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</si>
  <si>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</si>
  <si>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</si>
  <si>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</si>
  <si>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</si>
  <si>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</si>
  <si>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</si>
  <si>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</si>
  <si>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</si>
  <si>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</si>
  <si>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</si>
  <si>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</si>
  <si>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</si>
  <si>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</si>
  <si>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</si>
  <si>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</si>
  <si>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</si>
  <si>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</si>
  <si>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</si>
  <si>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</si>
  <si>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</si>
  <si>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</si>
  <si>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</si>
  <si>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</si>
  <si>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</si>
  <si>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</si>
  <si>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</si>
  <si>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</si>
  <si>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</si>
  <si>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</si>
  <si>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</si>
  <si>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</si>
  <si>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</si>
  <si>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</si>
  <si>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</si>
  <si>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</si>
  <si>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</si>
  <si>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</si>
  <si>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</si>
  <si>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</si>
  <si>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</si>
  <si>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</si>
  <si>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</si>
  <si>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</si>
  <si>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</si>
  <si>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</si>
  <si>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</si>
  <si>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</si>
  <si>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</si>
  <si>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</si>
  <si>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</si>
  <si>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</si>
  <si>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</si>
  <si>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</si>
  <si>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</si>
  <si>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</si>
  <si>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</si>
  <si>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</si>
  <si>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</si>
  <si>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</si>
  <si>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</si>
  <si>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</si>
  <si>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</si>
  <si>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</si>
  <si>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</si>
  <si>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</si>
  <si>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</si>
  <si>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</si>
  <si>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</si>
  <si>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</si>
  <si>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</si>
  <si>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</si>
  <si>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</si>
  <si>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</si>
  <si>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</si>
  <si>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</si>
  <si>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</si>
  <si>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</si>
  <si>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</si>
  <si>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</si>
  <si>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</si>
  <si>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</si>
  <si>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</si>
  <si>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</si>
  <si>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</si>
  <si>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</si>
  <si>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</si>
  <si>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</si>
  <si>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</si>
  <si>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</si>
  <si>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</si>
  <si>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</si>
  <si>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</si>
  <si>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</si>
  <si>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</si>
  <si>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</si>
  <si>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</si>
  <si>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</si>
  <si>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</si>
  <si>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</si>
  <si>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</si>
  <si>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</si>
  <si>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</si>
  <si>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</si>
  <si>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</si>
  <si>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</si>
  <si>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</si>
  <si>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</si>
  <si>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</si>
  <si>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</si>
  <si>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</si>
  <si>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</si>
  <si>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</si>
  <si>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</si>
  <si>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</si>
  <si>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</si>
  <si>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</si>
  <si>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</si>
  <si>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</si>
  <si>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</si>
  <si>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</si>
  <si>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</si>
  <si>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</si>
  <si>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</si>
  <si>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</si>
  <si>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</si>
  <si>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</si>
  <si>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</si>
  <si>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</si>
  <si>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</si>
  <si>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</si>
  <si>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</si>
  <si>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</si>
  <si>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</si>
  <si>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</si>
  <si>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</si>
  <si>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</si>
  <si>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</si>
  <si>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</si>
  <si>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</si>
  <si>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</si>
  <si>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</si>
  <si>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</si>
  <si>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</si>
  <si>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</si>
  <si>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</si>
  <si>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</si>
  <si>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</si>
  <si>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</si>
  <si>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</si>
  <si>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</si>
  <si>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</si>
  <si>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</si>
  <si>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</si>
  <si>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</si>
  <si>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</si>
  <si>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</si>
  <si>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</si>
  <si>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</si>
  <si>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</si>
  <si>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</si>
  <si>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</si>
  <si>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</si>
  <si>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</si>
  <si>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</si>
  <si>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</si>
  <si>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</si>
  <si>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</si>
  <si>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</si>
  <si>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</si>
  <si>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</si>
  <si>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</si>
  <si>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</si>
  <si>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</si>
  <si>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</si>
  <si>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</si>
  <si>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</si>
  <si>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</si>
  <si>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</si>
  <si>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</si>
  <si>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</si>
  <si>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</si>
  <si>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</si>
  <si>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</si>
  <si>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</si>
  <si>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</si>
  <si>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</si>
  <si>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</si>
  <si>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</si>
  <si>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</si>
  <si>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</si>
  <si>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</si>
  <si>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</si>
  <si>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</si>
  <si>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</si>
  <si>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</si>
  <si>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</si>
  <si>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</si>
  <si>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</si>
  <si>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</si>
  <si>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</si>
  <si>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</si>
  <si>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</si>
  <si>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</si>
  <si>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</si>
  <si>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</si>
  <si>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</si>
  <si>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</si>
  <si>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</si>
  <si>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</si>
  <si>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</si>
  <si>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</si>
  <si>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</si>
  <si>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</si>
  <si>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</si>
  <si>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</si>
  <si>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</si>
  <si>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</si>
  <si>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</si>
  <si>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</si>
  <si>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</si>
  <si>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</si>
  <si>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</si>
  <si>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</si>
  <si>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</si>
  <si>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</si>
  <si>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</si>
  <si>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</si>
  <si>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</si>
  <si>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</si>
  <si>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</si>
  <si>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</si>
  <si>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</si>
  <si>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</si>
  <si>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</si>
  <si>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</si>
  <si>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</si>
  <si>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</si>
  <si>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</si>
  <si>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</si>
  <si>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</si>
  <si>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</si>
  <si>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</si>
  <si>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</si>
  <si>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</si>
  <si>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</si>
  <si>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</si>
  <si>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</si>
  <si>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</si>
  <si>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</si>
  <si>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</si>
  <si>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</si>
  <si>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</si>
  <si>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</si>
  <si>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</si>
  <si>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</si>
  <si>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</si>
  <si>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</si>
  <si>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</si>
  <si>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</si>
  <si>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</si>
  <si>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</si>
  <si>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</si>
  <si>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</si>
  <si>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</si>
  <si>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</si>
  <si>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</si>
  <si>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</si>
  <si>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</si>
  <si>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</si>
  <si>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</si>
  <si>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</si>
  <si>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</si>
  <si>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</si>
  <si>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</si>
  <si>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</si>
  <si>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</si>
  <si>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</si>
  <si>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</si>
  <si>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</si>
  <si>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</si>
  <si>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</si>
  <si>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</si>
  <si>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</si>
  <si>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</si>
  <si>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</si>
  <si>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</si>
  <si>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</si>
  <si>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</si>
  <si>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</si>
  <si>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</si>
  <si>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</si>
  <si>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</si>
  <si>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</si>
  <si>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</si>
  <si>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</si>
  <si>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</si>
  <si>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</si>
  <si>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</si>
  <si>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</si>
  <si>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</si>
  <si>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</si>
  <si>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</si>
  <si>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</si>
  <si>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</si>
  <si>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</si>
  <si>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</si>
  <si>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</si>
  <si>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</si>
  <si>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</si>
  <si>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</si>
  <si>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</si>
  <si>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</si>
  <si>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</si>
  <si>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</si>
  <si>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</si>
  <si>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</si>
  <si>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</si>
  <si>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</si>
  <si>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</si>
  <si>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</si>
  <si>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</si>
  <si>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</si>
  <si>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</si>
  <si>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</si>
  <si>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</si>
  <si>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</si>
  <si>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</si>
  <si>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</si>
  <si>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</si>
  <si>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</si>
  <si>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</si>
  <si>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</si>
  <si>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</si>
  <si>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</si>
  <si>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</si>
  <si>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</si>
  <si>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</si>
  <si>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</si>
  <si>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</si>
  <si>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</si>
  <si>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</si>
  <si>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</si>
  <si>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</si>
  <si>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</si>
  <si>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</si>
  <si>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</si>
  <si>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</si>
  <si>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</si>
  <si>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</si>
  <si>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</si>
  <si>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</si>
  <si>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</si>
  <si>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</si>
  <si>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</si>
  <si>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</si>
  <si>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</si>
  <si>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</si>
  <si>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</si>
  <si>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</si>
  <si>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</si>
  <si>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</si>
  <si>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</si>
  <si>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</si>
  <si>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</si>
  <si>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</si>
  <si>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</si>
  <si>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</si>
  <si>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</si>
  <si>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</si>
  <si>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</si>
  <si>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</si>
  <si>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</si>
  <si>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</si>
  <si>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</si>
  <si>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</si>
  <si>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</si>
  <si>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</si>
  <si>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</si>
  <si>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</si>
  <si>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</si>
  <si>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</si>
  <si>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</si>
  <si>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</si>
  <si>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</si>
  <si>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</si>
  <si>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</si>
  <si>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</si>
  <si>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</si>
  <si>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</si>
  <si>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</si>
  <si>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</si>
  <si>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</si>
  <si>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</si>
  <si>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</si>
  <si>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</si>
  <si>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</si>
  <si>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</si>
  <si>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</si>
  <si>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</si>
  <si>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</si>
  <si>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</si>
  <si>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</si>
  <si>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</si>
  <si>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</si>
  <si>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</si>
  <si>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</si>
  <si>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</si>
  <si>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</si>
  <si>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</si>
  <si>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</si>
  <si>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</si>
  <si>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</si>
  <si>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</si>
  <si>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</si>
  <si>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</si>
  <si>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</si>
  <si>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</si>
  <si>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</si>
  <si>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</si>
  <si>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</si>
  <si>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</si>
  <si>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</si>
  <si>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</si>
  <si>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</si>
  <si>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</si>
  <si>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</si>
  <si>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</si>
  <si>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</si>
  <si>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</si>
  <si>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</si>
  <si>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</si>
  <si>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</si>
  <si>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</si>
  <si>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</si>
  <si>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</si>
  <si>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</si>
  <si>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</si>
  <si>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</si>
  <si>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</si>
  <si>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</si>
  <si>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</si>
  <si>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</si>
  <si>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</si>
  <si>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</si>
  <si>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</si>
  <si>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</si>
  <si>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</si>
  <si>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</si>
  <si>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</si>
  <si>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</si>
  <si>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</si>
  <si>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</si>
  <si>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</si>
  <si>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</si>
  <si>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</si>
  <si>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</si>
  <si>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</si>
  <si>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</si>
  <si>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</si>
  <si>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</si>
  <si>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</si>
  <si>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</si>
  <si>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</si>
  <si>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</si>
  <si>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</si>
  <si>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</si>
  <si>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</si>
  <si>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</si>
  <si>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</si>
  <si>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</si>
  <si>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</si>
  <si>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</si>
  <si>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</si>
  <si>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</si>
  <si>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</si>
  <si>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</si>
  <si>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</si>
  <si>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</si>
  <si>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</si>
  <si>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</si>
  <si>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</si>
  <si>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</si>
  <si>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</si>
  <si>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</si>
  <si>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</si>
  <si>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</si>
  <si>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</si>
  <si>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</si>
  <si>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</si>
  <si>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</si>
  <si>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</si>
  <si>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</si>
  <si>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</si>
  <si>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</si>
  <si>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</si>
  <si>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</si>
  <si>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</si>
  <si>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</si>
  <si>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</si>
  <si>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</si>
  <si>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</si>
  <si>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</si>
  <si>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</si>
  <si>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</si>
  <si>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</si>
  <si>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</si>
  <si>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</si>
  <si>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</si>
  <si>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</si>
  <si>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</si>
  <si>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</si>
  <si>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</si>
  <si>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</si>
  <si>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</si>
  <si>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</si>
  <si>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</si>
  <si>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</si>
  <si>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</si>
  <si>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</si>
  <si>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</si>
  <si>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</si>
  <si>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</si>
  <si>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</si>
  <si>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</si>
  <si>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</si>
  <si>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</si>
  <si>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</si>
  <si>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</si>
  <si>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</si>
  <si>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</si>
  <si>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</si>
  <si>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</si>
  <si>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</si>
  <si>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</si>
  <si>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</si>
  <si>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</si>
  <si>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</si>
  <si>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</si>
  <si>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</si>
  <si>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</si>
  <si>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</si>
  <si>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</si>
  <si>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</si>
  <si>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</si>
  <si>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</si>
  <si>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</si>
  <si>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</si>
  <si>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</si>
  <si>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</si>
  <si>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</si>
  <si>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</si>
  <si>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</si>
  <si>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</si>
  <si>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</si>
  <si>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</si>
  <si>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</si>
  <si>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</si>
  <si>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</si>
  <si>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</si>
  <si>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</si>
  <si>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</si>
  <si>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</si>
  <si>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</si>
  <si>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</si>
  <si>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</si>
  <si>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</si>
  <si>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</si>
  <si>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</si>
  <si>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</si>
  <si>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</si>
  <si>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</si>
  <si>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</si>
  <si>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</si>
  <si>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</si>
  <si>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</si>
  <si>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</si>
  <si>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</si>
  <si>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</si>
  <si>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</si>
  <si>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</si>
  <si>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</si>
  <si>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</si>
  <si>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</si>
  <si>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</si>
  <si>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</si>
  <si>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</si>
  <si>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</si>
  <si>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</si>
  <si>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</si>
  <si>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</si>
  <si>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</si>
  <si>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</si>
  <si>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</si>
  <si>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</si>
  <si>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</si>
  <si>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</si>
  <si>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</si>
  <si>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</si>
  <si>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</si>
  <si>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</si>
  <si>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</si>
  <si>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</si>
  <si>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</si>
  <si>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</si>
  <si>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</si>
  <si>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</si>
  <si>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</si>
  <si>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</si>
  <si>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</si>
  <si>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</si>
  <si>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</si>
  <si>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</si>
  <si>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</si>
  <si>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</si>
  <si>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</si>
  <si>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</si>
  <si>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</si>
  <si>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</si>
  <si>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</si>
  <si>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</si>
  <si>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</si>
  <si>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</si>
  <si>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</si>
  <si>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</si>
  <si>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</si>
  <si>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</si>
  <si>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</si>
  <si>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</si>
  <si>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</si>
  <si>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</si>
  <si>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</si>
  <si>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</si>
  <si>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</si>
  <si>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</si>
  <si>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</si>
  <si>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</si>
  <si>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</si>
  <si>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</si>
  <si>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</si>
  <si>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</si>
  <si>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</si>
  <si>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</si>
  <si>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</si>
  <si>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</si>
  <si>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</si>
  <si>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</si>
  <si>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</si>
  <si>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</si>
  <si>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</si>
  <si>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</si>
  <si>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</si>
  <si>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</si>
  <si>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</si>
  <si>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</si>
  <si>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</si>
  <si>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</si>
  <si>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</si>
  <si>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</si>
  <si>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</si>
  <si>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</si>
  <si>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</si>
  <si>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</si>
  <si>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</si>
  <si>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</si>
  <si>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</si>
  <si>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</si>
  <si>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</si>
  <si>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</si>
  <si>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</si>
  <si>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</si>
  <si>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</si>
  <si>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</si>
  <si>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</si>
  <si>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</si>
  <si>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</si>
  <si>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</si>
  <si>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</si>
  <si>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</si>
  <si>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</si>
  <si>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</si>
  <si>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</si>
  <si>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</si>
  <si>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</si>
  <si>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</si>
  <si>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</si>
  <si>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</si>
  <si>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</si>
  <si>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</si>
  <si>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</si>
  <si>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</si>
  <si>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</si>
  <si>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</si>
  <si>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</si>
  <si>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</si>
  <si>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</si>
  <si>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</si>
  <si>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</si>
  <si>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</si>
  <si>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</si>
  <si>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</si>
  <si>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</si>
  <si>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</si>
  <si>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</si>
  <si>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</si>
  <si>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</si>
  <si>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</si>
  <si>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</si>
  <si>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</si>
  <si>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</si>
  <si>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</si>
  <si>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</si>
  <si>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</si>
  <si>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</si>
  <si>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</si>
  <si>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</si>
  <si>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</si>
  <si>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</si>
  <si>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</si>
  <si>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</si>
  <si>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</si>
  <si>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</si>
  <si>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</si>
  <si>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</si>
  <si>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</si>
  <si>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</si>
  <si>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</si>
  <si>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</si>
  <si>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</si>
  <si>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</si>
  <si>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</si>
  <si>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</si>
  <si>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</si>
  <si>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</si>
  <si>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</si>
  <si>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</si>
  <si>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</si>
  <si>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</si>
  <si>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</si>
  <si>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</si>
  <si>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</si>
  <si>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</si>
  <si>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</si>
  <si>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</si>
  <si>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</si>
  <si>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</si>
  <si>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</si>
  <si>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</si>
  <si>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</si>
  <si>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</si>
  <si>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</si>
  <si>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</si>
  <si>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</si>
  <si>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</si>
  <si>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</si>
  <si>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</si>
  <si>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</si>
  <si>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</si>
  <si>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</si>
  <si>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</si>
  <si>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</si>
  <si>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</si>
  <si>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</si>
  <si>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</si>
  <si>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</si>
  <si>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</si>
  <si>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</si>
  <si>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</si>
  <si>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</si>
  <si>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</si>
  <si>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</si>
  <si>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</si>
  <si>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</si>
  <si>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</si>
  <si>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</si>
  <si>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</si>
  <si>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</si>
  <si>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</si>
  <si>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</si>
  <si>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</si>
  <si>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</si>
  <si>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</si>
  <si>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</si>
  <si>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</si>
  <si>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</si>
  <si>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</si>
  <si>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</si>
  <si>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</si>
  <si>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</si>
  <si>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</si>
  <si>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</si>
  <si>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</si>
  <si>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</si>
  <si>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</si>
  <si>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</si>
  <si>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</si>
  <si>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</si>
  <si>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</si>
  <si>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</si>
  <si>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</si>
  <si>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</si>
  <si>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</si>
  <si>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</si>
  <si>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</si>
  <si>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</si>
  <si>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</si>
  <si>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</si>
  <si>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</si>
  <si>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</si>
  <si>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</si>
  <si>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</si>
  <si>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</si>
  <si>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</si>
  <si>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</si>
  <si>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</si>
  <si>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</si>
  <si>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</si>
  <si>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</si>
  <si>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</si>
  <si>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</si>
  <si>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</si>
  <si>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</si>
  <si>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</si>
  <si>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</si>
  <si>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</si>
  <si>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</si>
  <si>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</si>
  <si>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</si>
  <si>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</si>
  <si>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</si>
  <si>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</si>
  <si>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</si>
  <si>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</si>
  <si>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</si>
  <si>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</si>
  <si>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</si>
  <si>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</si>
  <si>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</si>
  <si>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</si>
  <si>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</si>
  <si>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</si>
  <si>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</si>
  <si>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</si>
  <si>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</si>
  <si>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</si>
  <si>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</si>
  <si>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</si>
  <si>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</si>
  <si>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</si>
  <si>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</si>
  <si>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</si>
  <si>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</si>
  <si>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</si>
  <si>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</si>
  <si>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</si>
  <si>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</si>
  <si>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</si>
  <si>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</si>
  <si>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</si>
  <si>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</si>
  <si>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</si>
  <si>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</si>
  <si>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</si>
  <si>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</si>
  <si>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</si>
  <si>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</si>
  <si>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</si>
  <si>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</si>
  <si>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</si>
  <si>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</si>
  <si>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</si>
  <si>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</si>
  <si>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</si>
  <si>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</si>
  <si>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</si>
  <si>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</si>
  <si>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</si>
  <si>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</si>
  <si>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</si>
  <si>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</si>
  <si>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</si>
  <si>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</si>
  <si>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</si>
  <si>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</si>
  <si>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</si>
  <si>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</si>
  <si>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</si>
  <si>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</si>
  <si>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</si>
  <si>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</si>
  <si>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</si>
  <si>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</si>
  <si>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</si>
  <si>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</si>
  <si>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</si>
  <si>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</si>
  <si>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</si>
  <si>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</si>
  <si>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</si>
  <si>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</si>
  <si>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</si>
  <si>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</si>
  <si>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</si>
  <si>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</si>
  <si>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</si>
  <si>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</si>
  <si>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</si>
  <si>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</si>
  <si>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</si>
  <si>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</si>
  <si>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</si>
  <si>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</si>
  <si>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</si>
  <si>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</si>
  <si>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</si>
  <si>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</si>
  <si>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</si>
  <si>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</si>
  <si>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</si>
  <si>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</si>
  <si>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</si>
  <si>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</si>
  <si>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</si>
  <si>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</si>
  <si>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</si>
  <si>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</si>
  <si>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</si>
  <si>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</si>
  <si>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</si>
  <si>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</si>
  <si>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</si>
  <si>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</si>
  <si>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</si>
  <si>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</si>
  <si>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</si>
  <si>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</si>
  <si>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</si>
  <si>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</si>
  <si>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</si>
  <si>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</si>
  <si>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</si>
  <si>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</si>
  <si>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</si>
  <si>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</si>
  <si>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</si>
  <si>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</si>
  <si>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</si>
  <si>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</si>
  <si>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</si>
  <si>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</si>
  <si>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</si>
  <si>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</si>
  <si>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</si>
  <si>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</si>
  <si>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</si>
  <si>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</si>
  <si>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</si>
  <si>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</si>
  <si>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</si>
  <si>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</si>
  <si>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</si>
  <si>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</si>
  <si>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</si>
  <si>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</si>
  <si>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</si>
  <si>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</si>
  <si>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</si>
  <si>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</si>
  <si>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</si>
  <si>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</si>
  <si>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</si>
  <si>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</si>
  <si>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</si>
  <si>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</si>
  <si>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</si>
  <si>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</si>
  <si>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</si>
  <si>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</si>
  <si>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</si>
  <si>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</si>
  <si>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</si>
  <si>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</si>
  <si>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</si>
  <si>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</si>
  <si>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</si>
  <si>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</si>
  <si>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</si>
  <si>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</si>
  <si>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</si>
  <si>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</si>
  <si>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</si>
  <si>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</si>
  <si>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</si>
  <si>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</si>
  <si>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</si>
  <si>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</si>
  <si>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</si>
  <si>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</si>
  <si>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</si>
  <si>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</si>
  <si>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</si>
  <si>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</si>
  <si>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</si>
  <si>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</si>
  <si>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</si>
  <si>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</si>
  <si>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</si>
  <si>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</si>
  <si>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</si>
  <si>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</si>
  <si>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</si>
  <si>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</si>
  <si>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</si>
  <si>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</si>
  <si>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</si>
  <si>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</si>
  <si>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</si>
  <si>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</si>
  <si>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</si>
  <si>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</si>
  <si>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</si>
  <si>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</si>
  <si>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</si>
  <si>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</si>
  <si>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</si>
  <si>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</si>
  <si>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</si>
  <si>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</si>
  <si>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</si>
  <si>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</si>
  <si>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</si>
  <si>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</si>
  <si>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</si>
  <si>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</si>
  <si>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</si>
  <si>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</si>
  <si>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</si>
  <si>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</si>
  <si>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</si>
  <si>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</si>
  <si>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</si>
  <si>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</si>
  <si>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</si>
  <si>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</si>
  <si>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</si>
  <si>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</si>
  <si>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</si>
  <si>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</si>
  <si>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</si>
  <si>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</si>
  <si>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</si>
  <si>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</si>
  <si>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</si>
  <si>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</si>
  <si>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</si>
  <si>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</si>
  <si>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</si>
  <si>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</si>
  <si>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</si>
  <si>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</si>
  <si>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</si>
  <si>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</si>
  <si>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</si>
  <si>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</si>
  <si>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</si>
  <si>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</si>
  <si>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</si>
  <si>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</si>
  <si>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</si>
  <si>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</si>
  <si>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</si>
  <si>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</si>
  <si>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</si>
  <si>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</si>
  <si>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</si>
  <si>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</si>
  <si>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</si>
  <si>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</si>
  <si>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</si>
  <si>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</si>
  <si>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</si>
  <si>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</si>
  <si>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</si>
  <si>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</si>
  <si>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</si>
  <si>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</si>
  <si>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</si>
  <si>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</si>
  <si>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</si>
  <si>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</si>
  <si>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</si>
  <si>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</si>
  <si>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</si>
  <si>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</si>
  <si>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</si>
  <si>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</si>
  <si>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</si>
  <si>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</si>
  <si>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</si>
  <si>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</si>
  <si>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</si>
  <si>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</si>
  <si>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</si>
  <si>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</si>
  <si>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</si>
  <si>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</si>
  <si>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</si>
  <si>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</si>
  <si>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</si>
  <si>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</si>
  <si>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</si>
  <si>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</si>
  <si>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</si>
  <si>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</si>
  <si>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</si>
  <si>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</si>
  <si>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</si>
  <si>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</si>
  <si>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</si>
  <si>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</si>
  <si>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</si>
  <si>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</si>
  <si>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</si>
  <si>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</si>
  <si>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</si>
  <si>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</si>
  <si>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</si>
  <si>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</si>
  <si>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</si>
  <si>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</si>
  <si>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</si>
  <si>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</si>
  <si>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</si>
  <si>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</si>
  <si>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</si>
  <si>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</si>
  <si>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</si>
  <si>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</si>
  <si>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</si>
  <si>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</si>
  <si>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</si>
  <si>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</si>
  <si>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</si>
  <si>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</si>
  <si>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</si>
  <si>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</si>
  <si>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</si>
  <si>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</si>
  <si>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</si>
  <si>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</si>
  <si>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</si>
  <si>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</si>
  <si>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</si>
  <si>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</si>
  <si>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</si>
  <si>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</si>
  <si>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</si>
  <si>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</si>
  <si>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</si>
  <si>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</si>
  <si>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</si>
  <si>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</si>
  <si>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</si>
  <si>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</si>
  <si>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</si>
  <si>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</si>
  <si>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</si>
  <si>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</si>
  <si>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</si>
  <si>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</si>
  <si>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</si>
  <si>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</si>
  <si>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</si>
  <si>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</si>
  <si>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</si>
  <si>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</si>
  <si>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</si>
  <si>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</si>
  <si>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</si>
  <si>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</si>
  <si>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</si>
  <si>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</si>
  <si>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</si>
  <si>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</si>
  <si>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</si>
  <si>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</si>
  <si>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</si>
  <si>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</si>
  <si>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</si>
  <si>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</si>
  <si>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</si>
  <si>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</si>
  <si>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</si>
  <si>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</si>
  <si>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</si>
  <si>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</si>
  <si>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</si>
  <si>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</si>
  <si>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</si>
  <si>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</si>
  <si>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</si>
  <si>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</si>
  <si>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</si>
  <si>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</si>
  <si>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</si>
  <si>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</si>
  <si>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</si>
  <si>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</si>
  <si>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</si>
  <si>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</si>
  <si>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</si>
  <si>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</si>
  <si>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</si>
  <si>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</si>
  <si>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</si>
  <si>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</si>
  <si>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</si>
  <si>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</si>
  <si>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</si>
  <si>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</si>
  <si>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</si>
  <si>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</si>
  <si>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</si>
  <si>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</si>
  <si>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</si>
  <si>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</si>
  <si>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</si>
  <si>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</si>
  <si>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</si>
  <si>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</si>
  <si>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</si>
  <si>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</si>
  <si>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</si>
  <si>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</si>
  <si>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</si>
  <si>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</si>
  <si>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</si>
  <si>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</si>
  <si>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</si>
  <si>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</si>
  <si>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</si>
  <si>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</si>
  <si>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</si>
  <si>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</si>
  <si>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</si>
  <si>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</si>
  <si>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</si>
  <si>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</si>
  <si>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</si>
  <si>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</si>
  <si>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</si>
  <si>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</si>
  <si>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</si>
  <si>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</si>
  <si>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</si>
  <si>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</si>
  <si>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</si>
  <si>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</si>
  <si>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</si>
  <si>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</si>
  <si>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</si>
  <si>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</si>
  <si>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</si>
  <si>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</si>
  <si>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</si>
  <si>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</si>
  <si>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</si>
  <si>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</si>
  <si>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</si>
  <si>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</si>
  <si>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</si>
  <si>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</si>
  <si>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</si>
  <si>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</si>
  <si>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</si>
  <si>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</si>
  <si>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</si>
  <si>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</si>
  <si>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</si>
  <si>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</si>
  <si>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</si>
  <si>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</si>
  <si>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</si>
  <si>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</si>
  <si>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</si>
  <si>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</si>
  <si>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</si>
  <si>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</si>
  <si>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</si>
  <si>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</si>
  <si>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</si>
  <si>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</si>
  <si>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</si>
  <si>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</si>
  <si>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</si>
  <si>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</si>
  <si>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</si>
  <si>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</si>
  <si>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</si>
  <si>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</si>
  <si>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</si>
  <si>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</si>
  <si>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</si>
  <si>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</si>
  <si>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</si>
  <si>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</si>
  <si>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</si>
  <si>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</si>
  <si>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</si>
  <si>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</si>
  <si>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</si>
  <si>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</si>
  <si>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</si>
  <si>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</si>
  <si>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</si>
  <si>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</si>
  <si>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</si>
  <si>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</si>
  <si>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</si>
  <si>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</si>
  <si>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</si>
  <si>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</si>
  <si>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</si>
  <si>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</si>
  <si>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</si>
  <si>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</si>
  <si>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</si>
  <si>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</si>
  <si>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</si>
  <si>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</si>
  <si>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</si>
  <si>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</si>
  <si>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</si>
  <si>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</si>
  <si>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</si>
  <si>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</si>
  <si>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</si>
  <si>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</si>
  <si>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</si>
  <si>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</si>
  <si>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</si>
  <si>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</si>
  <si>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</si>
  <si>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</si>
  <si>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</si>
  <si>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</si>
  <si>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</si>
  <si>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</si>
  <si>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</si>
  <si>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</si>
  <si>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</si>
  <si>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</si>
  <si>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</si>
  <si>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</si>
  <si>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</si>
  <si>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</si>
  <si>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</si>
  <si>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</si>
  <si>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</si>
  <si>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</si>
  <si>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</si>
  <si>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</si>
  <si>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</si>
  <si>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</si>
  <si>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</si>
  <si>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</si>
  <si>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</si>
  <si>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</si>
  <si>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</si>
  <si>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</si>
  <si>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</si>
  <si>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</si>
  <si>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</si>
  <si>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</si>
  <si>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</si>
  <si>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</si>
  <si>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</si>
  <si>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</si>
  <si>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</si>
  <si>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</si>
  <si>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</si>
  <si>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</si>
  <si>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</si>
  <si>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</si>
  <si>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</si>
  <si>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</si>
  <si>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</si>
  <si>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</si>
  <si>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</si>
  <si>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</si>
  <si>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</si>
  <si>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</si>
  <si>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</si>
  <si>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</si>
  <si>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</si>
  <si>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</si>
  <si>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</si>
  <si>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</si>
  <si>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</si>
  <si>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</si>
  <si>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</si>
  <si>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</si>
  <si>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</si>
  <si>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</si>
  <si>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</si>
  <si>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</si>
  <si>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</si>
  <si>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</si>
  <si>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</si>
  <si>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</si>
  <si>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</si>
  <si>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</si>
  <si>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</si>
  <si>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</si>
  <si>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</si>
  <si>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</si>
  <si>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</si>
  <si>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</si>
  <si>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</si>
  <si>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</si>
  <si>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</si>
  <si>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</si>
  <si>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</si>
  <si>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</si>
  <si>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</si>
  <si>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</si>
  <si>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</si>
  <si>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</si>
  <si>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</si>
  <si>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</si>
  <si>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</si>
  <si>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</si>
  <si>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</si>
  <si>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</si>
  <si>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</si>
  <si>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</si>
  <si>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</si>
  <si>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</si>
  <si>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</si>
  <si>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</si>
  <si>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</si>
  <si>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</si>
  <si>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</si>
  <si>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</si>
  <si>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</si>
  <si>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</si>
  <si>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</si>
  <si>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</si>
  <si>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</si>
  <si>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</si>
  <si>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</si>
  <si>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</si>
  <si>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</si>
  <si>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</si>
  <si>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</si>
  <si>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</si>
  <si>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</si>
  <si>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</si>
  <si>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</si>
  <si>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</si>
  <si>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</si>
  <si>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</si>
  <si>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</si>
  <si>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</si>
  <si>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</si>
  <si>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</si>
  <si>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</si>
  <si>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</si>
  <si>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</si>
  <si>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</si>
  <si>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</si>
  <si>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</si>
  <si>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</si>
  <si>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</si>
  <si>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</si>
  <si>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</si>
  <si>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</si>
  <si>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</si>
  <si>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</si>
  <si>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</si>
  <si>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</si>
  <si>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</si>
  <si>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</si>
  <si>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</si>
  <si>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</si>
  <si>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</si>
  <si>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</si>
  <si>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</si>
  <si>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</si>
  <si>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</si>
  <si>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</si>
  <si>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</si>
  <si>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</si>
  <si>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</si>
  <si>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</si>
  <si>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</si>
  <si>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</si>
  <si>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</si>
  <si>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</si>
  <si>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</si>
  <si>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</si>
  <si>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</si>
  <si>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</si>
  <si>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</si>
  <si>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</si>
  <si>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</si>
  <si>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</si>
  <si>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</si>
  <si>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</si>
  <si>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</si>
  <si>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</si>
  <si>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</si>
  <si>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</si>
  <si>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</si>
  <si>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</si>
  <si>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</si>
  <si>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</si>
  <si>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</si>
  <si>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</si>
  <si>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</si>
  <si>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</si>
  <si>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</si>
  <si>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</si>
  <si>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</si>
  <si>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</si>
  <si>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</si>
  <si>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</si>
  <si>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</si>
  <si>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</si>
  <si>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</si>
  <si>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</si>
  <si>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</si>
  <si>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</si>
  <si>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</si>
  <si>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</si>
  <si>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</si>
  <si>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</si>
  <si>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</si>
  <si>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</si>
  <si>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</si>
  <si>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</si>
  <si>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</si>
  <si>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</si>
  <si>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</si>
  <si>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</si>
  <si>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</si>
  <si>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</si>
  <si>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</si>
  <si>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</si>
  <si>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</si>
  <si>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</si>
  <si>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</si>
  <si>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</si>
  <si>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</si>
  <si>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</si>
  <si>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</si>
  <si>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</si>
  <si>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</si>
  <si>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</si>
  <si>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</si>
  <si>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</si>
  <si>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</si>
  <si>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</si>
  <si>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</si>
  <si>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</si>
  <si>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</si>
  <si>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</si>
  <si>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</si>
  <si>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</si>
  <si>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</si>
  <si>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</si>
  <si>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</si>
  <si>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</si>
  <si>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</si>
  <si>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</si>
  <si>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</si>
  <si>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</si>
  <si>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</si>
  <si>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</si>
  <si>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</si>
  <si>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</si>
  <si>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</si>
  <si>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</si>
  <si>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</si>
  <si>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</si>
  <si>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</si>
  <si>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</si>
  <si>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</si>
  <si>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</si>
  <si>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</si>
  <si>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</si>
  <si>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</si>
  <si>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</si>
  <si>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</si>
  <si>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</si>
  <si>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</si>
  <si>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</si>
  <si>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</si>
  <si>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</si>
  <si>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</si>
  <si>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</si>
  <si>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</si>
  <si>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</si>
  <si>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</si>
  <si>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</si>
  <si>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</si>
  <si>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</si>
  <si>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</si>
  <si>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</si>
  <si>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</si>
  <si>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</si>
  <si>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</si>
  <si>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</si>
  <si>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</si>
  <si>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</si>
  <si>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</si>
  <si>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</si>
  <si>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</si>
  <si>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</si>
  <si>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</si>
  <si>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</si>
  <si>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</si>
  <si>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</si>
  <si>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</si>
  <si>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</si>
  <si>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</si>
  <si>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</si>
  <si>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</si>
  <si>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</si>
  <si>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</si>
  <si>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</si>
  <si>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</si>
  <si>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</si>
  <si>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</si>
  <si>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</si>
  <si>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</si>
  <si>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</si>
  <si>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</si>
  <si>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</si>
  <si>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</si>
  <si>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</si>
  <si>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</si>
  <si>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</si>
  <si>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</si>
  <si>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</si>
  <si>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</si>
  <si>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</si>
  <si>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</si>
  <si>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</si>
  <si>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</si>
  <si>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</si>
  <si>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</si>
  <si>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</si>
  <si>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</si>
  <si>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</si>
  <si>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</si>
  <si>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</si>
  <si>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</si>
  <si>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</si>
  <si>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</si>
  <si>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</si>
  <si>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</si>
  <si>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</si>
  <si>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</si>
  <si>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</si>
  <si>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</si>
  <si>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</si>
  <si>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</si>
  <si>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</si>
  <si>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</si>
  <si>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</si>
  <si>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</si>
  <si>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</si>
  <si>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</si>
  <si>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</si>
  <si>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</si>
  <si>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</si>
  <si>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</si>
  <si>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</si>
  <si>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</si>
  <si>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</si>
  <si>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</si>
  <si>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</si>
  <si>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</si>
  <si>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</si>
  <si>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</si>
  <si>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</si>
  <si>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</si>
  <si>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</si>
  <si>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</si>
  <si>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</si>
  <si>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</si>
  <si>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</si>
  <si>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</si>
  <si>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</si>
  <si>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</si>
  <si>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</si>
  <si>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</si>
  <si>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</si>
  <si>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</si>
  <si>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</si>
  <si>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</si>
  <si>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</si>
  <si>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</si>
  <si>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</si>
  <si>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</si>
  <si>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</si>
  <si>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</si>
  <si>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</si>
  <si>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</si>
  <si>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</si>
  <si>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</si>
  <si>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</si>
  <si>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</si>
  <si>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</si>
  <si>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</si>
  <si>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</si>
  <si>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</si>
  <si>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</si>
  <si>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</si>
  <si>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</si>
  <si>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</si>
  <si>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</si>
  <si>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</si>
  <si>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</si>
  <si>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</si>
  <si>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</si>
  <si>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</si>
  <si>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</si>
  <si>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</si>
  <si>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</si>
  <si>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</si>
  <si>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</si>
  <si>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</si>
  <si>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</si>
  <si>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</si>
  <si>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</si>
  <si>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</si>
  <si>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</si>
  <si>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</si>
  <si>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</si>
  <si>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</si>
  <si>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</si>
  <si>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</si>
  <si>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</si>
  <si>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</si>
  <si>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</si>
  <si>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</si>
  <si>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</si>
  <si>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</si>
  <si>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</si>
  <si>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</si>
  <si>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</si>
  <si>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</si>
  <si>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</si>
  <si>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</si>
  <si>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</si>
  <si>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</si>
  <si>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</si>
  <si>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</si>
  <si>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</si>
  <si>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</si>
  <si>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</si>
  <si>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</si>
  <si>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</si>
  <si>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</si>
  <si>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</si>
  <si>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</si>
  <si>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</si>
  <si>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</si>
  <si>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</si>
  <si>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</si>
  <si>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</si>
  <si>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</si>
  <si>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</si>
  <si>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</si>
  <si>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</si>
  <si>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</si>
  <si>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</si>
  <si>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</si>
  <si>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</si>
  <si>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</si>
  <si>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</si>
  <si>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</si>
  <si>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</si>
  <si>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</si>
  <si>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</si>
  <si>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</si>
  <si>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</si>
  <si>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</si>
  <si>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</si>
  <si>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</si>
  <si>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</si>
  <si>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</si>
  <si>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</si>
  <si>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</si>
  <si>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</si>
  <si>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</si>
  <si>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</si>
  <si>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</si>
  <si>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</si>
  <si>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</si>
  <si>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</si>
  <si>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</si>
  <si>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</si>
  <si>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</si>
  <si>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</si>
  <si>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</si>
  <si>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</si>
  <si>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</si>
  <si>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</si>
  <si>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</si>
  <si>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</si>
  <si>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</si>
  <si>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</si>
  <si>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</si>
  <si>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</si>
  <si>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</si>
  <si>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</si>
  <si>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</si>
  <si>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</si>
  <si>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</si>
  <si>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</si>
  <si>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</si>
  <si>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</si>
  <si>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</si>
  <si>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</si>
  <si>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</si>
  <si>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</si>
  <si>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</si>
  <si>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</si>
  <si>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</si>
  <si>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</si>
  <si>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</si>
  <si>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</si>
  <si>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</si>
  <si>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</si>
  <si>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</si>
  <si>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</si>
  <si>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</si>
  <si>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</si>
  <si>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</si>
  <si>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</si>
  <si>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</si>
  <si>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</si>
  <si>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</si>
  <si>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</si>
  <si>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</si>
  <si>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</si>
  <si>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</si>
  <si>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</si>
  <si>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</si>
  <si>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</si>
  <si>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</si>
  <si>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</si>
  <si>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</si>
  <si>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</si>
  <si>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</si>
  <si>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</si>
  <si>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</si>
  <si>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</si>
  <si>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</si>
  <si>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</si>
  <si>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</si>
  <si>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</si>
  <si>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</si>
  <si>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</si>
  <si>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</si>
  <si>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</si>
  <si>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</si>
  <si>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</si>
  <si>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</si>
  <si>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</si>
  <si>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</si>
  <si>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</si>
  <si>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</si>
  <si>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</si>
  <si>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</si>
  <si>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</si>
  <si>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</si>
  <si>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</si>
  <si>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</si>
  <si>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</si>
  <si>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</si>
  <si>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</si>
  <si>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</si>
  <si>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</si>
  <si>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</si>
  <si>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</si>
  <si>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</si>
  <si>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</si>
  <si>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</si>
  <si>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</si>
  <si>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</si>
  <si>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</si>
  <si>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</si>
  <si>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</si>
  <si>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</si>
  <si>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</si>
  <si>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</si>
  <si>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</si>
  <si>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</si>
  <si>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</si>
  <si>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</si>
  <si>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</si>
  <si>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</si>
  <si>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</si>
  <si>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</si>
  <si>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</si>
  <si>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</si>
  <si>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</si>
  <si>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</si>
  <si>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</si>
  <si>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</si>
  <si>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</si>
  <si>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</si>
  <si>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</si>
  <si>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</si>
  <si>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</si>
  <si>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</si>
  <si>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</si>
  <si>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</si>
  <si>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</si>
  <si>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</si>
  <si>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</si>
  <si>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</si>
  <si>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</si>
  <si>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</si>
  <si>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</si>
  <si>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</si>
  <si>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</si>
  <si>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</si>
  <si>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</si>
  <si>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</si>
  <si>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</si>
  <si>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</si>
  <si>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</si>
  <si>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</si>
  <si>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</si>
  <si>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</si>
  <si>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</si>
  <si>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</si>
  <si>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</si>
  <si>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</si>
  <si>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</si>
  <si>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</si>
  <si>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</si>
  <si>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</si>
  <si>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</si>
  <si>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</si>
  <si>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</si>
  <si>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</si>
  <si>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</si>
  <si>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</si>
  <si>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</si>
  <si>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</si>
  <si>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</si>
  <si>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</si>
  <si>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</si>
  <si>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</si>
  <si>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</si>
  <si>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</si>
  <si>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</si>
  <si>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</si>
  <si>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</si>
  <si>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</si>
  <si>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</si>
  <si>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</si>
  <si>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</si>
  <si>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</si>
  <si>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</si>
  <si>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</si>
  <si>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</si>
  <si>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</si>
  <si>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</si>
  <si>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</si>
  <si>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</si>
  <si>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</si>
  <si>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</si>
  <si>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</si>
  <si>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</si>
  <si>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</si>
  <si>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</si>
  <si>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</si>
  <si>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</si>
  <si>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</si>
  <si>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</si>
  <si>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</si>
  <si>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</si>
  <si>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</si>
  <si>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</si>
  <si>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</si>
  <si>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</si>
  <si>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</si>
  <si>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</si>
  <si>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</si>
  <si>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</si>
  <si>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</si>
  <si>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</si>
  <si>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</si>
  <si>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</si>
  <si>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</si>
  <si>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</si>
  <si>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</si>
  <si>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</si>
  <si>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</si>
  <si>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</si>
  <si>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</si>
  <si>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</si>
  <si>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</si>
  <si>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</si>
  <si>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</si>
  <si>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</si>
  <si>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</si>
  <si>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</si>
  <si>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</si>
  <si>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</si>
  <si>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</si>
  <si>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</si>
  <si>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</si>
  <si>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</si>
  <si>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</si>
  <si>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</si>
  <si>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</si>
  <si>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</si>
  <si>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</si>
  <si>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</si>
  <si>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</si>
  <si>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</si>
  <si>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</si>
  <si>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</si>
  <si>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</si>
  <si>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</si>
  <si>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</si>
  <si>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</si>
  <si>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</si>
  <si>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</si>
  <si>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</si>
  <si>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</si>
  <si>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</si>
  <si>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</si>
  <si>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</si>
  <si>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</si>
  <si>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</si>
  <si>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</si>
  <si>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</si>
  <si>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</si>
  <si>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</si>
  <si>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</si>
  <si>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</si>
  <si>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</si>
  <si>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</si>
  <si>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</si>
  <si>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</si>
  <si>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</si>
  <si>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</si>
  <si>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</si>
  <si>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</si>
  <si>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</si>
  <si>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</si>
  <si>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</si>
  <si>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</si>
  <si>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</si>
  <si>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</si>
  <si>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</si>
  <si>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</si>
  <si>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</si>
  <si>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</si>
  <si>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</si>
  <si>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</si>
  <si>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</si>
  <si>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</si>
  <si>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</si>
  <si>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</si>
  <si>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</si>
  <si>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</si>
  <si>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</si>
  <si>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</si>
  <si>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</si>
  <si>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</si>
  <si>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</si>
  <si>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</si>
  <si>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</si>
  <si>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</si>
  <si>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</si>
  <si>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</si>
  <si>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</si>
  <si>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</si>
  <si>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</si>
  <si>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</si>
  <si>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</si>
  <si>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</si>
  <si>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</si>
  <si>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</si>
  <si>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</si>
  <si>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</si>
  <si>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</si>
  <si>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</si>
  <si>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</si>
  <si>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</si>
  <si>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</si>
  <si>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</si>
  <si>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</si>
  <si>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</si>
  <si>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</si>
  <si>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</si>
  <si>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</si>
  <si>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</si>
  <si>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</si>
  <si>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</si>
  <si>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</si>
  <si>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</si>
  <si>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</si>
  <si>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</si>
  <si>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</si>
  <si>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</si>
  <si>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</si>
  <si>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</si>
  <si>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</si>
  <si>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</si>
  <si>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</si>
  <si>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</si>
  <si>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</si>
  <si>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</si>
  <si>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</si>
  <si>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</si>
  <si>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</si>
  <si>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</si>
  <si>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</si>
  <si>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</si>
  <si>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</si>
  <si>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</si>
  <si>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</si>
  <si>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</si>
  <si>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</si>
  <si>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</si>
  <si>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</si>
  <si>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</si>
  <si>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</si>
  <si>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</si>
  <si>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</si>
  <si>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</si>
  <si>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</si>
  <si>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</si>
  <si>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</si>
  <si>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</si>
  <si>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</si>
  <si>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</si>
  <si>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</si>
  <si>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</si>
  <si>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</si>
  <si>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</si>
  <si>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</si>
  <si>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</si>
  <si>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</si>
  <si>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</si>
  <si>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</si>
  <si>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</si>
  <si>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</si>
  <si>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</si>
  <si>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</si>
  <si>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</si>
  <si>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</si>
  <si>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</si>
  <si>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</si>
  <si>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</si>
  <si>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</si>
  <si>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</si>
  <si>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</si>
  <si>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</si>
  <si>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</si>
  <si>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</si>
  <si>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</si>
  <si>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</si>
  <si>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</si>
  <si>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</si>
  <si>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</si>
  <si>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</si>
  <si>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</si>
  <si>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</si>
  <si>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</si>
  <si>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</si>
  <si>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</si>
  <si>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</si>
  <si>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</si>
  <si>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</si>
  <si>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</si>
  <si>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</si>
  <si>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</si>
  <si>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</si>
  <si>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</si>
  <si>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</si>
  <si>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</si>
  <si>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</si>
  <si>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</si>
  <si>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</si>
  <si>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</si>
  <si>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</si>
  <si>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</si>
  <si>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</si>
  <si>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</si>
  <si>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</si>
  <si>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</si>
  <si>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</si>
  <si>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</si>
  <si>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</si>
  <si>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</si>
  <si>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</si>
  <si>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</si>
  <si>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</si>
  <si>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</si>
  <si>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</si>
  <si>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</si>
  <si>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</si>
  <si>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</si>
  <si>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</si>
  <si>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</si>
  <si>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</si>
  <si>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</si>
  <si>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</si>
  <si>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</si>
  <si>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</si>
  <si>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</si>
  <si>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</si>
  <si>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</si>
  <si>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</si>
  <si>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</si>
  <si>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</si>
  <si>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</si>
  <si>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</si>
  <si>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</si>
  <si>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</si>
  <si>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</si>
  <si>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</si>
  <si>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</si>
  <si>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</si>
  <si>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</si>
  <si>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</si>
  <si>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</si>
  <si>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</si>
  <si>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</si>
  <si>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</si>
  <si>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</si>
  <si>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</si>
  <si>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</si>
  <si>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</si>
  <si>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</si>
  <si>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</si>
  <si>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</si>
  <si>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</si>
  <si>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</si>
  <si>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</si>
  <si>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</si>
  <si>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</si>
  <si>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</si>
  <si>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</si>
  <si>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</si>
  <si>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</si>
  <si>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</si>
  <si>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</si>
  <si>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</si>
  <si>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</si>
  <si>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</si>
  <si>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</si>
  <si>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</si>
  <si>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</si>
  <si>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</si>
  <si>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</si>
  <si>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</si>
  <si>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</si>
  <si>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</si>
  <si>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</si>
  <si>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</si>
  <si>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</si>
  <si>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</si>
  <si>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</si>
  <si>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</si>
  <si>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</si>
  <si>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</si>
  <si>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</si>
  <si>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</si>
  <si>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</si>
  <si>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</si>
  <si>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</si>
  <si>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</si>
  <si>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</si>
  <si>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</si>
  <si>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</si>
  <si>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</si>
  <si>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</si>
  <si>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</si>
  <si>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</si>
  <si>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</si>
  <si>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</si>
  <si>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</si>
  <si>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</si>
  <si>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</si>
  <si>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</si>
  <si>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</si>
  <si>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</si>
  <si>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</si>
  <si>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</si>
  <si>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</si>
  <si>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</si>
  <si>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</si>
  <si>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</si>
  <si>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</si>
  <si>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</si>
  <si>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</si>
  <si>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</si>
  <si>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</si>
  <si>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</si>
  <si>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</si>
  <si>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</si>
  <si>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</si>
  <si>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</si>
  <si>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</si>
  <si>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</si>
  <si>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</si>
  <si>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</si>
  <si>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</si>
  <si>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</si>
  <si>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</si>
  <si>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</si>
  <si>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</si>
  <si>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</si>
  <si>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</si>
  <si>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</si>
  <si>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</si>
  <si>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</si>
  <si>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</si>
  <si>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</si>
  <si>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</si>
  <si>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</si>
  <si>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</si>
  <si>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</si>
  <si>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</si>
  <si>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</si>
  <si>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</si>
  <si>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</si>
  <si>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</si>
  <si>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</si>
  <si>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</si>
  <si>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</si>
  <si>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</si>
  <si>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</si>
  <si>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</si>
  <si>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</si>
  <si>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</si>
  <si>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</si>
  <si>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</si>
  <si>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</si>
  <si>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</si>
  <si>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</si>
  <si>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</si>
  <si>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</si>
  <si>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</si>
  <si>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</si>
  <si>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</si>
  <si>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</si>
  <si>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</si>
  <si>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</si>
  <si>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</si>
  <si>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</si>
  <si>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</si>
  <si>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</si>
  <si>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</si>
  <si>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</si>
  <si>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</si>
  <si>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</si>
  <si>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</si>
  <si>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</si>
  <si>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</si>
  <si>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</si>
  <si>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</si>
  <si>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</si>
  <si>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</si>
  <si>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</si>
  <si>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</si>
  <si>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</si>
  <si>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</si>
  <si>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</si>
  <si>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</si>
  <si>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</si>
  <si>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</si>
  <si>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</si>
  <si>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</si>
  <si>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</si>
  <si>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</si>
  <si>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</si>
  <si>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</si>
  <si>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</si>
  <si>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</si>
  <si>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</si>
  <si>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</si>
  <si>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</si>
  <si>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</si>
  <si>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</si>
  <si>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</si>
  <si>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</si>
  <si>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</si>
  <si>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</si>
  <si>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</si>
  <si>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</si>
  <si>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</si>
  <si>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</si>
  <si>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</si>
  <si>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</si>
  <si>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</si>
  <si>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</si>
  <si>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</si>
  <si>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</si>
  <si>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</si>
  <si>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</si>
  <si>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</si>
  <si>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</si>
  <si>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</si>
  <si>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</si>
  <si>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</si>
  <si>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</si>
  <si>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</si>
  <si>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</si>
  <si>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</si>
  <si>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</si>
  <si>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</si>
  <si>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</si>
  <si>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</si>
  <si>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</si>
  <si>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</si>
  <si>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</si>
  <si>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</si>
  <si>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</si>
  <si>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</si>
  <si>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</si>
  <si>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</si>
  <si>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</si>
  <si>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</si>
  <si>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</si>
  <si>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</si>
  <si>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</si>
  <si>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</si>
  <si>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</si>
  <si>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</si>
  <si>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</si>
  <si>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</si>
  <si>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</si>
  <si>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</si>
  <si>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</si>
  <si>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</si>
  <si>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</si>
  <si>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</si>
  <si>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</si>
  <si>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</si>
  <si>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</si>
  <si>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</si>
  <si>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</si>
  <si>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</si>
  <si>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</si>
  <si>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</si>
  <si>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</si>
  <si>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</si>
  <si>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</si>
  <si>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</si>
  <si>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</si>
  <si>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</si>
  <si>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</si>
  <si>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</si>
  <si>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</si>
  <si>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</si>
  <si>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</si>
  <si>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</si>
  <si>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</si>
  <si>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</si>
  <si>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</si>
  <si>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</si>
  <si>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</si>
  <si>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</si>
  <si>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</si>
  <si>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</si>
  <si>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</si>
  <si>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</si>
  <si>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</si>
  <si>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</si>
  <si>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</si>
  <si>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</si>
  <si>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</si>
  <si>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</si>
  <si>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</si>
  <si>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</si>
  <si>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</si>
  <si>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</si>
  <si>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</si>
  <si>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</si>
  <si>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</si>
  <si>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</si>
  <si>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</si>
  <si>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</si>
  <si>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</si>
  <si>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</si>
  <si>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</si>
  <si>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</si>
  <si>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</si>
  <si>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</si>
  <si>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</si>
  <si>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</si>
  <si>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</si>
  <si>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</si>
  <si>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</si>
  <si>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</si>
  <si>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</si>
  <si>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</si>
  <si>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</si>
  <si>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</si>
  <si>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</si>
  <si>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</si>
  <si>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</si>
  <si>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</si>
  <si>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</si>
  <si>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</si>
  <si>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</si>
  <si>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</si>
  <si>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</si>
  <si>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</si>
  <si>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</si>
  <si>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</si>
  <si>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</si>
  <si>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</si>
  <si>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</si>
  <si>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</si>
  <si>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</si>
  <si>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</si>
  <si>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</si>
  <si>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</si>
  <si>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</si>
  <si>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</si>
  <si>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</si>
  <si>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</si>
  <si>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</si>
  <si>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</si>
  <si>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</si>
  <si>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</si>
  <si>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</si>
  <si>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</si>
  <si>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</si>
  <si>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</si>
  <si>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</si>
  <si>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</si>
  <si>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</si>
  <si>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</si>
  <si>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</si>
  <si>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</si>
  <si>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</si>
  <si>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</si>
  <si>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</si>
  <si>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</si>
  <si>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</si>
  <si>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</si>
  <si>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</si>
  <si>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</si>
  <si>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</si>
  <si>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</si>
  <si>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</si>
  <si>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</si>
  <si>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</si>
  <si>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</si>
  <si>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</si>
  <si>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</si>
  <si>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</si>
  <si>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</si>
  <si>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</si>
  <si>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</si>
  <si>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</si>
  <si>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</si>
  <si>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</si>
  <si>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</si>
  <si>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</si>
  <si>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</si>
  <si>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</si>
  <si>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</si>
  <si>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</si>
  <si>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</si>
  <si>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</si>
  <si>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</si>
  <si>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</si>
  <si>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</si>
  <si>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</si>
  <si>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</si>
  <si>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</si>
  <si>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</si>
  <si>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</si>
  <si>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</si>
  <si>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</si>
  <si>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</si>
  <si>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</si>
  <si>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</si>
  <si>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</si>
  <si>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</si>
  <si>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</si>
  <si>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</si>
  <si>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</si>
  <si>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</si>
  <si>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</si>
  <si>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</si>
  <si>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</si>
  <si>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</si>
  <si>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</si>
  <si>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</si>
  <si>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</si>
  <si>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</si>
  <si>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</si>
  <si>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</si>
  <si>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</si>
  <si>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</si>
  <si>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</si>
  <si>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</si>
  <si>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</si>
  <si>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</si>
  <si>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</si>
  <si>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</si>
  <si>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</si>
  <si>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</si>
  <si>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</si>
  <si>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</si>
  <si>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</si>
  <si>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</si>
  <si>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</si>
  <si>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</si>
  <si>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</si>
  <si>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</si>
  <si>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</si>
  <si>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</si>
  <si>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</si>
  <si>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</si>
  <si>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</si>
  <si>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</si>
  <si>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</si>
  <si>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</si>
  <si>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</si>
  <si>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</si>
  <si>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</si>
  <si>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</si>
  <si>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</si>
  <si>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</si>
  <si>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</si>
  <si>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</si>
  <si>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</si>
  <si>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</si>
  <si>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</si>
  <si>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</si>
  <si>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</si>
  <si>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</si>
  <si>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</si>
  <si>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</si>
  <si>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</si>
  <si>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</si>
  <si>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</si>
  <si>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</si>
  <si>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</si>
  <si>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</si>
  <si>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</si>
  <si>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</si>
  <si>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</si>
  <si>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</si>
  <si>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</si>
  <si>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</si>
  <si>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</si>
  <si>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</si>
  <si>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</si>
  <si>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</si>
  <si>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</si>
  <si>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</si>
  <si>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</si>
  <si>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</si>
  <si>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</si>
  <si>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</si>
  <si>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</si>
  <si>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</si>
  <si>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</si>
  <si>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</si>
  <si>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</si>
  <si>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</si>
  <si>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</si>
  <si>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</si>
  <si>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</si>
  <si>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</si>
  <si>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</si>
  <si>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</si>
  <si>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</si>
  <si>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</si>
  <si>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</si>
  <si>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</si>
  <si>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</si>
  <si>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</si>
  <si>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</si>
  <si>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</si>
  <si>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</si>
  <si>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</si>
  <si>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</si>
  <si>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</si>
  <si>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</si>
  <si>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</si>
  <si>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</si>
  <si>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</si>
  <si>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</si>
  <si>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</si>
  <si>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</si>
  <si>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</si>
  <si>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</si>
  <si>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</si>
  <si>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</si>
  <si>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</si>
  <si>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</si>
  <si>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</si>
  <si>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</si>
  <si>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</si>
  <si>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</si>
  <si>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</si>
  <si>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</si>
  <si>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</si>
  <si>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</si>
  <si>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</si>
  <si>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</si>
  <si>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</si>
  <si>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</si>
  <si>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</si>
  <si>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</si>
  <si>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</si>
  <si>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</si>
  <si>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</si>
  <si>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</si>
  <si>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</si>
  <si>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</si>
  <si>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</si>
  <si>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</si>
  <si>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</si>
  <si>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</si>
  <si>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</si>
  <si>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</si>
  <si>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</si>
  <si>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</si>
  <si>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</si>
  <si>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</si>
  <si>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</si>
  <si>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</si>
  <si>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</si>
  <si>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</si>
  <si>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</si>
  <si>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</si>
  <si>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</si>
  <si>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</si>
  <si>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</si>
  <si>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</si>
  <si>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</si>
  <si>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</si>
  <si>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</si>
  <si>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</si>
  <si>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</si>
  <si>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</si>
  <si>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</si>
  <si>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</si>
  <si>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</si>
  <si>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</si>
  <si>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</si>
  <si>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</si>
  <si>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</si>
  <si>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</si>
  <si>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</si>
  <si>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</si>
  <si>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</si>
  <si>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</si>
  <si>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</si>
  <si>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</si>
  <si>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</si>
  <si>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</si>
  <si>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</si>
  <si>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</si>
  <si>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</si>
  <si>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</si>
  <si>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</si>
  <si>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</si>
  <si>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</si>
  <si>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</si>
  <si>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</si>
  <si>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</si>
  <si>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</si>
  <si>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</si>
  <si>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</si>
  <si>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</si>
  <si>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</si>
  <si>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</si>
  <si>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</si>
  <si>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</si>
  <si>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</si>
  <si>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</si>
  <si>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</si>
  <si>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</si>
  <si>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</si>
  <si>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</si>
  <si>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</si>
  <si>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</si>
  <si>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</si>
  <si>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</si>
  <si>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</si>
  <si>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</si>
  <si>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</si>
  <si>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</si>
  <si>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</si>
  <si>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</si>
  <si>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</si>
  <si>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</si>
  <si>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</si>
  <si>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</si>
  <si>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</si>
  <si>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</si>
  <si>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</si>
  <si>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</si>
  <si>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</si>
  <si>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</si>
  <si>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</si>
  <si>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</si>
  <si>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</si>
  <si>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</si>
  <si>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</si>
  <si>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</si>
  <si>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</si>
  <si>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</si>
  <si>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</si>
  <si>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</si>
  <si>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</si>
  <si>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</si>
  <si>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</si>
  <si>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</si>
  <si>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</si>
  <si>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</si>
  <si>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</si>
  <si>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</si>
  <si>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</si>
  <si>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</si>
  <si>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</si>
  <si>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</si>
  <si>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</si>
  <si>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</si>
  <si>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</si>
  <si>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</si>
  <si>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</si>
  <si>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</si>
  <si>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</si>
  <si>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</si>
  <si>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</si>
  <si>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</si>
  <si>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</si>
  <si>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</si>
  <si>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</si>
  <si>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</si>
  <si>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</si>
  <si>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</si>
  <si>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</si>
  <si>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</si>
  <si>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</si>
  <si>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</si>
  <si>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</si>
  <si>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</si>
  <si>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</si>
  <si>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</si>
  <si>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</si>
  <si>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</si>
  <si>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</si>
  <si>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</si>
  <si>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</si>
  <si>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</si>
  <si>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</si>
  <si>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</si>
  <si>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</si>
  <si>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</si>
  <si>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</si>
  <si>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</si>
  <si>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</si>
  <si>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</si>
  <si>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</si>
  <si>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</si>
  <si>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</si>
  <si>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</si>
  <si>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</si>
  <si>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</si>
  <si>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</si>
  <si>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</si>
  <si>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</si>
  <si>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</si>
  <si>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</si>
  <si>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</si>
  <si>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</si>
  <si>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</si>
  <si>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</si>
  <si>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</si>
  <si>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</si>
  <si>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</si>
  <si>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</si>
  <si>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</si>
  <si>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</si>
  <si>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</si>
  <si>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</si>
  <si>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</si>
  <si>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</si>
  <si>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</si>
  <si>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</si>
  <si>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</si>
  <si>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</si>
  <si>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</si>
  <si>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</si>
  <si>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</si>
  <si>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</si>
  <si>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</si>
  <si>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</si>
  <si>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</si>
  <si>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</si>
  <si>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</si>
  <si>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</si>
  <si>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</si>
  <si>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</si>
  <si>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</si>
  <si>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</si>
  <si>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</si>
  <si>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</si>
  <si>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</si>
  <si>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</si>
  <si>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</si>
  <si>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</si>
  <si>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</si>
  <si>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</si>
  <si>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</si>
  <si>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</si>
  <si>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</si>
  <si>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</si>
  <si>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</si>
  <si>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</si>
  <si>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</si>
  <si>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</si>
  <si>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</si>
  <si>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</si>
  <si>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</si>
  <si>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</si>
  <si>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</si>
  <si>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</si>
  <si>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</si>
  <si>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</si>
  <si>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</si>
  <si>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</si>
  <si>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</si>
  <si>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</si>
  <si>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</si>
  <si>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</si>
  <si>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</si>
  <si>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</si>
  <si>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</si>
  <si>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</si>
  <si>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</si>
  <si>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</si>
  <si>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</si>
  <si>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</si>
  <si>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</si>
  <si>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</si>
  <si>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</si>
  <si>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</si>
  <si>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</si>
  <si>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</si>
  <si>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</si>
  <si>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</si>
  <si>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</si>
  <si>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</si>
  <si>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</si>
  <si>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</si>
  <si>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</si>
  <si>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</si>
  <si>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</si>
  <si>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</si>
  <si>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</si>
  <si>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</si>
  <si>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</si>
  <si>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</si>
  <si>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</si>
  <si>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</si>
  <si>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</si>
  <si>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</si>
  <si>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</si>
  <si>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</si>
  <si>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</si>
  <si>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</si>
  <si>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</si>
  <si>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</si>
  <si>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</si>
  <si>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</si>
  <si>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</si>
  <si>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</si>
  <si>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</si>
  <si>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</si>
  <si>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</si>
  <si>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</si>
  <si>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</si>
  <si>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</si>
  <si>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</si>
  <si>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</si>
  <si>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</si>
  <si>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</si>
  <si>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</si>
  <si>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</si>
  <si>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</si>
  <si>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</si>
  <si>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</si>
  <si>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</si>
  <si>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</si>
  <si>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</si>
  <si>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</si>
  <si>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</si>
  <si>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</si>
  <si>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</si>
  <si>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</si>
  <si>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</si>
  <si>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</si>
  <si>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</si>
  <si>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</si>
  <si>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</si>
  <si>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</si>
  <si>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</si>
  <si>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</si>
  <si>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</si>
  <si>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</si>
  <si>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</si>
  <si>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</si>
  <si>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</si>
  <si>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</si>
  <si>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</si>
  <si>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</si>
  <si>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</si>
  <si>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</si>
  <si>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</si>
  <si>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</si>
  <si>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</si>
  <si>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</si>
  <si>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</si>
  <si>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</si>
  <si>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</si>
  <si>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</si>
  <si>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</si>
  <si>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</si>
  <si>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</si>
  <si>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</si>
  <si>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</si>
  <si>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</si>
  <si>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</si>
  <si>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</si>
  <si>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</si>
  <si>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</si>
  <si>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</si>
  <si>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</si>
  <si>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</si>
  <si>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</si>
  <si>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</si>
  <si>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</si>
  <si>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</si>
  <si>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</si>
  <si>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</si>
  <si>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</si>
  <si>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</si>
  <si>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</si>
  <si>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</si>
  <si>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</si>
  <si>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</si>
  <si>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</si>
  <si>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</si>
  <si>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</si>
  <si>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</si>
  <si>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</si>
  <si>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</si>
  <si>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</si>
  <si>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</si>
  <si>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</si>
  <si>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</si>
  <si>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</si>
  <si>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</si>
  <si>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</si>
  <si>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</si>
  <si>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</si>
  <si>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</si>
  <si>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</si>
  <si>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</si>
  <si>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</si>
  <si>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</si>
  <si>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</si>
  <si>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</si>
  <si>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</si>
  <si>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</si>
  <si>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</si>
  <si>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</si>
  <si>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</si>
  <si>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</si>
  <si>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</si>
  <si>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</si>
  <si>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</si>
  <si>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</si>
  <si>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</si>
  <si>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</si>
  <si>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</si>
  <si>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</si>
  <si>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</si>
  <si>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</si>
  <si>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</si>
  <si>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其他：</t>
  </si>
  <si>
    <t>福建省宁德市</t>
    <phoneticPr fontId="6" type="noConversion"/>
  </si>
  <si>
    <t>自然人</t>
  </si>
  <si>
    <r>
      <rPr>
        <sz val="10"/>
        <color theme="9" tint="-0.249977111117893"/>
        <rFont val="宋体"/>
        <family val="3"/>
        <charset val="134"/>
      </rPr>
      <t>霞浦县松港街道赤岸大道</t>
    </r>
    <r>
      <rPr>
        <sz val="10"/>
        <color theme="9" tint="-0.249977111117893"/>
        <rFont val="Arial"/>
        <family val="2"/>
      </rPr>
      <t>33</t>
    </r>
    <r>
      <rPr>
        <sz val="10"/>
        <color theme="9" tint="-0.249977111117893"/>
        <rFont val="宋体"/>
        <family val="3"/>
        <charset val="134"/>
      </rPr>
      <t>号中茵外滩</t>
    </r>
    <r>
      <rPr>
        <sz val="10"/>
        <color theme="9" tint="-0.249977111117893"/>
        <rFont val="Arial"/>
        <family val="2"/>
      </rPr>
      <t>1</t>
    </r>
    <r>
      <rPr>
        <sz val="10"/>
        <color theme="9" tint="-0.249977111117893"/>
        <rFont val="宋体"/>
        <family val="3"/>
        <charset val="134"/>
      </rPr>
      <t>号（二期）</t>
    </r>
    <r>
      <rPr>
        <sz val="10"/>
        <color theme="9" tint="-0.249977111117893"/>
        <rFont val="Arial"/>
        <family val="2"/>
      </rPr>
      <t>11</t>
    </r>
    <r>
      <rPr>
        <sz val="10"/>
        <color theme="9" tint="-0.249977111117893"/>
        <rFont val="宋体"/>
        <family val="3"/>
        <charset val="134"/>
      </rPr>
      <t>号楼</t>
    </r>
    <r>
      <rPr>
        <sz val="10"/>
        <color theme="9" tint="-0.249977111117893"/>
        <rFont val="Arial"/>
        <family val="2"/>
      </rPr>
      <t>201</t>
    </r>
    <r>
      <rPr>
        <sz val="10"/>
        <color theme="9" tint="-0.249977111117893"/>
        <rFont val="宋体"/>
        <family val="3"/>
        <charset val="134"/>
      </rPr>
      <t>室</t>
    </r>
    <phoneticPr fontId="6" type="noConversion"/>
  </si>
  <si>
    <t>苏金兴、黄艳</t>
    <phoneticPr fontId="6" type="noConversion"/>
  </si>
  <si>
    <t>成套住宅</t>
    <phoneticPr fontId="6" type="noConversion"/>
  </si>
  <si>
    <t>居住项目</t>
  </si>
  <si>
    <t>现房</t>
  </si>
  <si>
    <t>是</t>
  </si>
  <si>
    <t>地上</t>
  </si>
  <si>
    <t>住宅</t>
    <phoneticPr fontId="7" type="noConversion"/>
  </si>
  <si>
    <t>成新度</t>
  </si>
  <si>
    <t>建成年代</t>
    <phoneticPr fontId="3" type="noConversion"/>
  </si>
  <si>
    <t>收益法 (元)</t>
  </si>
  <si>
    <r>
      <rPr>
        <sz val="11"/>
        <color indexed="8"/>
        <rFont val="宋体"/>
        <family val="3"/>
        <charset val="134"/>
      </rPr>
      <t>霞浦县松港街道赤岸大道</t>
    </r>
    <r>
      <rPr>
        <sz val="11"/>
        <color indexed="8"/>
        <rFont val="Arial"/>
        <family val="2"/>
      </rPr>
      <t xml:space="preserve"> 33 </t>
    </r>
    <r>
      <rPr>
        <sz val="11"/>
        <color indexed="8"/>
        <rFont val="宋体"/>
        <family val="3"/>
        <charset val="134"/>
      </rPr>
      <t>号中茵外滩</t>
    </r>
    <r>
      <rPr>
        <sz val="11"/>
        <color indexed="8"/>
        <rFont val="Arial"/>
        <family val="2"/>
      </rPr>
      <t xml:space="preserve"> 1 </t>
    </r>
    <r>
      <rPr>
        <sz val="11"/>
        <color indexed="8"/>
        <rFont val="宋体"/>
        <family val="3"/>
        <charset val="134"/>
      </rPr>
      <t>号（二期）属于松港组团。</t>
    </r>
    <phoneticPr fontId="3" type="noConversion"/>
  </si>
  <si>
    <t>松港街道</t>
    <phoneticPr fontId="3" type="noConversion"/>
  </si>
  <si>
    <t>https://zfgb.fujian.gov.cn/4166</t>
    <phoneticPr fontId="3" type="noConversion"/>
  </si>
  <si>
    <r>
      <rPr>
        <sz val="11"/>
        <color indexed="8"/>
        <rFont val="宋体"/>
        <family val="3"/>
        <charset val="134"/>
      </rPr>
      <t>福建省人民政府关于调整地方教育
附加征收标准等有关问题的通知
闽政文〔</t>
    </r>
    <r>
      <rPr>
        <sz val="11"/>
        <color indexed="8"/>
        <rFont val="Arial"/>
        <family val="2"/>
      </rPr>
      <t>2011</t>
    </r>
    <r>
      <rPr>
        <sz val="11"/>
        <color indexed="8"/>
        <rFont val="宋体"/>
        <family val="3"/>
        <charset val="134"/>
      </rPr>
      <t>〕</t>
    </r>
    <r>
      <rPr>
        <sz val="11"/>
        <color indexed="8"/>
        <rFont val="Arial"/>
        <family val="2"/>
      </rPr>
      <t>230</t>
    </r>
    <r>
      <rPr>
        <sz val="11"/>
        <color indexed="8"/>
        <rFont val="宋体"/>
        <family val="3"/>
        <charset val="134"/>
      </rPr>
      <t>号</t>
    </r>
    <phoneticPr fontId="3" type="noConversion"/>
  </si>
  <si>
    <t>https://zfgb.fujian.gov.cn/6631</t>
    <phoneticPr fontId="3" type="noConversion"/>
  </si>
  <si>
    <r>
      <rPr>
        <sz val="11"/>
        <color indexed="8"/>
        <rFont val="宋体"/>
        <family val="3"/>
        <charset val="134"/>
      </rPr>
      <t>国务院关于修改《征收教育费附加的暂行规定》的决定
国务院令第</t>
    </r>
    <r>
      <rPr>
        <sz val="11"/>
        <color indexed="8"/>
        <rFont val="Arial"/>
        <family val="2"/>
      </rPr>
      <t>448</t>
    </r>
    <r>
      <rPr>
        <sz val="11"/>
        <color indexed="8"/>
        <rFont val="宋体"/>
        <family val="3"/>
        <charset val="134"/>
      </rPr>
      <t>号</t>
    </r>
    <phoneticPr fontId="3" type="noConversion"/>
  </si>
  <si>
    <r>
      <rPr>
        <sz val="11"/>
        <color indexed="8"/>
        <rFont val="宋体"/>
        <family val="3"/>
        <charset val="134"/>
      </rPr>
      <t>福建省人民政府关于修改
《福建省贯彻〈中华人民共和国契税
暂行条例〉实施办法》的通知
闽政〔</t>
    </r>
    <r>
      <rPr>
        <sz val="11"/>
        <color indexed="8"/>
        <rFont val="Arial"/>
        <family val="2"/>
      </rPr>
      <t>2003</t>
    </r>
    <r>
      <rPr>
        <sz val="11"/>
        <color indexed="8"/>
        <rFont val="宋体"/>
        <family val="3"/>
        <charset val="134"/>
      </rPr>
      <t>〕</t>
    </r>
    <r>
      <rPr>
        <sz val="11"/>
        <color indexed="8"/>
        <rFont val="Arial"/>
        <family val="2"/>
      </rPr>
      <t>20</t>
    </r>
    <r>
      <rPr>
        <sz val="11"/>
        <color indexed="8"/>
        <rFont val="宋体"/>
        <family val="3"/>
        <charset val="134"/>
      </rPr>
      <t>号</t>
    </r>
    <phoneticPr fontId="3" type="noConversion"/>
  </si>
  <si>
    <t>https://zfgb.fujian.gov.cn/2192</t>
    <phoneticPr fontId="3" type="noConversion"/>
  </si>
  <si>
    <t>https://bdcdj.fuzhou.gov.cn/zwgk/ztzl/yhyshj/zcsd/zcwj/202404/t20240422_4812355.htm</t>
    <phoneticPr fontId="3" type="noConversion"/>
  </si>
  <si>
    <t>中华人民共和国印花税法</t>
    <phoneticPr fontId="3" type="noConversion"/>
  </si>
  <si>
    <t>霞浦县人民政府关于修订城市基础
设施配套费征收办法的通知[霞政规〔2023〕1号]</t>
    <phoneticPr fontId="3" type="noConversion"/>
  </si>
  <si>
    <t>押一</t>
  </si>
  <si>
    <t>钢混</t>
  </si>
  <si>
    <t>非生产用房</t>
  </si>
  <si>
    <t>单套模式</t>
  </si>
  <si>
    <t>售价</t>
  </si>
  <si>
    <t>郑燚</t>
  </si>
  <si>
    <t>抵押</t>
  </si>
  <si>
    <t>房地产抵押价值</t>
  </si>
  <si>
    <r>
      <rPr>
        <sz val="10"/>
        <color indexed="8"/>
        <rFont val="宋体"/>
        <family val="3"/>
        <charset val="134"/>
      </rPr>
      <t>霞浦县中茵外滩一号地上楼层数根据楼栋不同有所差异，部分楼栋为</t>
    </r>
    <r>
      <rPr>
        <sz val="10"/>
        <color indexed="8"/>
        <rFont val="Arial"/>
        <family val="2"/>
      </rPr>
      <t xml:space="preserve"> 17-20 </t>
    </r>
    <r>
      <rPr>
        <sz val="10"/>
        <color indexed="8"/>
        <rFont val="宋体"/>
        <family val="3"/>
        <charset val="134"/>
      </rPr>
      <t>层，部分为</t>
    </r>
    <r>
      <rPr>
        <sz val="10"/>
        <color indexed="8"/>
        <rFont val="Arial"/>
        <family val="2"/>
      </rPr>
      <t xml:space="preserve"> 26 </t>
    </r>
    <r>
      <rPr>
        <sz val="10"/>
        <color indexed="8"/>
        <rFont val="宋体"/>
        <family val="3"/>
        <charset val="134"/>
      </rPr>
      <t>层，还有</t>
    </r>
    <r>
      <rPr>
        <sz val="10"/>
        <color indexed="8"/>
        <rFont val="Arial"/>
        <family val="2"/>
      </rPr>
      <t xml:space="preserve"> 1 </t>
    </r>
    <r>
      <rPr>
        <sz val="10"/>
        <color indexed="8"/>
        <rFont val="宋体"/>
        <family val="3"/>
        <charset val="134"/>
      </rPr>
      <t>栋</t>
    </r>
    <r>
      <rPr>
        <sz val="10"/>
        <color indexed="8"/>
        <rFont val="Arial"/>
        <family val="2"/>
      </rPr>
      <t xml:space="preserve"> 3 </t>
    </r>
    <r>
      <rPr>
        <sz val="10"/>
        <color indexed="8"/>
        <rFont val="宋体"/>
        <family val="3"/>
        <charset val="134"/>
      </rPr>
      <t>层的幼儿园。其地下层数为</t>
    </r>
    <r>
      <rPr>
        <sz val="10"/>
        <color indexed="8"/>
        <rFont val="Arial"/>
        <family val="2"/>
      </rPr>
      <t xml:space="preserve"> 1 </t>
    </r>
    <r>
      <rPr>
        <sz val="10"/>
        <color indexed="8"/>
        <rFont val="宋体"/>
        <family val="3"/>
        <charset val="134"/>
      </rPr>
      <t>层</t>
    </r>
    <phoneticPr fontId="3" type="noConversion"/>
  </si>
  <si>
    <t xml:space="preserve">可比实例基本情况表                     </t>
  </si>
  <si>
    <t>可比实例</t>
  </si>
  <si>
    <t>项目</t>
  </si>
  <si>
    <t>可比实例A</t>
  </si>
  <si>
    <t>可比实例B</t>
  </si>
  <si>
    <t>可比实例C</t>
  </si>
  <si>
    <t>正阳首府7号楼301室</t>
  </si>
  <si>
    <t>中茵蔚蓝国际7号楼605室</t>
  </si>
  <si>
    <t>霞浦中梁壹号院1号楼305室</t>
  </si>
  <si>
    <t>坐落</t>
  </si>
  <si>
    <t>霞浦县赤岸大道19号</t>
  </si>
  <si>
    <t>霞浦县赤岸大道29号</t>
  </si>
  <si>
    <t>霞浦县松港街道赤岸大道5号</t>
  </si>
  <si>
    <t>土地使用权类型</t>
  </si>
  <si>
    <t>建筑结构</t>
  </si>
  <si>
    <t>建筑面积（㎡）</t>
  </si>
  <si>
    <t>室内装修</t>
  </si>
  <si>
    <t>普通装修</t>
  </si>
  <si>
    <t>成交总价（元）</t>
  </si>
  <si>
    <t>成交单价（元/㎡）</t>
  </si>
  <si>
    <t>成交日期</t>
  </si>
  <si>
    <t>所处楼层/总层数</t>
  </si>
  <si>
    <t>3/33</t>
  </si>
  <si>
    <t>6/32</t>
  </si>
  <si>
    <t>3/32</t>
  </si>
  <si>
    <t>朝向</t>
  </si>
  <si>
    <t>南北朝向，东头单元</t>
  </si>
  <si>
    <t>南北朝向，西头单元</t>
  </si>
  <si>
    <t>南北朝向，中间单元</t>
  </si>
  <si>
    <t>建成年份</t>
  </si>
  <si>
    <t>2016年</t>
  </si>
  <si>
    <t>2017年</t>
  </si>
  <si>
    <t>2020年</t>
  </si>
  <si>
    <t>交易情况</t>
  </si>
  <si>
    <t>正常交易</t>
  </si>
  <si>
    <t>付款方式</t>
  </si>
  <si>
    <t>成交日期一次性付清</t>
  </si>
  <si>
    <t>税费负担</t>
  </si>
  <si>
    <t>买卖双方各自负担税费</t>
  </si>
  <si>
    <t>正常</t>
  </si>
  <si>
    <t>住宅</t>
    <phoneticPr fontId="24" type="noConversion"/>
  </si>
  <si>
    <t>较好</t>
  </si>
  <si>
    <t>挂牌价</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</si>
  <si>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</si>
  <si>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</si>
  <si>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</si>
  <si>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</si>
  <si>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</si>
  <si>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</si>
  <si>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</si>
  <si>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楼层</t>
    <phoneticPr fontId="24" type="noConversion"/>
  </si>
  <si>
    <t>低楼层</t>
    <phoneticPr fontId="24" type="noConversion"/>
  </si>
  <si>
    <t>高楼层</t>
    <phoneticPr fontId="24" type="noConversion"/>
  </si>
  <si>
    <t>中楼层</t>
    <phoneticPr fontId="24" type="noConversion"/>
  </si>
  <si>
    <t>钢筋混凝土结构</t>
    <phoneticPr fontId="24" type="noConversion"/>
  </si>
  <si>
    <t>六通</t>
    <phoneticPr fontId="24" type="noConversion"/>
  </si>
  <si>
    <t>精装修</t>
    <phoneticPr fontId="24" type="noConversion"/>
  </si>
  <si>
    <t>普通装修</t>
    <phoneticPr fontId="24" type="noConversion"/>
  </si>
  <si>
    <t>简单装修</t>
    <phoneticPr fontId="24" type="noConversion"/>
  </si>
  <si>
    <t>毛坯</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</si>
  <si>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</si>
  <si>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</si>
  <si>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</si>
  <si>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</si>
  <si>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</si>
  <si>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</si>
  <si>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</si>
  <si>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</si>
  <si>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</si>
  <si>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r>
      <t>60-70</t>
    </r>
    <r>
      <rPr>
        <sz val="11"/>
        <color indexed="8"/>
        <rFont val="宋体"/>
        <family val="3"/>
        <charset val="134"/>
      </rPr>
      <t>（含）</t>
    </r>
    <phoneticPr fontId="24" type="noConversion"/>
  </si>
  <si>
    <t>六通</t>
  </si>
  <si>
    <t>南北</t>
  </si>
  <si>
    <t>钢筋混凝土结构</t>
  </si>
  <si>
    <t>精装修</t>
  </si>
  <si>
    <r>
      <t>霞浦县松港街道东阳社区赤岸大道3</t>
    </r>
    <r>
      <rPr>
        <sz val="11"/>
        <color theme="1"/>
        <rFont val="宋体"/>
        <family val="3"/>
        <charset val="134"/>
        <scheme val="minor"/>
      </rPr>
      <t>5号中茵外滩1号7号楼702室</t>
    </r>
    <phoneticPr fontId="134" type="noConversion"/>
  </si>
  <si>
    <t>中茵外滩一号</t>
    <phoneticPr fontId="134" type="noConversion"/>
  </si>
  <si>
    <t>普通装修</t>
    <phoneticPr fontId="134" type="noConversion"/>
  </si>
  <si>
    <r>
      <t>7</t>
    </r>
    <r>
      <rPr>
        <sz val="11"/>
        <color theme="1"/>
        <rFont val="宋体"/>
        <family val="3"/>
        <charset val="134"/>
        <scheme val="minor"/>
      </rPr>
      <t>/26</t>
    </r>
    <phoneticPr fontId="134" type="noConversion"/>
  </si>
  <si>
    <t>南北</t>
    <phoneticPr fontId="134" type="noConversion"/>
  </si>
  <si>
    <r>
      <t>3</t>
    </r>
    <r>
      <rPr>
        <sz val="11"/>
        <rFont val="宋体"/>
        <family val="3"/>
        <charset val="134"/>
      </rPr>
      <t>层</t>
    </r>
    <phoneticPr fontId="24" type="noConversion"/>
  </si>
  <si>
    <r>
      <t>6</t>
    </r>
    <r>
      <rPr>
        <sz val="11"/>
        <rFont val="宋体"/>
        <family val="3"/>
        <charset val="134"/>
      </rPr>
      <t>层</t>
    </r>
    <phoneticPr fontId="24" type="noConversion"/>
  </si>
  <si>
    <r>
      <rPr>
        <sz val="11"/>
        <rFont val="宋体"/>
        <family val="3"/>
        <charset val="134"/>
      </rPr>
      <t>高层建筑</t>
    </r>
    <r>
      <rPr>
        <sz val="11"/>
        <rFont val="Arial"/>
        <family val="2"/>
      </rPr>
      <t xml:space="preserve"> </t>
    </r>
    <phoneticPr fontId="24" type="noConversion"/>
  </si>
  <si>
    <r>
      <t>32</t>
    </r>
    <r>
      <rPr>
        <sz val="11"/>
        <rFont val="宋体"/>
        <family val="3"/>
        <charset val="134"/>
      </rPr>
      <t>层</t>
    </r>
    <phoneticPr fontId="24" type="noConversion"/>
  </si>
  <si>
    <r>
      <t>26</t>
    </r>
    <r>
      <rPr>
        <sz val="11"/>
        <rFont val="宋体"/>
        <family val="3"/>
        <charset val="134"/>
      </rPr>
      <t>层</t>
    </r>
    <phoneticPr fontId="24" type="noConversion"/>
  </si>
  <si>
    <r>
      <t>33</t>
    </r>
    <r>
      <rPr>
        <sz val="11"/>
        <rFont val="宋体"/>
        <family val="3"/>
        <charset val="134"/>
      </rPr>
      <t>层</t>
    </r>
    <phoneticPr fontId="24" type="noConversion"/>
  </si>
  <si>
    <r>
      <t>17</t>
    </r>
    <r>
      <rPr>
        <sz val="11"/>
        <rFont val="宋体"/>
        <family val="3"/>
        <charset val="134"/>
      </rPr>
      <t>层</t>
    </r>
    <phoneticPr fontId="24" type="noConversion"/>
  </si>
  <si>
    <t xml:space="preserve">高层建筑 </t>
  </si>
  <si>
    <r>
      <t>50-60</t>
    </r>
    <r>
      <rPr>
        <sz val="11"/>
        <color rgb="FFFF0000"/>
        <rFont val="宋体"/>
        <family val="3"/>
        <charset val="134"/>
      </rPr>
      <t>（含）</t>
    </r>
    <phoneticPr fontId="24" type="noConversion"/>
  </si>
  <si>
    <t>否</t>
  </si>
  <si>
    <t>增值税</t>
    <phoneticPr fontId="134" type="noConversion"/>
  </si>
  <si>
    <t>免征</t>
    <phoneticPr fontId="134" type="noConversion"/>
  </si>
  <si>
    <t>城市维护建设税</t>
    <phoneticPr fontId="134" type="noConversion"/>
  </si>
  <si>
    <t>教育费附加</t>
    <phoneticPr fontId="134" type="noConversion"/>
  </si>
  <si>
    <t>地方教育费附加</t>
    <phoneticPr fontId="134" type="noConversion"/>
  </si>
  <si>
    <t>房产税</t>
    <phoneticPr fontId="134" type="noConversion"/>
  </si>
  <si>
    <t>个人所得税</t>
    <phoneticPr fontId="134" type="noConversion"/>
  </si>
  <si>
    <t>印花税</t>
    <phoneticPr fontId="134" type="noConversion"/>
  </si>
  <si>
    <t>城镇土地使用税</t>
    <phoneticPr fontId="134" type="noConversion"/>
  </si>
  <si>
    <t>是否有露台</t>
    <phoneticPr fontId="24" type="noConversion"/>
  </si>
  <si>
    <t>是</t>
    <phoneticPr fontId="24" type="noConversion"/>
  </si>
  <si>
    <t>否</t>
    <phoneticPr fontId="24" type="noConversion"/>
  </si>
  <si>
    <t>比较法-住宅</t>
  </si>
  <si>
    <t>楼面单价</t>
  </si>
  <si>
    <t>自定义</t>
  </si>
  <si>
    <t>中茵外滩1号二期</t>
    <phoneticPr fontId="3" type="noConversion"/>
  </si>
  <si>
    <t>推算</t>
    <phoneticPr fontId="24" type="noConversion"/>
  </si>
  <si>
    <t>普通</t>
  </si>
  <si>
    <t>普通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</si>
</sst>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u/>
      <sz val="11"/>
      <color theme="10"/>
      <name val="宋体"/>
      <family val="3"/>
      <charset val="134"/>
      <scheme val="minor"/>
    </font>
    <font>
      <sz val="10"/>
      <color indexed="8"/>
      <name val="Arial"/>
      <family val="3"/>
      <charset val="134"/>
    </font>
    <font>
      <sz val="12"/>
      <color theme="1"/>
      <name val="Calibri"/>
      <family val="2"/>
    </font>
    <font>
      <b/>
      <sz val="12"/>
      <color theme="1"/>
      <name val="仿宋GB2312"/>
      <family val="3"/>
      <charset val="134"/>
    </font>
    <font>
      <sz val="9"/>
      <color rgb="FF000000"/>
      <name val="仿宋GB2312"/>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double">
        <color indexed="64"/>
      </left>
      <right style="medium">
        <color indexed="64"/>
      </right>
      <top style="double">
        <color indexed="64"/>
      </top>
      <bottom/>
      <diagonal style="thin">
        <color indexed="64"/>
      </diagonal>
    </border>
    <border diagonalDown="1">
      <left style="double">
        <color indexed="64"/>
      </left>
      <right style="medium">
        <color indexed="64"/>
      </right>
      <top/>
      <bottom style="medium">
        <color indexed="64"/>
      </bottom>
      <diagonal style="thin">
        <color indexed="64"/>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272" fillId="12" borderId="0" xfId="0" applyFont="1" applyFill="1" applyAlignment="1" applyProtection="1">
      <alignment horizontal="center" vertical="center"/>
      <protection locked="0"/>
    </xf>
    <xf numFmtId="179" fontId="128" fillId="12" borderId="0" xfId="0" applyNumberFormat="1" applyFont="1" applyFill="1" applyProtection="1">
      <alignment vertical="center"/>
      <protection locked="0"/>
    </xf>
    <xf numFmtId="0" fontId="273" fillId="12" borderId="0" xfId="19" applyFill="1" applyProtection="1">
      <alignment vertical="center"/>
      <protection locked="0"/>
    </xf>
    <xf numFmtId="0" fontId="272" fillId="12" borderId="0" xfId="0" applyFont="1" applyFill="1" applyProtection="1">
      <alignment vertical="center"/>
      <protection locked="0"/>
    </xf>
    <xf numFmtId="0" fontId="128" fillId="12" borderId="0" xfId="0" applyFont="1" applyFill="1" applyAlignment="1" applyProtection="1">
      <alignment horizontal="center" vertical="center" wrapText="1"/>
      <protection locked="0"/>
    </xf>
    <xf numFmtId="0" fontId="274" fillId="12" borderId="0" xfId="0" applyFont="1" applyFill="1" applyAlignment="1" applyProtection="1">
      <alignment horizontal="center" vertical="center"/>
      <protection locked="0"/>
    </xf>
    <xf numFmtId="0" fontId="276" fillId="0" borderId="0" xfId="0" applyFont="1" applyAlignment="1">
      <alignment horizontal="center" vertical="center"/>
    </xf>
    <xf numFmtId="0" fontId="277" fillId="0" borderId="176" xfId="0" applyFont="1" applyBorder="1" applyAlignment="1">
      <alignment horizontal="center" vertical="center" wrapText="1"/>
    </xf>
    <xf numFmtId="0" fontId="277" fillId="0" borderId="177" xfId="0" applyFont="1" applyBorder="1" applyAlignment="1">
      <alignment horizontal="center" vertical="center" wrapText="1"/>
    </xf>
    <xf numFmtId="0" fontId="277" fillId="0" borderId="178" xfId="0" applyFont="1" applyBorder="1" applyAlignment="1">
      <alignment horizontal="center" vertical="center" wrapText="1"/>
    </xf>
    <xf numFmtId="0" fontId="277" fillId="0" borderId="43" xfId="0" applyFont="1" applyBorder="1" applyAlignment="1">
      <alignment horizontal="center" vertical="center" wrapText="1"/>
    </xf>
    <xf numFmtId="0" fontId="277" fillId="0" borderId="181" xfId="0" applyFont="1" applyBorder="1" applyAlignment="1">
      <alignment horizontal="center" vertical="center" wrapText="1"/>
    </xf>
    <xf numFmtId="31" fontId="277" fillId="0" borderId="43" xfId="0" applyNumberFormat="1" applyFont="1" applyBorder="1" applyAlignment="1">
      <alignment horizontal="center" vertical="center" wrapText="1"/>
    </xf>
    <xf numFmtId="0" fontId="277" fillId="0" borderId="182" xfId="0" applyFont="1" applyBorder="1" applyAlignment="1">
      <alignment horizontal="center" vertical="center" wrapText="1"/>
    </xf>
    <xf numFmtId="0" fontId="277" fillId="0" borderId="183" xfId="0" applyFont="1" applyBorder="1" applyAlignment="1">
      <alignment horizontal="center" vertical="center" wrapText="1"/>
    </xf>
    <xf numFmtId="0" fontId="275" fillId="0" borderId="0" xfId="0" applyFont="1" applyAlignment="1">
      <alignment horizontal="justify"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77" fillId="5" borderId="178" xfId="0" applyFont="1" applyFill="1" applyBorder="1" applyAlignment="1">
      <alignment horizontal="center" vertical="center" wrapText="1"/>
    </xf>
    <xf numFmtId="0" fontId="277" fillId="5" borderId="43" xfId="0" applyFont="1" applyFill="1" applyBorder="1" applyAlignment="1">
      <alignment horizontal="center" vertical="center" wrapText="1"/>
    </xf>
    <xf numFmtId="31" fontId="277" fillId="5" borderId="43" xfId="0" applyNumberFormat="1" applyFont="1" applyFill="1" applyBorder="1" applyAlignment="1">
      <alignment horizontal="center" vertical="center" wrapText="1"/>
    </xf>
    <xf numFmtId="0" fontId="277" fillId="5" borderId="183" xfId="0" applyFont="1" applyFill="1" applyBorder="1" applyAlignment="1">
      <alignment horizontal="center" vertical="center" wrapText="1"/>
    </xf>
    <xf numFmtId="0" fontId="277" fillId="5" borderId="179" xfId="0" applyFont="1" applyFill="1" applyBorder="1" applyAlignment="1">
      <alignment horizontal="center" vertical="center" wrapText="1"/>
    </xf>
    <xf numFmtId="0" fontId="277" fillId="5" borderId="180" xfId="0" applyFont="1" applyFill="1" applyBorder="1" applyAlignment="1">
      <alignment horizontal="center" vertical="center" wrapText="1"/>
    </xf>
    <xf numFmtId="31" fontId="277" fillId="5" borderId="180" xfId="0" applyNumberFormat="1" applyFont="1" applyFill="1" applyBorder="1" applyAlignment="1">
      <alignment horizontal="center" vertical="center" wrapText="1"/>
    </xf>
    <xf numFmtId="0" fontId="277" fillId="5" borderId="184" xfId="0" applyFont="1" applyFill="1" applyBorder="1" applyAlignment="1">
      <alignment horizontal="center" vertical="center" wrapText="1"/>
    </xf>
    <xf numFmtId="0" fontId="278" fillId="0" borderId="9" xfId="0" applyFont="1" applyBorder="1" applyAlignment="1" applyProtection="1">
      <alignment horizontal="center" vertical="center" wrapText="1"/>
      <protection locked="0"/>
    </xf>
    <xf numFmtId="14" fontId="51" fillId="0" borderId="38" xfId="0" applyNumberFormat="1" applyFont="1" applyBorder="1" applyAlignment="1" applyProtection="1">
      <alignment horizontal="center" vertical="center" wrapText="1"/>
      <protection locked="0"/>
    </xf>
    <xf numFmtId="176" fontId="100" fillId="0" borderId="3" xfId="0" applyNumberFormat="1" applyFont="1" applyBorder="1" applyAlignment="1" applyProtection="1">
      <alignment horizontal="center" vertical="center" wrapText="1"/>
      <protection locked="0"/>
    </xf>
    <xf numFmtId="0" fontId="95" fillId="5" borderId="0" xfId="0" applyFont="1" applyFill="1">
      <alignment vertical="center"/>
    </xf>
    <xf numFmtId="9" fontId="0" fillId="5" borderId="0" xfId="0" applyNumberFormat="1" applyFill="1">
      <alignment vertical="center"/>
    </xf>
    <xf numFmtId="10" fontId="95" fillId="5" borderId="0" xfId="0" applyNumberFormat="1" applyFont="1" applyFill="1">
      <alignment vertical="center"/>
    </xf>
    <xf numFmtId="9" fontId="44" fillId="12" borderId="0" xfId="0" applyNumberFormat="1" applyFont="1" applyFill="1" applyAlignment="1" applyProtection="1">
      <alignment horizontal="center" vertical="center"/>
      <protection locked="0"/>
    </xf>
    <xf numFmtId="0" fontId="128" fillId="0" borderId="37" xfId="0" applyFont="1" applyBorder="1" applyAlignment="1" applyProtection="1">
      <alignment horizontal="center" vertical="center" wrapText="1"/>
      <protection locked="0"/>
    </xf>
    <xf numFmtId="10" fontId="47" fillId="18" borderId="24" xfId="0" applyNumberFormat="1" applyFont="1" applyFill="1" applyBorder="1" applyAlignment="1">
      <alignment horizontal="center" vertical="center"/>
    </xf>
    <xf numFmtId="181" fontId="47" fillId="18" borderId="24" xfId="0" applyNumberFormat="1" applyFont="1" applyFill="1" applyBorder="1" applyAlignment="1" applyProtection="1">
      <alignment horizontal="center" vertical="center"/>
      <protection locked="0"/>
    </xf>
    <xf numFmtId="0" fontId="47" fillId="18" borderId="13" xfId="0" applyFont="1" applyFill="1" applyBorder="1" applyAlignment="1">
      <alignment horizontal="center" vertical="center"/>
    </xf>
    <xf numFmtId="0" fontId="100" fillId="6" borderId="1" xfId="0" applyFont="1" applyFill="1" applyBorder="1" applyAlignment="1">
      <alignment horizontal="left" vertical="center" wrapText="1"/>
    </xf>
    <xf numFmtId="0" fontId="128" fillId="0" borderId="3"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04" fillId="8" borderId="20" xfId="0" applyFont="1" applyFill="1" applyBorder="1" applyAlignment="1" applyProtection="1">
      <alignment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298450</xdr:colOff>
      <xdr:row>35</xdr:row>
      <xdr:rowOff>79049</xdr:rowOff>
    </xdr:to>
    <xdr:pic>
      <xdr:nvPicPr>
        <xdr:cNvPr id="2" name="图片 1">
          <a:extLst>
            <a:ext uri="{FF2B5EF4-FFF2-40B4-BE49-F238E27FC236}">
              <a16:creationId xmlns:a16="http://schemas.microsoft.com/office/drawing/2014/main" id="{EFA6DB31-62BF-5A92-3DA1-9733D25FB523}"/>
            </a:ext>
          </a:extLst>
        </xdr:cNvPr>
        <xdr:cNvPicPr>
          <a:picLocks noChangeAspect="1"/>
        </xdr:cNvPicPr>
      </xdr:nvPicPr>
      <xdr:blipFill>
        <a:blip xmlns:r="http://schemas.openxmlformats.org/officeDocument/2006/relationships" r:embed="rId1"/>
        <a:stretch>
          <a:fillRect/>
        </a:stretch>
      </xdr:blipFill>
      <xdr:spPr>
        <a:xfrm>
          <a:off x="0" y="0"/>
          <a:ext cx="7004050" cy="6302049"/>
        </a:xfrm>
        <a:prstGeom prst="rect">
          <a:avLst/>
        </a:prstGeom>
      </xdr:spPr>
    </xdr:pic>
    <xdr:clientData/>
  </xdr:twoCellAnchor>
  <xdr:twoCellAnchor editAs="oneCell">
    <xdr:from>
      <xdr:col>11</xdr:col>
      <xdr:colOff>141624</xdr:colOff>
      <xdr:row>0</xdr:row>
      <xdr:rowOff>0</xdr:rowOff>
    </xdr:from>
    <xdr:to>
      <xdr:col>24</xdr:col>
      <xdr:colOff>143177</xdr:colOff>
      <xdr:row>38</xdr:row>
      <xdr:rowOff>157336</xdr:rowOff>
    </xdr:to>
    <xdr:pic>
      <xdr:nvPicPr>
        <xdr:cNvPr id="3" name="图片 2">
          <a:extLst>
            <a:ext uri="{FF2B5EF4-FFF2-40B4-BE49-F238E27FC236}">
              <a16:creationId xmlns:a16="http://schemas.microsoft.com/office/drawing/2014/main" id="{EC3A9BBC-166D-ACEA-4D5C-6AF4736F625E}"/>
            </a:ext>
          </a:extLst>
        </xdr:cNvPr>
        <xdr:cNvPicPr>
          <a:picLocks noChangeAspect="1"/>
        </xdr:cNvPicPr>
      </xdr:nvPicPr>
      <xdr:blipFill>
        <a:blip xmlns:r="http://schemas.openxmlformats.org/officeDocument/2006/relationships" r:embed="rId2"/>
        <a:stretch>
          <a:fillRect/>
        </a:stretch>
      </xdr:blipFill>
      <xdr:spPr>
        <a:xfrm>
          <a:off x="6847224" y="0"/>
          <a:ext cx="7926353" cy="6913736"/>
        </a:xfrm>
        <a:prstGeom prst="rect">
          <a:avLst/>
        </a:prstGeom>
      </xdr:spPr>
    </xdr:pic>
    <xdr:clientData/>
  </xdr:twoCellAnchor>
  <xdr:twoCellAnchor editAs="oneCell">
    <xdr:from>
      <xdr:col>0</xdr:col>
      <xdr:colOff>0</xdr:colOff>
      <xdr:row>36</xdr:row>
      <xdr:rowOff>88900</xdr:rowOff>
    </xdr:from>
    <xdr:to>
      <xdr:col>9</xdr:col>
      <xdr:colOff>146438</xdr:colOff>
      <xdr:row>62</xdr:row>
      <xdr:rowOff>144614</xdr:rowOff>
    </xdr:to>
    <xdr:pic>
      <xdr:nvPicPr>
        <xdr:cNvPr id="4" name="图片 3">
          <a:extLst>
            <a:ext uri="{FF2B5EF4-FFF2-40B4-BE49-F238E27FC236}">
              <a16:creationId xmlns:a16="http://schemas.microsoft.com/office/drawing/2014/main" id="{EFF68AE6-C25C-9080-D188-2572023D8699}"/>
            </a:ext>
          </a:extLst>
        </xdr:cNvPr>
        <xdr:cNvPicPr>
          <a:picLocks noChangeAspect="1"/>
        </xdr:cNvPicPr>
      </xdr:nvPicPr>
      <xdr:blipFill>
        <a:blip xmlns:r="http://schemas.openxmlformats.org/officeDocument/2006/relationships" r:embed="rId3"/>
        <a:stretch>
          <a:fillRect/>
        </a:stretch>
      </xdr:blipFill>
      <xdr:spPr>
        <a:xfrm>
          <a:off x="0" y="6489700"/>
          <a:ext cx="5632838" cy="4678514"/>
        </a:xfrm>
        <a:prstGeom prst="rect">
          <a:avLst/>
        </a:prstGeom>
      </xdr:spPr>
    </xdr:pic>
    <xdr:clientData/>
  </xdr:twoCellAnchor>
  <xdr:twoCellAnchor editAs="oneCell">
    <xdr:from>
      <xdr:col>9</xdr:col>
      <xdr:colOff>439560</xdr:colOff>
      <xdr:row>38</xdr:row>
      <xdr:rowOff>63500</xdr:rowOff>
    </xdr:from>
    <xdr:to>
      <xdr:col>18</xdr:col>
      <xdr:colOff>271392</xdr:colOff>
      <xdr:row>63</xdr:row>
      <xdr:rowOff>157336</xdr:rowOff>
    </xdr:to>
    <xdr:pic>
      <xdr:nvPicPr>
        <xdr:cNvPr id="5" name="图片 4">
          <a:extLst>
            <a:ext uri="{FF2B5EF4-FFF2-40B4-BE49-F238E27FC236}">
              <a16:creationId xmlns:a16="http://schemas.microsoft.com/office/drawing/2014/main" id="{8B7D82C7-F931-3FBF-A067-F6327CFD9839}"/>
            </a:ext>
          </a:extLst>
        </xdr:cNvPr>
        <xdr:cNvPicPr>
          <a:picLocks noChangeAspect="1"/>
        </xdr:cNvPicPr>
      </xdr:nvPicPr>
      <xdr:blipFill>
        <a:blip xmlns:r="http://schemas.openxmlformats.org/officeDocument/2006/relationships" r:embed="rId4"/>
        <a:stretch>
          <a:fillRect/>
        </a:stretch>
      </xdr:blipFill>
      <xdr:spPr>
        <a:xfrm>
          <a:off x="5925960" y="6819900"/>
          <a:ext cx="5318232" cy="4538836"/>
        </a:xfrm>
        <a:prstGeom prst="rect">
          <a:avLst/>
        </a:prstGeom>
      </xdr:spPr>
    </xdr:pic>
    <xdr:clientData/>
  </xdr:twoCellAnchor>
  <xdr:twoCellAnchor editAs="oneCell">
    <xdr:from>
      <xdr:col>0</xdr:col>
      <xdr:colOff>1</xdr:colOff>
      <xdr:row>69</xdr:row>
      <xdr:rowOff>19050</xdr:rowOff>
    </xdr:from>
    <xdr:to>
      <xdr:col>10</xdr:col>
      <xdr:colOff>169951</xdr:colOff>
      <xdr:row>100</xdr:row>
      <xdr:rowOff>176443</xdr:rowOff>
    </xdr:to>
    <xdr:pic>
      <xdr:nvPicPr>
        <xdr:cNvPr id="7" name="图片 6">
          <a:extLst>
            <a:ext uri="{FF2B5EF4-FFF2-40B4-BE49-F238E27FC236}">
              <a16:creationId xmlns:a16="http://schemas.microsoft.com/office/drawing/2014/main" id="{F6E0C82B-10AE-479A-B9DE-261A0920FD52}"/>
            </a:ext>
          </a:extLst>
        </xdr:cNvPr>
        <xdr:cNvPicPr>
          <a:picLocks noChangeAspect="1"/>
        </xdr:cNvPicPr>
      </xdr:nvPicPr>
      <xdr:blipFill>
        <a:blip xmlns:r="http://schemas.openxmlformats.org/officeDocument/2006/relationships" r:embed="rId5"/>
        <a:stretch>
          <a:fillRect/>
        </a:stretch>
      </xdr:blipFill>
      <xdr:spPr>
        <a:xfrm>
          <a:off x="1" y="12287250"/>
          <a:ext cx="6265950" cy="5669193"/>
        </a:xfrm>
        <a:prstGeom prst="rect">
          <a:avLst/>
        </a:prstGeom>
      </xdr:spPr>
    </xdr:pic>
    <xdr:clientData/>
  </xdr:twoCellAnchor>
  <xdr:twoCellAnchor editAs="oneCell">
    <xdr:from>
      <xdr:col>10</xdr:col>
      <xdr:colOff>245836</xdr:colOff>
      <xdr:row>64</xdr:row>
      <xdr:rowOff>44450</xdr:rowOff>
    </xdr:from>
    <xdr:to>
      <xdr:col>23</xdr:col>
      <xdr:colOff>315964</xdr:colOff>
      <xdr:row>104</xdr:row>
      <xdr:rowOff>90700</xdr:rowOff>
    </xdr:to>
    <xdr:pic>
      <xdr:nvPicPr>
        <xdr:cNvPr id="8" name="图片 7">
          <a:extLst>
            <a:ext uri="{FF2B5EF4-FFF2-40B4-BE49-F238E27FC236}">
              <a16:creationId xmlns:a16="http://schemas.microsoft.com/office/drawing/2014/main" id="{2D0975E0-E5EB-7D55-581E-D7E0B13C4DD6}"/>
            </a:ext>
          </a:extLst>
        </xdr:cNvPr>
        <xdr:cNvPicPr>
          <a:picLocks noChangeAspect="1"/>
        </xdr:cNvPicPr>
      </xdr:nvPicPr>
      <xdr:blipFill>
        <a:blip xmlns:r="http://schemas.openxmlformats.org/officeDocument/2006/relationships" r:embed="rId6"/>
        <a:stretch>
          <a:fillRect/>
        </a:stretch>
      </xdr:blipFill>
      <xdr:spPr>
        <a:xfrm>
          <a:off x="6341836" y="11423650"/>
          <a:ext cx="7994928" cy="7158250"/>
        </a:xfrm>
        <a:prstGeom prst="rect">
          <a:avLst/>
        </a:prstGeom>
      </xdr:spPr>
    </xdr:pic>
    <xdr:clientData/>
  </xdr:twoCellAnchor>
  <xdr:twoCellAnchor editAs="oneCell">
    <xdr:from>
      <xdr:col>0</xdr:col>
      <xdr:colOff>0</xdr:colOff>
      <xdr:row>104</xdr:row>
      <xdr:rowOff>88900</xdr:rowOff>
    </xdr:from>
    <xdr:to>
      <xdr:col>9</xdr:col>
      <xdr:colOff>608043</xdr:colOff>
      <xdr:row>135</xdr:row>
      <xdr:rowOff>30636</xdr:rowOff>
    </xdr:to>
    <xdr:pic>
      <xdr:nvPicPr>
        <xdr:cNvPr id="9" name="图片 8">
          <a:extLst>
            <a:ext uri="{FF2B5EF4-FFF2-40B4-BE49-F238E27FC236}">
              <a16:creationId xmlns:a16="http://schemas.microsoft.com/office/drawing/2014/main" id="{B75CC1B4-3DAC-C0FD-DAD8-7214C8F17996}"/>
            </a:ext>
          </a:extLst>
        </xdr:cNvPr>
        <xdr:cNvPicPr>
          <a:picLocks noChangeAspect="1"/>
        </xdr:cNvPicPr>
      </xdr:nvPicPr>
      <xdr:blipFill>
        <a:blip xmlns:r="http://schemas.openxmlformats.org/officeDocument/2006/relationships" r:embed="rId7"/>
        <a:stretch>
          <a:fillRect/>
        </a:stretch>
      </xdr:blipFill>
      <xdr:spPr>
        <a:xfrm>
          <a:off x="0" y="18580100"/>
          <a:ext cx="6094443" cy="5453536"/>
        </a:xfrm>
        <a:prstGeom prst="rect">
          <a:avLst/>
        </a:prstGeom>
      </xdr:spPr>
    </xdr:pic>
    <xdr:clientData/>
  </xdr:twoCellAnchor>
  <xdr:twoCellAnchor editAs="oneCell">
    <xdr:from>
      <xdr:col>0</xdr:col>
      <xdr:colOff>0</xdr:colOff>
      <xdr:row>136</xdr:row>
      <xdr:rowOff>0</xdr:rowOff>
    </xdr:from>
    <xdr:to>
      <xdr:col>9</xdr:col>
      <xdr:colOff>85029</xdr:colOff>
      <xdr:row>147</xdr:row>
      <xdr:rowOff>177533</xdr:rowOff>
    </xdr:to>
    <xdr:pic>
      <xdr:nvPicPr>
        <xdr:cNvPr id="10" name="图片 9">
          <a:extLst>
            <a:ext uri="{FF2B5EF4-FFF2-40B4-BE49-F238E27FC236}">
              <a16:creationId xmlns:a16="http://schemas.microsoft.com/office/drawing/2014/main" id="{455825D7-0704-6FA6-4794-715D4C906FCD}"/>
            </a:ext>
          </a:extLst>
        </xdr:cNvPr>
        <xdr:cNvPicPr>
          <a:picLocks noChangeAspect="1"/>
        </xdr:cNvPicPr>
      </xdr:nvPicPr>
      <xdr:blipFill>
        <a:blip xmlns:r="http://schemas.openxmlformats.org/officeDocument/2006/relationships" r:embed="rId8"/>
        <a:stretch>
          <a:fillRect/>
        </a:stretch>
      </xdr:blipFill>
      <xdr:spPr>
        <a:xfrm>
          <a:off x="0" y="24180800"/>
          <a:ext cx="5571429" cy="2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503619</xdr:colOff>
      <xdr:row>56</xdr:row>
      <xdr:rowOff>157486</xdr:rowOff>
    </xdr:to>
    <xdr:pic>
      <xdr:nvPicPr>
        <xdr:cNvPr id="2" name="图片 1">
          <a:extLst>
            <a:ext uri="{FF2B5EF4-FFF2-40B4-BE49-F238E27FC236}">
              <a16:creationId xmlns:a16="http://schemas.microsoft.com/office/drawing/2014/main" id="{611C88DC-6189-DFCF-05F0-3C30BC5EEA54}"/>
            </a:ext>
          </a:extLst>
        </xdr:cNvPr>
        <xdr:cNvPicPr>
          <a:picLocks noChangeAspect="1"/>
        </xdr:cNvPicPr>
      </xdr:nvPicPr>
      <xdr:blipFill>
        <a:blip xmlns:r="http://schemas.openxmlformats.org/officeDocument/2006/relationships" r:embed="rId1"/>
        <a:stretch>
          <a:fillRect/>
        </a:stretch>
      </xdr:blipFill>
      <xdr:spPr>
        <a:xfrm>
          <a:off x="0" y="0"/>
          <a:ext cx="9647619" cy="10114286"/>
        </a:xfrm>
        <a:prstGeom prst="rect">
          <a:avLst/>
        </a:prstGeom>
      </xdr:spPr>
    </xdr:pic>
    <xdr:clientData/>
  </xdr:twoCellAnchor>
  <xdr:twoCellAnchor editAs="oneCell">
    <xdr:from>
      <xdr:col>16</xdr:col>
      <xdr:colOff>0</xdr:colOff>
      <xdr:row>1</xdr:row>
      <xdr:rowOff>0</xdr:rowOff>
    </xdr:from>
    <xdr:to>
      <xdr:col>32</xdr:col>
      <xdr:colOff>132114</xdr:colOff>
      <xdr:row>58</xdr:row>
      <xdr:rowOff>122543</xdr:rowOff>
    </xdr:to>
    <xdr:pic>
      <xdr:nvPicPr>
        <xdr:cNvPr id="3" name="图片 2">
          <a:extLst>
            <a:ext uri="{FF2B5EF4-FFF2-40B4-BE49-F238E27FC236}">
              <a16:creationId xmlns:a16="http://schemas.microsoft.com/office/drawing/2014/main" id="{BB2BABE0-3C42-FD7D-CFBF-C0F29174DB39}"/>
            </a:ext>
          </a:extLst>
        </xdr:cNvPr>
        <xdr:cNvPicPr>
          <a:picLocks noChangeAspect="1"/>
        </xdr:cNvPicPr>
      </xdr:nvPicPr>
      <xdr:blipFill>
        <a:blip xmlns:r="http://schemas.openxmlformats.org/officeDocument/2006/relationships" r:embed="rId2"/>
        <a:stretch>
          <a:fillRect/>
        </a:stretch>
      </xdr:blipFill>
      <xdr:spPr>
        <a:xfrm>
          <a:off x="9753600" y="177800"/>
          <a:ext cx="9885714" cy="10257143"/>
        </a:xfrm>
        <a:prstGeom prst="rect">
          <a:avLst/>
        </a:prstGeom>
      </xdr:spPr>
    </xdr:pic>
    <xdr:clientData/>
  </xdr:twoCellAnchor>
  <xdr:twoCellAnchor editAs="oneCell">
    <xdr:from>
      <xdr:col>0</xdr:col>
      <xdr:colOff>69850</xdr:colOff>
      <xdr:row>58</xdr:row>
      <xdr:rowOff>158750</xdr:rowOff>
    </xdr:from>
    <xdr:to>
      <xdr:col>13</xdr:col>
      <xdr:colOff>292001</xdr:colOff>
      <xdr:row>96</xdr:row>
      <xdr:rowOff>30378</xdr:rowOff>
    </xdr:to>
    <xdr:pic>
      <xdr:nvPicPr>
        <xdr:cNvPr id="4" name="图片 3">
          <a:extLst>
            <a:ext uri="{FF2B5EF4-FFF2-40B4-BE49-F238E27FC236}">
              <a16:creationId xmlns:a16="http://schemas.microsoft.com/office/drawing/2014/main" id="{1411F141-7ADA-8A75-F7E1-5CFB0B40B4F3}"/>
            </a:ext>
          </a:extLst>
        </xdr:cNvPr>
        <xdr:cNvPicPr>
          <a:picLocks noChangeAspect="1"/>
        </xdr:cNvPicPr>
      </xdr:nvPicPr>
      <xdr:blipFill>
        <a:blip xmlns:r="http://schemas.openxmlformats.org/officeDocument/2006/relationships" r:embed="rId3"/>
        <a:stretch>
          <a:fillRect/>
        </a:stretch>
      </xdr:blipFill>
      <xdr:spPr>
        <a:xfrm>
          <a:off x="69850" y="10471150"/>
          <a:ext cx="8146951" cy="6628028"/>
        </a:xfrm>
        <a:prstGeom prst="rect">
          <a:avLst/>
        </a:prstGeom>
      </xdr:spPr>
    </xdr:pic>
    <xdr:clientData/>
  </xdr:twoCellAnchor>
  <xdr:twoCellAnchor editAs="oneCell">
    <xdr:from>
      <xdr:col>0</xdr:col>
      <xdr:colOff>0</xdr:colOff>
      <xdr:row>96</xdr:row>
      <xdr:rowOff>25400</xdr:rowOff>
    </xdr:from>
    <xdr:to>
      <xdr:col>9</xdr:col>
      <xdr:colOff>405428</xdr:colOff>
      <xdr:row>112</xdr:row>
      <xdr:rowOff>126514</xdr:rowOff>
    </xdr:to>
    <xdr:pic>
      <xdr:nvPicPr>
        <xdr:cNvPr id="5" name="图片 4">
          <a:extLst>
            <a:ext uri="{FF2B5EF4-FFF2-40B4-BE49-F238E27FC236}">
              <a16:creationId xmlns:a16="http://schemas.microsoft.com/office/drawing/2014/main" id="{E342AB2B-8460-26C8-8EF1-BB16D330E582}"/>
            </a:ext>
          </a:extLst>
        </xdr:cNvPr>
        <xdr:cNvPicPr>
          <a:picLocks noChangeAspect="1"/>
        </xdr:cNvPicPr>
      </xdr:nvPicPr>
      <xdr:blipFill>
        <a:blip xmlns:r="http://schemas.openxmlformats.org/officeDocument/2006/relationships" r:embed="rId4"/>
        <a:stretch>
          <a:fillRect/>
        </a:stretch>
      </xdr:blipFill>
      <xdr:spPr>
        <a:xfrm>
          <a:off x="0" y="17094200"/>
          <a:ext cx="5891828" cy="2945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259815</xdr:colOff>
      <xdr:row>22</xdr:row>
      <xdr:rowOff>119628</xdr:rowOff>
    </xdr:to>
    <xdr:pic>
      <xdr:nvPicPr>
        <xdr:cNvPr id="2" name="图片 1">
          <a:extLst>
            <a:ext uri="{FF2B5EF4-FFF2-40B4-BE49-F238E27FC236}">
              <a16:creationId xmlns:a16="http://schemas.microsoft.com/office/drawing/2014/main" id="{B1BB57A8-6E9C-B1FA-6DE1-F5BE29240240}"/>
            </a:ext>
          </a:extLst>
        </xdr:cNvPr>
        <xdr:cNvPicPr>
          <a:picLocks noChangeAspect="1"/>
        </xdr:cNvPicPr>
      </xdr:nvPicPr>
      <xdr:blipFill>
        <a:blip xmlns:r="http://schemas.openxmlformats.org/officeDocument/2006/relationships" r:embed="rId1"/>
        <a:stretch>
          <a:fillRect/>
        </a:stretch>
      </xdr:blipFill>
      <xdr:spPr>
        <a:xfrm>
          <a:off x="0" y="0"/>
          <a:ext cx="8184615" cy="4031228"/>
        </a:xfrm>
        <a:prstGeom prst="rect">
          <a:avLst/>
        </a:prstGeom>
      </xdr:spPr>
    </xdr:pic>
    <xdr:clientData/>
  </xdr:twoCellAnchor>
  <xdr:twoCellAnchor editAs="oneCell">
    <xdr:from>
      <xdr:col>0</xdr:col>
      <xdr:colOff>69850</xdr:colOff>
      <xdr:row>22</xdr:row>
      <xdr:rowOff>57150</xdr:rowOff>
    </xdr:from>
    <xdr:to>
      <xdr:col>11</xdr:col>
      <xdr:colOff>366061</xdr:colOff>
      <xdr:row>38</xdr:row>
      <xdr:rowOff>151886</xdr:rowOff>
    </xdr:to>
    <xdr:pic>
      <xdr:nvPicPr>
        <xdr:cNvPr id="3" name="图片 2">
          <a:extLst>
            <a:ext uri="{FF2B5EF4-FFF2-40B4-BE49-F238E27FC236}">
              <a16:creationId xmlns:a16="http://schemas.microsoft.com/office/drawing/2014/main" id="{4B5E46A4-629D-C885-A49B-EB94ACC48F75}"/>
            </a:ext>
          </a:extLst>
        </xdr:cNvPr>
        <xdr:cNvPicPr>
          <a:picLocks noChangeAspect="1"/>
        </xdr:cNvPicPr>
      </xdr:nvPicPr>
      <xdr:blipFill>
        <a:blip xmlns:r="http://schemas.openxmlformats.org/officeDocument/2006/relationships" r:embed="rId2"/>
        <a:stretch>
          <a:fillRect/>
        </a:stretch>
      </xdr:blipFill>
      <xdr:spPr>
        <a:xfrm>
          <a:off x="69850" y="3968750"/>
          <a:ext cx="7001811" cy="2939536"/>
        </a:xfrm>
        <a:prstGeom prst="rect">
          <a:avLst/>
        </a:prstGeom>
      </xdr:spPr>
    </xdr:pic>
    <xdr:clientData/>
  </xdr:twoCellAnchor>
  <xdr:twoCellAnchor editAs="oneCell">
    <xdr:from>
      <xdr:col>8</xdr:col>
      <xdr:colOff>544084</xdr:colOff>
      <xdr:row>3</xdr:row>
      <xdr:rowOff>95250</xdr:rowOff>
    </xdr:from>
    <xdr:to>
      <xdr:col>19</xdr:col>
      <xdr:colOff>300464</xdr:colOff>
      <xdr:row>38</xdr:row>
      <xdr:rowOff>135400</xdr:rowOff>
    </xdr:to>
    <xdr:pic>
      <xdr:nvPicPr>
        <xdr:cNvPr id="4" name="图片 3">
          <a:extLst>
            <a:ext uri="{FF2B5EF4-FFF2-40B4-BE49-F238E27FC236}">
              <a16:creationId xmlns:a16="http://schemas.microsoft.com/office/drawing/2014/main" id="{46EB1814-5058-221C-D511-4817A016778A}"/>
            </a:ext>
          </a:extLst>
        </xdr:cNvPr>
        <xdr:cNvPicPr>
          <a:picLocks noChangeAspect="1"/>
        </xdr:cNvPicPr>
      </xdr:nvPicPr>
      <xdr:blipFill>
        <a:blip xmlns:r="http://schemas.openxmlformats.org/officeDocument/2006/relationships" r:embed="rId3"/>
        <a:stretch>
          <a:fillRect/>
        </a:stretch>
      </xdr:blipFill>
      <xdr:spPr>
        <a:xfrm>
          <a:off x="5420884" y="628650"/>
          <a:ext cx="6461980" cy="6263150"/>
        </a:xfrm>
        <a:prstGeom prst="rect">
          <a:avLst/>
        </a:prstGeom>
      </xdr:spPr>
    </xdr:pic>
    <xdr:clientData/>
  </xdr:twoCellAnchor>
  <xdr:twoCellAnchor editAs="oneCell">
    <xdr:from>
      <xdr:col>23</xdr:col>
      <xdr:colOff>177800</xdr:colOff>
      <xdr:row>0</xdr:row>
      <xdr:rowOff>72218</xdr:rowOff>
    </xdr:from>
    <xdr:to>
      <xdr:col>34</xdr:col>
      <xdr:colOff>468636</xdr:colOff>
      <xdr:row>17</xdr:row>
      <xdr:rowOff>132793</xdr:rowOff>
    </xdr:to>
    <xdr:pic>
      <xdr:nvPicPr>
        <xdr:cNvPr id="5" name="图片 4">
          <a:extLst>
            <a:ext uri="{FF2B5EF4-FFF2-40B4-BE49-F238E27FC236}">
              <a16:creationId xmlns:a16="http://schemas.microsoft.com/office/drawing/2014/main" id="{74998348-0E71-5449-0672-210B8D0E3D30}"/>
            </a:ext>
          </a:extLst>
        </xdr:cNvPr>
        <xdr:cNvPicPr>
          <a:picLocks noChangeAspect="1"/>
        </xdr:cNvPicPr>
      </xdr:nvPicPr>
      <xdr:blipFill>
        <a:blip xmlns:r="http://schemas.openxmlformats.org/officeDocument/2006/relationships" r:embed="rId4"/>
        <a:stretch>
          <a:fillRect/>
        </a:stretch>
      </xdr:blipFill>
      <xdr:spPr>
        <a:xfrm>
          <a:off x="14693900" y="72218"/>
          <a:ext cx="6996436" cy="3083175"/>
        </a:xfrm>
        <a:prstGeom prst="rect">
          <a:avLst/>
        </a:prstGeom>
      </xdr:spPr>
    </xdr:pic>
    <xdr:clientData/>
  </xdr:twoCellAnchor>
  <xdr:twoCellAnchor editAs="oneCell">
    <xdr:from>
      <xdr:col>0</xdr:col>
      <xdr:colOff>0</xdr:colOff>
      <xdr:row>1</xdr:row>
      <xdr:rowOff>101600</xdr:rowOff>
    </xdr:from>
    <xdr:to>
      <xdr:col>20</xdr:col>
      <xdr:colOff>388838</xdr:colOff>
      <xdr:row>31</xdr:row>
      <xdr:rowOff>171450</xdr:rowOff>
    </xdr:to>
    <xdr:pic>
      <xdr:nvPicPr>
        <xdr:cNvPr id="6" name="图片 5">
          <a:extLst>
            <a:ext uri="{FF2B5EF4-FFF2-40B4-BE49-F238E27FC236}">
              <a16:creationId xmlns:a16="http://schemas.microsoft.com/office/drawing/2014/main" id="{94F3956B-4466-746D-F04E-BC2DF393C0D0}"/>
            </a:ext>
          </a:extLst>
        </xdr:cNvPr>
        <xdr:cNvPicPr>
          <a:picLocks noChangeAspect="1"/>
        </xdr:cNvPicPr>
      </xdr:nvPicPr>
      <xdr:blipFill>
        <a:blip xmlns:r="http://schemas.openxmlformats.org/officeDocument/2006/relationships" r:embed="rId5"/>
        <a:stretch>
          <a:fillRect/>
        </a:stretch>
      </xdr:blipFill>
      <xdr:spPr>
        <a:xfrm>
          <a:off x="0" y="279400"/>
          <a:ext cx="12580838" cy="5403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zfgb.fujian.gov.cn/2192" TargetMode="External"/><Relationship Id="rId7" Type="http://schemas.openxmlformats.org/officeDocument/2006/relationships/comments" Target="../comments5.xml"/><Relationship Id="rId2" Type="http://schemas.openxmlformats.org/officeDocument/2006/relationships/hyperlink" Target="https://zfgb.fujian.gov.cn/6631" TargetMode="External"/><Relationship Id="rId1" Type="http://schemas.openxmlformats.org/officeDocument/2006/relationships/hyperlink" Target="https://zfgb.fujian.gov.cn/4166" TargetMode="External"/><Relationship Id="rId6" Type="http://schemas.openxmlformats.org/officeDocument/2006/relationships/vmlDrawing" Target="../drawings/vmlDrawing10.vml"/><Relationship Id="rId5" Type="http://schemas.openxmlformats.org/officeDocument/2006/relationships/printerSettings" Target="../printerSettings/printerSettings14.bin"/><Relationship Id="rId4" Type="http://schemas.openxmlformats.org/officeDocument/2006/relationships/hyperlink" Target="https://bdcdj.fuzhou.gov.cn/zwgk/ztzl/yhyshj/zcsd/zcwj/202404/t20240422_4812355.htm"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福建省宁德市霞浦县松港街道赤岸大道33号中茵外滩1号（二期）11号楼201室房地产抵押价值预评估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受贵公司委托，我公司对福建省宁德市霞浦县松港街道赤岸大道33号中茵外滩1号（二期）11号楼201室房地产抵押价值进行了预评估。</v>
      </c>
    </row>
    <row r="7" spans="1:2">
      <c r="A7" s="1119" t="s">
        <v>566</v>
      </c>
      <c r="B7" s="1120" t="str">
        <f>'预评函-1'!A7</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2025年9月28日（评估专业人员实地查勘之日）</v>
      </c>
    </row>
    <row r="13" spans="1:2">
      <c r="A13" s="1119" t="s">
        <v>529</v>
      </c>
      <c r="B13" s="1120" t="str">
        <f>'预评函-1'!A18</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99.015799999999999</v>
      </c>
    </row>
    <row r="21" spans="1:2">
      <c r="A21" s="1119" t="s">
        <v>537</v>
      </c>
      <c r="B21" s="1120">
        <f ca="1">'预评函-2'!D7</f>
        <v>9313</v>
      </c>
    </row>
    <row r="22" spans="1:2">
      <c r="A22" s="1119" t="s">
        <v>538</v>
      </c>
      <c r="B22" s="1120" t="str">
        <f ca="1">'预评函-2'!D6</f>
        <v>玖拾玖万零壹佰伍拾捌元整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99.015799999999999</v>
      </c>
    </row>
    <row r="31" spans="1:2">
      <c r="A31" s="1119" t="s">
        <v>576</v>
      </c>
      <c r="B31" s="1120">
        <f ca="1">'预评函-2'!D15</f>
        <v>9313</v>
      </c>
    </row>
    <row r="32" spans="1:2">
      <c r="A32" s="1119" t="s">
        <v>543</v>
      </c>
      <c r="B32" s="1120" t="str">
        <f ca="1">'预评函-2'!D14</f>
        <v>玖拾玖万零壹佰伍拾捌元整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福建省宁德市霞浦县松港街道赤岸大道33号中茵外滩1号（二期）11号楼201室房地产</v>
      </c>
    </row>
    <row r="42" spans="1:2" ht="31.2">
      <c r="A42" s="1119" t="s">
        <v>590</v>
      </c>
      <c r="B42" s="1120" t="str">
        <f>'预评函-3'!B2</f>
        <v>建筑面积</v>
      </c>
    </row>
    <row r="43" spans="1:2">
      <c r="A43" s="1119" t="s">
        <v>591</v>
      </c>
      <c r="B43" s="1120">
        <f>'预评函-3'!B4</f>
        <v>106.32</v>
      </c>
    </row>
    <row r="44" spans="1:2" ht="31.2">
      <c r="A44" s="1119" t="s">
        <v>575</v>
      </c>
      <c r="B44" s="1120" t="str">
        <f>'预评函-3'!C2</f>
        <v>(分摊)土地面积</v>
      </c>
    </row>
    <row r="45" spans="1:2">
      <c r="A45" s="1119" t="s">
        <v>547</v>
      </c>
      <c r="B45" s="1120">
        <f>'预评函-3'!C4</f>
        <v>19.66</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XX年(多用途剩余年限尾数不同时，可只体现小数点后一位)，假定未设立法定优先受偿款下的房地产市场价值。</v>
      </c>
    </row>
    <row r="54" spans="1:4">
      <c r="A54" s="3254"/>
      <c r="B54" s="1447" t="s">
        <v>385</v>
      </c>
      <c r="C54" s="1445" t="s">
        <v>583</v>
      </c>
    </row>
    <row r="55" spans="1:4">
      <c r="A55" s="3254"/>
      <c r="B55" s="1447" t="s">
        <v>386</v>
      </c>
      <c r="C55" s="1445" t="s">
        <v>584</v>
      </c>
    </row>
    <row r="56" spans="1:4">
      <c r="A56" s="3254"/>
      <c r="B56" s="1447" t="s">
        <v>387</v>
      </c>
      <c r="C56" s="1445" t="s">
        <v>588</v>
      </c>
    </row>
    <row r="57" spans="1:4">
      <c r="A57" s="325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55" t="s">
        <v>2580</v>
      </c>
      <c r="J2" s="3255"/>
      <c r="K2" s="3255"/>
      <c r="L2" s="3255"/>
      <c r="M2" s="3255"/>
      <c r="N2" s="3255"/>
      <c r="O2" s="3255"/>
      <c r="P2" s="3255"/>
      <c r="Q2" s="3255"/>
      <c r="R2" s="3255"/>
    </row>
    <row r="3" spans="1:18">
      <c r="A3" s="2759" t="s">
        <v>2501</v>
      </c>
      <c r="B3" s="2760">
        <f>项目基本情况!D3</f>
        <v>45928</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1.22</v>
      </c>
      <c r="D5" s="2764">
        <f>IF(ISERROR(ROUND(POWER(1+E5,A5-C5)*(POWER(1+E5,C5)-1)/(POWER(1+E5,A5)-1),3)),0,ROUND(POWER(1+E5,A5-C5)*(POWER(1+E5,C5)-1)/(POWER(1+E5,A5)-1),4))</f>
        <v>5.8999999999999997E-2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11.23</v>
      </c>
      <c r="D6" s="2764">
        <f>IF(ISERROR(ROUND(POWER(1+E6,A6-C6)*(POWER(1+E6,C6)-1)/(POWER(1+E6,A6)-1),3)),0,ROUND(POWER(1+E6,A6-C6)*(POWER(1+E6,C6)-1)/(POWER(1+E6,A6)-1),4))</f>
        <v>0.41460000000000002</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31.24</v>
      </c>
      <c r="D7" s="2764">
        <f>IF(ISERROR(ROUND(POWER(1+E7,A7-C7)*(POWER(1+E7,C7)-1)/(POWER(1+E7,A7)-1),3)),0,ROUND(POWER(1+E7,A7-C7)*(POWER(1+E7,C7)-1)/(POWER(1+E7,A7)-1),4))</f>
        <v>0.75480000000000003</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5" thickBot="1">
      <c r="A18" s="2769" t="s">
        <v>2516</v>
      </c>
      <c r="B18" s="2770">
        <f>ROUND(B17*F11/F12,2)</f>
        <v>5541.87</v>
      </c>
      <c r="C18" s="2770">
        <f>ROUND(F11/F12,4)</f>
        <v>1.1521999999999999</v>
      </c>
      <c r="D18" s="2771"/>
      <c r="E18" s="2771"/>
      <c r="F18" s="2772"/>
    </row>
    <row r="19" spans="1:14" ht="15" thickBot="1"/>
    <row r="20" spans="1:14" s="2805" customFormat="1" ht="1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3385</v>
      </c>
    </row>
    <row r="50" spans="1:4">
      <c r="A50" s="3141" t="s">
        <v>3386</v>
      </c>
      <c r="B50" s="3141" t="s">
        <v>3387</v>
      </c>
      <c r="C50" s="3141" t="s">
        <v>3388</v>
      </c>
      <c r="D50" s="3141" t="s">
        <v>3389</v>
      </c>
    </row>
    <row r="51" spans="1:4">
      <c r="A51" s="3141" t="s">
        <v>3390</v>
      </c>
      <c r="B51" s="2761">
        <f>B52+B53</f>
        <v>15000</v>
      </c>
      <c r="C51" s="3142">
        <f>D51/B51</f>
        <v>2666.6666666666665</v>
      </c>
      <c r="D51" s="2761">
        <f>D52+D53</f>
        <v>40000000</v>
      </c>
    </row>
    <row r="52" spans="1:4">
      <c r="A52" s="3143" t="s">
        <v>3391</v>
      </c>
      <c r="B52" s="3144">
        <v>10000</v>
      </c>
      <c r="C52" s="3144">
        <v>1500</v>
      </c>
      <c r="D52" s="3145">
        <f>C52*B52</f>
        <v>15000000</v>
      </c>
    </row>
    <row r="53" spans="1:4">
      <c r="A53" s="3143" t="s">
        <v>3392</v>
      </c>
      <c r="B53" s="3144">
        <v>5000</v>
      </c>
      <c r="C53" s="3144">
        <v>5000</v>
      </c>
      <c r="D53" s="3145">
        <f>C53*B53</f>
        <v>25000000</v>
      </c>
    </row>
    <row r="54" spans="1:4">
      <c r="A54" s="3141" t="s">
        <v>3393</v>
      </c>
      <c r="B54" s="2761">
        <f>B51</f>
        <v>15000</v>
      </c>
      <c r="C54" s="2767">
        <v>700</v>
      </c>
      <c r="D54" s="2761">
        <f t="shared" ref="D54:D55" si="5">C54*B54</f>
        <v>10500000</v>
      </c>
    </row>
    <row r="55" spans="1:4">
      <c r="A55" s="3141" t="s">
        <v>3394</v>
      </c>
      <c r="B55" s="2761">
        <f>B51</f>
        <v>15000</v>
      </c>
      <c r="C55" s="2767">
        <v>1500</v>
      </c>
      <c r="D55" s="2761">
        <f t="shared" si="5"/>
        <v>22500000</v>
      </c>
    </row>
    <row r="56" spans="1:4">
      <c r="A56" s="3141" t="s">
        <v>3395</v>
      </c>
      <c r="B56" s="2761">
        <f>B51</f>
        <v>15000</v>
      </c>
      <c r="C56" s="3146">
        <f>C51+C54+C55</f>
        <v>4866.6666666666661</v>
      </c>
      <c r="D56" s="2761">
        <f>D51+D54+D55</f>
        <v>73000000</v>
      </c>
    </row>
    <row r="58" spans="1:4">
      <c r="A58" s="3141" t="s">
        <v>3396</v>
      </c>
      <c r="B58" s="3147">
        <v>0.05</v>
      </c>
      <c r="C58" s="2761">
        <f>C56*(1+B58)</f>
        <v>5110</v>
      </c>
      <c r="D58" s="2761">
        <f>D56*B58</f>
        <v>3650000</v>
      </c>
    </row>
    <row r="60" spans="1:4">
      <c r="A60" s="3141" t="s">
        <v>3397</v>
      </c>
      <c r="B60" s="2767">
        <v>3500</v>
      </c>
      <c r="C60" s="2767">
        <f>C53</f>
        <v>5000</v>
      </c>
      <c r="D60" s="2761">
        <f>C60*B60</f>
        <v>17500000</v>
      </c>
    </row>
    <row r="62" spans="1:4">
      <c r="A62" s="3141" t="s">
        <v>3398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63" t="str">
        <f>IF(B10="北京市","北京市",C10)&amp;F10&amp;IF(结果表!G1="在建","出让国有建设用地使用权及在建建筑物",IF(结果表!G1="土地","出让国有建设用地使用权",))&amp;B9&amp;"预评估"</f>
        <v>福建省宁德市霞浦县松港街道赤岸大道33号中茵外滩1号（二期）11号楼201室房地产抵押价值预评估</v>
      </c>
      <c r="C1" s="3264"/>
      <c r="D1" s="3264"/>
      <c r="E1" s="3264"/>
      <c r="F1" s="3264"/>
      <c r="G1" s="3264"/>
      <c r="H1" s="3264"/>
      <c r="I1" s="3265"/>
      <c r="J1" s="2242"/>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福建省宁德市霞浦县松港街道赤岸大道33号中茵外滩1号（二期）11号楼201室房地产抵押价值</v>
      </c>
      <c r="T1" s="1618"/>
      <c r="U1" s="1618"/>
      <c r="V1" s="1618"/>
      <c r="W1" s="1618"/>
      <c r="X1" s="1618"/>
      <c r="Y1" s="1618"/>
      <c r="Z1" s="1618"/>
      <c r="AA1" s="1618"/>
      <c r="AB1" s="1618"/>
    </row>
    <row r="2" spans="1:30">
      <c r="A2" s="2181" t="s">
        <v>2169</v>
      </c>
      <c r="B2" s="122"/>
      <c r="D2" s="2444"/>
      <c r="E2" s="2438"/>
      <c r="F2" s="2438"/>
      <c r="G2" s="2439"/>
      <c r="H2" s="2439"/>
      <c r="I2" s="2439"/>
      <c r="J2" s="2242"/>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福建省宁德市霞浦县松港街道赤岸大道33号中茵外滩1号（二期）11号楼201室房地产</v>
      </c>
      <c r="T2" s="1618"/>
      <c r="U2" s="1618"/>
      <c r="V2" s="1618"/>
      <c r="W2" s="1618"/>
      <c r="X2" s="1618"/>
      <c r="Y2" s="1618"/>
      <c r="Z2" s="1618"/>
      <c r="AA2" s="1618"/>
      <c r="AB2" s="1618"/>
    </row>
    <row r="3" spans="1:30">
      <c r="A3" s="294" t="s">
        <v>2170</v>
      </c>
      <c r="B3" s="2184">
        <v>45928</v>
      </c>
      <c r="C3" s="2185" t="s">
        <v>2171</v>
      </c>
      <c r="D3" s="2184">
        <f>B3</f>
        <v>45928</v>
      </c>
      <c r="E3" s="2439"/>
      <c r="F3" s="2439"/>
      <c r="G3" s="2439"/>
      <c r="H3" s="2439"/>
      <c r="I3" s="2439"/>
      <c r="J3" s="2242"/>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3447</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39"/>
      <c r="F5" s="2439"/>
      <c r="G5" s="2439"/>
      <c r="H5" s="2439"/>
      <c r="I5" s="2439"/>
      <c r="J5" s="2242"/>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8"/>
      <c r="F6" s="2439"/>
      <c r="G6" s="2439"/>
      <c r="H6" s="2439"/>
      <c r="I6" s="2439"/>
      <c r="J6" s="2242"/>
      <c r="K6" s="2398" t="str">
        <f>IF(COUNTIF(B6,"*上海银行*"),"上海银行","")</f>
        <v/>
      </c>
      <c r="L6" s="2396"/>
      <c r="M6" s="2396"/>
      <c r="N6" s="2242"/>
      <c r="O6" s="1670"/>
      <c r="P6" s="2242"/>
      <c r="Q6" s="2242"/>
      <c r="R6" s="2242"/>
    </row>
    <row r="7" spans="1:30">
      <c r="A7" s="2193" t="s">
        <v>2175</v>
      </c>
      <c r="B7" s="2197"/>
      <c r="C7" s="2195"/>
      <c r="D7" s="2196"/>
      <c r="E7" s="2438"/>
      <c r="F7" s="2439"/>
      <c r="G7" s="2439"/>
      <c r="H7" s="2439"/>
      <c r="I7" s="2439"/>
      <c r="J7" s="2242"/>
      <c r="K7" s="2399"/>
      <c r="L7" s="2396"/>
      <c r="M7" s="2396"/>
      <c r="N7" s="2242"/>
      <c r="O7" s="1670"/>
      <c r="P7" s="2242"/>
      <c r="Q7" s="2242"/>
      <c r="R7" s="2242"/>
    </row>
    <row r="8" spans="1:30">
      <c r="A8" s="2198" t="s">
        <v>2176</v>
      </c>
      <c r="B8" s="2199" t="s">
        <v>3448</v>
      </c>
      <c r="C8" s="2200"/>
      <c r="D8" s="3266" t="s">
        <v>2177</v>
      </c>
      <c r="E8" s="2201" t="s">
        <v>3449</v>
      </c>
      <c r="F8" s="2202"/>
      <c r="G8" s="2439"/>
      <c r="H8" s="2439"/>
      <c r="I8" s="2439"/>
      <c r="J8" s="2242"/>
      <c r="K8" s="2397"/>
      <c r="L8" s="2396"/>
      <c r="M8" s="2396"/>
      <c r="N8" s="2242"/>
      <c r="O8" s="1670"/>
      <c r="P8" s="2242"/>
      <c r="Q8" s="2242"/>
      <c r="R8" s="2242"/>
    </row>
    <row r="9" spans="1:30" ht="13.8" thickBot="1">
      <c r="A9" s="2203" t="s">
        <v>2178</v>
      </c>
      <c r="B9" s="2204" t="s">
        <v>3449</v>
      </c>
      <c r="C9" s="2205"/>
      <c r="D9" s="3267"/>
      <c r="E9" s="2204"/>
      <c r="F9" s="2206"/>
      <c r="G9" s="2440"/>
      <c r="H9" s="2440"/>
      <c r="I9" s="2440"/>
      <c r="J9" s="2242"/>
      <c r="K9" s="2399"/>
      <c r="L9" s="2396"/>
      <c r="M9" s="2396"/>
      <c r="N9" s="2242"/>
      <c r="O9" s="1670"/>
      <c r="P9" s="2242"/>
      <c r="Q9" s="2242"/>
      <c r="R9" s="2242"/>
    </row>
    <row r="10" spans="1:30" ht="24.6" thickTop="1">
      <c r="A10" s="2207" t="s">
        <v>2179</v>
      </c>
      <c r="B10" s="2208" t="s">
        <v>3417</v>
      </c>
      <c r="C10" s="3166" t="s">
        <v>3418</v>
      </c>
      <c r="D10" s="2192"/>
      <c r="E10" s="2209" t="s">
        <v>2180</v>
      </c>
      <c r="F10" s="3167" t="s">
        <v>3420</v>
      </c>
      <c r="G10" s="2441"/>
      <c r="H10" s="2442"/>
      <c r="I10" s="2443"/>
      <c r="J10" s="2242"/>
      <c r="K10" s="2399"/>
      <c r="L10" s="2396"/>
      <c r="M10" s="2396"/>
      <c r="N10" s="2242"/>
      <c r="O10" s="1670"/>
      <c r="P10" s="2242"/>
      <c r="Q10" s="2242"/>
      <c r="R10" s="2242"/>
    </row>
    <row r="11" spans="1:30" ht="24">
      <c r="A11" s="2210" t="s">
        <v>2181</v>
      </c>
      <c r="B11" s="2211" t="s">
        <v>3419</v>
      </c>
      <c r="C11" s="3168" t="s">
        <v>3421</v>
      </c>
      <c r="D11" s="2212"/>
      <c r="E11" s="2181"/>
      <c r="F11" s="2181"/>
      <c r="G11" s="2181"/>
      <c r="H11" s="2181"/>
      <c r="I11" s="2181"/>
      <c r="J11" s="2798"/>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2576</v>
      </c>
      <c r="J12" s="2799"/>
      <c r="K12" s="2396"/>
      <c r="L12" s="2396"/>
      <c r="M12" s="2242"/>
      <c r="N12" s="1670"/>
      <c r="O12" s="2242"/>
      <c r="P12" s="2242"/>
      <c r="Q12" s="2242"/>
      <c r="AD12" s="1618"/>
    </row>
    <row r="13" spans="1:30">
      <c r="A13" s="3118" t="s">
        <v>3330</v>
      </c>
      <c r="B13" s="2215" t="s">
        <v>2190</v>
      </c>
      <c r="C13" s="803">
        <v>68375</v>
      </c>
      <c r="D13" s="803"/>
      <c r="E13" s="803"/>
      <c r="F13" s="803"/>
      <c r="G13" s="803"/>
      <c r="H13" s="803"/>
      <c r="I13" s="803"/>
      <c r="J13" s="2799"/>
      <c r="K13" s="2396"/>
      <c r="L13" s="2396"/>
      <c r="M13" s="2242"/>
      <c r="N13" s="1670"/>
      <c r="O13" s="2242"/>
      <c r="P13" s="2242"/>
      <c r="Q13" s="2242"/>
      <c r="AD13" s="1618"/>
    </row>
    <row r="14" spans="1:30">
      <c r="A14" s="1018"/>
      <c r="B14" s="2215" t="s">
        <v>2191</v>
      </c>
      <c r="C14" s="2216">
        <v>70</v>
      </c>
      <c r="D14" s="2216"/>
      <c r="E14" s="2216"/>
      <c r="F14" s="2216"/>
      <c r="G14" s="2216"/>
      <c r="H14" s="2216"/>
      <c r="I14" s="2216"/>
      <c r="J14" s="2800"/>
      <c r="K14" s="2396"/>
      <c r="L14" s="2396"/>
      <c r="M14" s="2242"/>
      <c r="N14" s="1670"/>
      <c r="O14" s="2242"/>
      <c r="P14" s="2242"/>
      <c r="Q14" s="2242"/>
      <c r="AD14" s="1618"/>
    </row>
    <row r="15" spans="1:30">
      <c r="A15" s="312"/>
      <c r="B15" s="2217" t="s">
        <v>2192</v>
      </c>
      <c r="C15" s="2218">
        <f>IF(A13="出让",IF(C13="","",ROUNDDOWN(MIN((C13-$D$3)/365,C14),2)),C14)</f>
        <v>61.49</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70"/>
      <c r="L15" s="1670"/>
      <c r="M15" s="2242"/>
      <c r="N15" s="1670"/>
      <c r="O15" s="2242"/>
      <c r="P15" s="2242"/>
      <c r="Q15" s="2242"/>
      <c r="AD15" s="1618"/>
    </row>
    <row r="16" spans="1:30">
      <c r="A16" s="2209" t="s">
        <v>2193</v>
      </c>
      <c r="B16" s="3273" t="s">
        <v>3422</v>
      </c>
      <c r="C16" s="3274"/>
      <c r="D16" s="3275"/>
      <c r="E16" s="2219" t="s">
        <v>2194</v>
      </c>
      <c r="F16" s="3276"/>
      <c r="G16" s="3277"/>
      <c r="H16" s="3277"/>
      <c r="I16" s="3278"/>
      <c r="J16" s="2242"/>
      <c r="K16" s="2400"/>
      <c r="L16" s="1670"/>
      <c r="M16" s="1670"/>
      <c r="N16" s="2242"/>
      <c r="O16" s="1670"/>
      <c r="P16" s="2242"/>
      <c r="Q16" s="2242"/>
      <c r="R16" s="2242"/>
    </row>
    <row r="17" spans="1:28">
      <c r="A17" s="305" t="s">
        <v>2195</v>
      </c>
      <c r="B17" s="294" t="s">
        <v>2196</v>
      </c>
      <c r="C17" s="8">
        <f>'数据-汇总表'!E3</f>
        <v>106.32</v>
      </c>
      <c r="D17" s="1256" t="s">
        <v>2197</v>
      </c>
      <c r="E17" s="3279" t="s">
        <v>2198</v>
      </c>
      <c r="F17" s="3280"/>
      <c r="G17" s="3280"/>
      <c r="H17" s="3280"/>
      <c r="I17" s="3281"/>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19.66</v>
      </c>
      <c r="D18" s="1029" t="s">
        <v>2201</v>
      </c>
      <c r="E18" s="3282" t="s">
        <v>2202</v>
      </c>
      <c r="F18" s="3283"/>
      <c r="G18" s="3283"/>
      <c r="H18" s="3283"/>
      <c r="I18" s="3284"/>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t="s">
        <v>3425</v>
      </c>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69" t="s">
        <v>2206</v>
      </c>
      <c r="C20" s="3270"/>
      <c r="D20" s="3271" t="s">
        <v>2207</v>
      </c>
      <c r="E20" s="3272"/>
      <c r="F20" s="2427" t="s">
        <v>1056</v>
      </c>
      <c r="G20" s="2439"/>
      <c r="H20" s="2439"/>
      <c r="I20" s="2439"/>
      <c r="J20" s="2242"/>
      <c r="K20" s="326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6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6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57" t="s">
        <v>2214</v>
      </c>
      <c r="B27" s="312" t="s">
        <v>2215</v>
      </c>
      <c r="C27" s="2222" t="s">
        <v>3423</v>
      </c>
      <c r="D27" s="2223"/>
      <c r="E27" s="2439"/>
      <c r="F27" s="2439"/>
      <c r="G27" s="2439"/>
      <c r="H27" s="2439"/>
      <c r="I27" s="2439"/>
      <c r="J27" s="2242"/>
      <c r="K27" s="2400"/>
      <c r="L27" s="1670"/>
      <c r="M27" s="1670"/>
      <c r="N27" s="2242"/>
      <c r="O27" s="1670"/>
      <c r="P27" s="2242"/>
      <c r="Q27" s="2242"/>
      <c r="R27" s="2242"/>
      <c r="S27" s="2242"/>
      <c r="T27" s="2242"/>
      <c r="U27" s="2242"/>
      <c r="V27" s="2242"/>
    </row>
    <row r="28" spans="1:28">
      <c r="A28" s="3257"/>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57"/>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8"/>
      <c r="B30" s="294" t="s">
        <v>2218</v>
      </c>
      <c r="C30" s="3259"/>
      <c r="D30" s="3260"/>
      <c r="E30" s="2439"/>
      <c r="F30" s="2439"/>
      <c r="G30" s="2439"/>
      <c r="H30" s="2439"/>
      <c r="I30" s="2439"/>
      <c r="J30" s="2242"/>
      <c r="K30" s="2399"/>
      <c r="L30" s="2396"/>
      <c r="M30" s="2396"/>
      <c r="N30" s="2242"/>
      <c r="O30" s="1670"/>
      <c r="P30" s="2242"/>
      <c r="Q30" s="2242"/>
      <c r="R30" s="2242"/>
      <c r="S30" s="2242"/>
      <c r="T30" s="2242"/>
      <c r="U30" s="2242"/>
      <c r="V30" s="2242"/>
    </row>
    <row r="31" spans="1:28">
      <c r="A31" s="3261" t="s">
        <v>2219</v>
      </c>
      <c r="B31" s="2228" t="s">
        <v>3424</v>
      </c>
      <c r="C31" s="12" t="str">
        <f>IF(B31="现房","成新及维护状况正常否",IF(B31="在建","工程状态是否正常",IF(B31="土地","是否闲置","-")))</f>
        <v>成新及维护状况正常否</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62"/>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62"/>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9"/>
      <c r="C34" s="1869"/>
      <c r="D34" s="1869"/>
      <c r="E34" s="1869"/>
      <c r="F34" s="1869"/>
      <c r="G34" s="1869"/>
      <c r="H34" s="1869"/>
      <c r="I34" s="2439"/>
      <c r="J34" s="2242"/>
      <c r="K34" s="8">
        <f>COUNTIF(B34:H34,"——")</f>
        <v>0</v>
      </c>
      <c r="L34" s="315" t="s">
        <v>2221</v>
      </c>
      <c r="M34" s="315" t="s">
        <v>2222</v>
      </c>
      <c r="N34" s="315" t="s">
        <v>2223</v>
      </c>
      <c r="O34" s="315" t="s">
        <v>2224</v>
      </c>
      <c r="P34" s="315" t="s">
        <v>2225</v>
      </c>
      <c r="Q34" s="315" t="s">
        <v>2226</v>
      </c>
      <c r="R34" s="315" t="s">
        <v>2227</v>
      </c>
      <c r="S34" s="3256" t="s">
        <v>2228</v>
      </c>
      <c r="T34" s="315" t="str">
        <f>NUMBERSTRING(7-K34,1)&amp;"通"</f>
        <v>七通</v>
      </c>
      <c r="U34" s="2242"/>
      <c r="V34" s="2242"/>
    </row>
    <row r="35" spans="1:30" ht="26.4">
      <c r="A35" s="2233"/>
      <c r="B35" s="3256" t="s">
        <v>2229</v>
      </c>
      <c r="C35" s="3256"/>
      <c r="D35" s="3256"/>
      <c r="E35" s="3256"/>
      <c r="F35" s="8" t="str">
        <f>C10</f>
        <v>福建省宁德市</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6"/>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2579</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2"/>
      <c r="K40" s="2398"/>
      <c r="L40" s="1670"/>
      <c r="M40" s="1670"/>
      <c r="N40" s="2242"/>
      <c r="O40" s="1670"/>
      <c r="P40" s="2242"/>
      <c r="Q40" s="2242"/>
      <c r="R40" s="2242"/>
      <c r="S40" s="2242"/>
      <c r="T40" s="2242"/>
      <c r="U40" s="2242"/>
      <c r="V40" s="2242"/>
    </row>
    <row r="41" spans="1:30">
      <c r="A41" s="2239" t="s">
        <v>2233</v>
      </c>
      <c r="B41" s="1627"/>
      <c r="C41" s="1281"/>
      <c r="D41" s="2181"/>
      <c r="E41" s="2181"/>
      <c r="F41" s="2181"/>
      <c r="G41" s="2181"/>
      <c r="H41" s="2181"/>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19.66</v>
      </c>
      <c r="B3" s="11">
        <f>IF(C3="否",G5-AT5,G5)</f>
        <v>106.32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106.32</v>
      </c>
      <c r="H5" s="13">
        <f t="shared" ref="H5:AT5" si="0">SUM(H13:H656)</f>
        <v>106.32</v>
      </c>
      <c r="I5" s="13">
        <f t="shared" si="0"/>
        <v>106.32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106.32</v>
      </c>
      <c r="BA5" s="15">
        <f t="shared" si="1"/>
        <v>106.32</v>
      </c>
      <c r="BB5" s="15">
        <f t="shared" si="1"/>
        <v>106.32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19.66</v>
      </c>
      <c r="F6" s="13" t="s">
        <v>0</v>
      </c>
      <c r="G6" s="13" t="s">
        <v>1</v>
      </c>
      <c r="H6" s="17">
        <f>SUMIF(I$12:AB$12,"总值",I6:AB6)</f>
        <v>19.66</v>
      </c>
      <c r="I6" s="13">
        <f t="shared" ref="I6:AB6" si="2">ROUND($A$3*I5/$B$3,2)</f>
        <v>19.66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19.66</v>
      </c>
      <c r="AZ6" s="13" t="s">
        <v>2</v>
      </c>
      <c r="BA6" s="13">
        <f>ROUND($AY$6*BA5/$AZ$5,2)</f>
        <v>19.66</v>
      </c>
      <c r="BB6" s="13">
        <f>ROUND($AY$6*BB5/$AZ$5,2)</f>
        <v>19.66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19.66</v>
      </c>
      <c r="F13" s="29"/>
      <c r="G13" s="30">
        <f>H13+AC13+AT13</f>
        <v>106.32</v>
      </c>
      <c r="H13" s="17">
        <f>SUMIF(I$12:AB$12,"总值",I13:AB13)</f>
        <v>106.32</v>
      </c>
      <c r="I13" s="1514">
        <v>106.32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19.66</v>
      </c>
      <c r="AZ13" s="13">
        <f>BA13+BL13</f>
        <v>106.32</v>
      </c>
      <c r="BA13" s="13">
        <f>SUM(BB13:BK13)</f>
        <v>106.32</v>
      </c>
      <c r="BB13" s="13">
        <f>IF($D13="是",I13-J13,0)</f>
        <v>106.32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4" t="s">
        <v>1131</v>
      </c>
      <c r="B2" s="3294"/>
      <c r="C2" s="3294"/>
      <c r="D2" s="748" t="s">
        <v>1107</v>
      </c>
      <c r="E2" s="1523" t="s">
        <v>1108</v>
      </c>
      <c r="F2" s="2436"/>
      <c r="G2" s="2429"/>
      <c r="H2" s="2430"/>
      <c r="I2" s="2145" t="s">
        <v>1132</v>
      </c>
      <c r="J2" s="2436"/>
      <c r="K2" s="2436"/>
      <c r="L2" s="2436"/>
      <c r="M2" s="2436"/>
      <c r="N2" s="2437"/>
      <c r="O2" s="2436"/>
      <c r="P2" s="2436"/>
    </row>
    <row r="3" spans="1:16" ht="15" thickBot="1">
      <c r="A3" s="3295" t="s">
        <v>1105</v>
      </c>
      <c r="B3" s="3295"/>
      <c r="C3" s="3295"/>
      <c r="D3" s="41">
        <f>'数据-基础表'!AY6</f>
        <v>19.66</v>
      </c>
      <c r="E3" s="41">
        <f>'数据-基础表'!AZ5</f>
        <v>106.32</v>
      </c>
      <c r="F3" s="2436"/>
      <c r="G3" s="42"/>
      <c r="H3" s="43" t="s">
        <v>1106</v>
      </c>
      <c r="I3" s="802">
        <f>ROUND('数据-基础表'!B3/'数据-基础表'!A3,2)</f>
        <v>5.41</v>
      </c>
      <c r="J3" s="2436"/>
      <c r="K3" s="2436"/>
      <c r="L3" s="2436"/>
      <c r="M3" s="2436"/>
      <c r="N3" s="2437"/>
      <c r="O3" s="2436"/>
      <c r="P3" s="2436"/>
    </row>
    <row r="4" spans="1:16" ht="14.4">
      <c r="A4" s="3296"/>
      <c r="B4" s="3297"/>
      <c r="C4" s="3298"/>
      <c r="D4" s="1524" t="s">
        <v>1107</v>
      </c>
      <c r="E4" s="1525" t="s">
        <v>1108</v>
      </c>
      <c r="F4" s="2436"/>
      <c r="G4" s="2431" t="s">
        <v>1133</v>
      </c>
      <c r="H4" s="43" t="s">
        <v>1113</v>
      </c>
      <c r="I4" s="802">
        <f>ROUND(SUMIF('数据-基础表'!I9:AS9,"地上",'数据-基础表'!I5:AS5)/'数据-基础表'!A3,2)</f>
        <v>5.41</v>
      </c>
      <c r="J4" s="2436"/>
      <c r="K4" s="2436"/>
      <c r="L4" s="2436"/>
      <c r="M4" s="2436"/>
      <c r="N4" s="2437"/>
      <c r="O4" s="2436"/>
      <c r="P4" s="2436"/>
    </row>
    <row r="5" spans="1:16" ht="14.4">
      <c r="A5" s="42" t="s">
        <v>1109</v>
      </c>
      <c r="B5" s="3299" t="s">
        <v>1110</v>
      </c>
      <c r="C5" s="3299"/>
      <c r="D5" s="43">
        <f>ROUND($D$3*E5/$E$3,2)</f>
        <v>19.66</v>
      </c>
      <c r="E5" s="44">
        <f>SUMIF('数据-基础表'!$11:$11,"住宅",'数据-基础表'!$5:$5)</f>
        <v>106.32</v>
      </c>
      <c r="F5" s="2436"/>
      <c r="G5" s="42"/>
      <c r="H5" s="43" t="s">
        <v>1106</v>
      </c>
      <c r="I5" s="802">
        <f>ROUND(E31/D31,2)</f>
        <v>5.41</v>
      </c>
      <c r="J5" s="2436"/>
      <c r="K5" s="2436"/>
      <c r="L5" s="2436"/>
      <c r="M5" s="2436"/>
      <c r="N5" s="2436"/>
      <c r="O5" s="2436"/>
      <c r="P5" s="2436"/>
    </row>
    <row r="6" spans="1:16" ht="15" thickBot="1">
      <c r="A6" s="1527"/>
      <c r="B6" s="3299" t="s">
        <v>1111</v>
      </c>
      <c r="C6" s="3299"/>
      <c r="D6" s="43">
        <f>ROUND($D$3*E6/$E$3,2)</f>
        <v>0</v>
      </c>
      <c r="E6" s="44">
        <f>E3-E5</f>
        <v>0</v>
      </c>
      <c r="F6" s="2436"/>
      <c r="G6" s="1529" t="s">
        <v>1112</v>
      </c>
      <c r="H6" s="45" t="s">
        <v>1113</v>
      </c>
      <c r="I6" s="2432">
        <f>ROUND(F31/D31,2)</f>
        <v>5.41</v>
      </c>
      <c r="J6" s="2436"/>
      <c r="K6" s="2436"/>
      <c r="L6" s="2436"/>
      <c r="M6" s="2436"/>
      <c r="N6" s="2436"/>
      <c r="O6" s="2436"/>
      <c r="P6" s="2436"/>
    </row>
    <row r="7" spans="1:16" ht="15" thickBot="1">
      <c r="A7" s="3291"/>
      <c r="B7" s="3292"/>
      <c r="C7" s="3293"/>
      <c r="D7" s="1524" t="s">
        <v>1107</v>
      </c>
      <c r="E7" s="1528"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19.66</v>
      </c>
      <c r="E8" s="46">
        <f>SUMIF('数据-基础表'!BB10:BK10,"地上",'数据-基础表'!BB5:BK5)</f>
        <v>106.32</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19.66</v>
      </c>
      <c r="E16" s="48">
        <f>SUM(E8:E15)</f>
        <v>106.32</v>
      </c>
      <c r="F16" s="2436"/>
      <c r="G16" s="2436"/>
      <c r="H16" s="1531" t="s">
        <v>1135</v>
      </c>
      <c r="I16" s="1532"/>
      <c r="J16" s="1071"/>
      <c r="K16" s="3288" t="s">
        <v>1135</v>
      </c>
      <c r="L16" s="3289"/>
      <c r="M16" s="3289"/>
      <c r="N16" s="3289"/>
      <c r="O16" s="3289"/>
      <c r="P16" s="3290"/>
    </row>
    <row r="17" spans="1:19" ht="14.4">
      <c r="A17" s="1533" t="s">
        <v>1136</v>
      </c>
      <c r="B17" s="1534" t="s">
        <v>1137</v>
      </c>
      <c r="C17" s="1535" t="s">
        <v>1138</v>
      </c>
      <c r="D17" s="1536" t="s">
        <v>1126</v>
      </c>
      <c r="E17" s="1537" t="s">
        <v>1127</v>
      </c>
      <c r="F17" s="1538"/>
      <c r="G17" s="1539"/>
      <c r="H17" s="1540" t="s">
        <v>1139</v>
      </c>
      <c r="I17" s="1541" t="s">
        <v>1124</v>
      </c>
      <c r="J17" s="1071"/>
      <c r="K17" s="3285" t="s">
        <v>1140</v>
      </c>
      <c r="L17" s="3286"/>
      <c r="M17" s="3287"/>
      <c r="N17" s="3285" t="s">
        <v>1141</v>
      </c>
      <c r="O17" s="3286"/>
      <c r="P17" s="328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3427</v>
      </c>
      <c r="D19" s="43">
        <f>ROUND($D$3*E19/$E$3,2)</f>
        <v>19.66</v>
      </c>
      <c r="E19" s="51">
        <f t="shared" ref="E19:E26" si="1">SUM(F19:G19)</f>
        <v>106.32</v>
      </c>
      <c r="F19" s="2554">
        <f>'数据-基础表'!H13</f>
        <v>106.32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19.66</v>
      </c>
      <c r="S19" s="51">
        <f t="shared" si="5"/>
        <v>106.32</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19.66</v>
      </c>
      <c r="E27" s="1073">
        <f>IF(SUM(E19:E26)='数据-基础表'!BA5,SUM(E19:E26),IF(F27="地上面积有误","面积有误","地下面积有误"))</f>
        <v>106.32</v>
      </c>
      <c r="F27" s="1072">
        <f>IF(SUM(F19:F26)=E8,SUM(F19:F26),"地上面积有误")</f>
        <v>106.32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19.66</v>
      </c>
      <c r="S27" s="43">
        <f>IF(SUM(S19:S26)=$E$3,SUM(S19:S26),SUM(S19:S26)&amp;"误差"&amp;ROUND(SUM(S19:S26)-E3,2))</f>
        <v>106.32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19.66</v>
      </c>
      <c r="E31" s="643">
        <f>E27+E30</f>
        <v>106.32</v>
      </c>
      <c r="F31" s="644">
        <f>F27+F30</f>
        <v>106.32</v>
      </c>
      <c r="G31" s="645">
        <f>G27+G30</f>
        <v>0</v>
      </c>
      <c r="H31" s="2436"/>
      <c r="I31" s="2436"/>
      <c r="J31" s="2436"/>
      <c r="K31" s="2436"/>
      <c r="L31" s="2436"/>
      <c r="M31" s="2436"/>
      <c r="N31" s="2436"/>
      <c r="O31" s="2436"/>
      <c r="P31" s="2436"/>
    </row>
    <row r="32" spans="1:19" ht="14.4">
      <c r="A32" s="1526"/>
      <c r="B32" s="1526" t="s">
        <v>1159</v>
      </c>
      <c r="C32" s="1526"/>
      <c r="D32" s="1526"/>
      <c r="E32" s="990">
        <f>SUMIF(C19:C26,"*住宅*",E19:E26)</f>
        <v>106.32</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I36" activePane="bottomRight" state="frozen"/>
      <selection activeCell="C50" sqref="C50"/>
      <selection pane="topRight" activeCell="C50" sqref="C50"/>
      <selection pane="bottomLeft" activeCell="C50" sqref="C50"/>
      <selection pane="bottomRight" activeCell="K42" sqref="K4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45928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3404</v>
      </c>
      <c r="D6" s="805">
        <f>SUMIF(项目基本情况!C$12:I$12,C6,项目基本情况!C$14:I$14)</f>
        <v>70</v>
      </c>
      <c r="E6" s="804">
        <f>IF(B6="","",SUMIF(项目基本情况!C$12:I$12,C6,项目基本情况!C$13:I$13))</f>
        <v>68375</v>
      </c>
      <c r="F6" s="61">
        <f>SUMIF(项目基本情况!C$12:I$12,C6,项目基本情况!C$15:I$15)</f>
        <v>61.49</v>
      </c>
      <c r="G6" s="62">
        <f>IF(ISERROR(ROUND(POWER(1+H6,D6-F6)*(POWER(1+H6,F6)-1)/(POWER(1+H6,D6)-1),3)),0,ROUND(POWER(1+H6,D6-F6)*(POWER(1+H6,F6)-1)/(POWER(1+H6,D6)-1),3))</f>
        <v>0.98299999999999998</v>
      </c>
      <c r="H6" s="691">
        <v>0.05</v>
      </c>
      <c r="I6" s="691">
        <v>5.5E-2</v>
      </c>
      <c r="J6" s="63">
        <v>7.0000000000000007E-2</v>
      </c>
      <c r="K6" s="970">
        <f>SUMIF('数据-汇总表'!C$19:C$33,A6,'数据-汇总表'!E$19:E$33)</f>
        <v>106.32</v>
      </c>
      <c r="L6" s="692">
        <v>2400</v>
      </c>
      <c r="M6" s="64">
        <f t="shared" ref="M6:M14" si="0">ROUND(K6*L6/10000,0)</f>
        <v>26</v>
      </c>
      <c r="N6" s="690">
        <f>N19</f>
        <v>0.92</v>
      </c>
      <c r="O6" s="64" t="str">
        <f>IF($N$5="成新度","——",ROUND(M6*N6,0))</f>
        <v>——</v>
      </c>
      <c r="P6" s="65" t="str">
        <f>IF($N$5="成新度","——",M6-O6)</f>
        <v>——</v>
      </c>
      <c r="Q6" s="693">
        <v>0.1</v>
      </c>
      <c r="R6" s="66">
        <f ca="1">SUMIF('数据-汇总表'!C$19:C$33,A6,'数据-汇总表'!R$19:R$27)</f>
        <v>19.66</v>
      </c>
      <c r="S6" s="49">
        <f>IF('数据-汇总表'!$I$17="按面积比例",SUMIF('数据-汇总表'!C$19:C$33,A6,'数据-汇总表'!K$19:K$33),SUMIF('数据-汇总表'!C$19:C$33,A6,'数据-汇总表'!N$19:N$33))</f>
        <v>0</v>
      </c>
      <c r="T6" s="1092">
        <f>ROUND($L$14*S6/10000,0)</f>
        <v>0</v>
      </c>
      <c r="U6" s="3123">
        <v>2500</v>
      </c>
      <c r="V6" s="67">
        <v>1.4999999999999999E-2</v>
      </c>
      <c r="W6" s="67">
        <v>0.1</v>
      </c>
      <c r="X6" s="979"/>
      <c r="Y6" s="68">
        <f>N6</f>
        <v>0.92</v>
      </c>
      <c r="Z6" s="69"/>
      <c r="AA6" s="63"/>
      <c r="AB6" s="63"/>
      <c r="AC6" s="979"/>
      <c r="AD6" s="70"/>
      <c r="AE6" s="980">
        <f ca="1">IF(AN6="",0,SUMIF(INDIRECT("'"&amp;AN6&amp;"'"&amp;"!E:E"),$AE$5,INDIRECT("'"&amp;AN6&amp;"'"&amp;"!F:F")))</f>
        <v>61.49</v>
      </c>
      <c r="AF6" s="74"/>
      <c r="AG6" s="130">
        <f>IF(AF6="",0,AE6-AF6)</f>
        <v>0</v>
      </c>
      <c r="AH6" s="71">
        <v>1</v>
      </c>
      <c r="AI6" s="73">
        <v>12</v>
      </c>
      <c r="AJ6" s="74"/>
      <c r="AK6" s="75">
        <v>2E-3</v>
      </c>
      <c r="AL6" s="76">
        <v>1E-3</v>
      </c>
      <c r="AM6" s="77">
        <v>0.01</v>
      </c>
      <c r="AN6" s="1589" t="s">
        <v>3430</v>
      </c>
      <c r="AO6" s="50">
        <f ca="1">SUMIF(INDIRECT("'"&amp;AN6&amp;"'"&amp;"!A:A"),"总价",INDIRECT("'"&amp;AN6&amp;"'"&amp;"!B:B"))</f>
        <v>54.9345</v>
      </c>
      <c r="AP6" s="1590">
        <f>IF(C6="住宅",K6*L6,0)</f>
        <v>255167.99999999997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0.98299999999999998</v>
      </c>
      <c r="H16" s="84">
        <f>ROUND(SUMPRODUCT(H6:H13,K6:K13)/SUMPRODUCT((H6:H13&gt;0)*(K6:K13)),3)</f>
        <v>0.05</v>
      </c>
      <c r="I16" s="85"/>
      <c r="J16" s="85"/>
      <c r="K16" s="86">
        <f>SUM(K6:K15)</f>
        <v>106.32</v>
      </c>
      <c r="L16" s="87">
        <f>ROUND(M16*10000/SUM(K6:K14),0)</f>
        <v>2445</v>
      </c>
      <c r="M16" s="87">
        <f>SUM(M6:M14)</f>
        <v>26</v>
      </c>
      <c r="N16" s="88">
        <f>ROUND(SUMPRODUCT(M6:M14,N6:N14)/M16,3)</f>
        <v>0.92</v>
      </c>
      <c r="O16" s="87">
        <f>SUM(O6:O14)</f>
        <v>0</v>
      </c>
      <c r="P16" s="87">
        <f>SUM(P6:P14)</f>
        <v>0</v>
      </c>
      <c r="Q16" s="89">
        <f>ROUND(SUMPRODUCT(Q6:Q13,K6:K13)/SUMPRODUCT((Q6:Q13&gt;0)*(K6:K13)),2)</f>
        <v>0.1</v>
      </c>
      <c r="R16" s="974">
        <f ca="1">SUM(R6:R13)</f>
        <v>19.66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69" t="s">
        <v>3429</v>
      </c>
      <c r="N18" s="2445">
        <v>2020</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2302</v>
      </c>
      <c r="D19" s="2448"/>
      <c r="E19" s="2436"/>
      <c r="F19" s="2436"/>
      <c r="G19" s="2436"/>
      <c r="H19" s="2436"/>
      <c r="I19" s="2436"/>
      <c r="J19" s="2436"/>
      <c r="K19" s="2446"/>
      <c r="L19" s="2446"/>
      <c r="M19" s="2445"/>
      <c r="N19" s="2445">
        <f>ROUND(1-(1-0)*(2025-N18)/60,2)</f>
        <v>0.92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8" t="s">
        <v>2300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2</v>
      </c>
      <c r="C21" s="2436"/>
      <c r="D21" s="2448"/>
      <c r="E21" s="2436"/>
      <c r="F21" s="2436"/>
      <c r="G21" s="2436"/>
      <c r="H21" s="2436"/>
      <c r="I21" s="2436"/>
      <c r="J21" s="2436"/>
      <c r="K21" s="3175" t="s">
        <v>3450</v>
      </c>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100.8">
      <c r="A27" s="1601" t="s">
        <v>1220</v>
      </c>
      <c r="B27" s="101">
        <v>20</v>
      </c>
      <c r="C27" s="2559" t="s">
        <v>2304</v>
      </c>
      <c r="D27" s="2451"/>
      <c r="E27" s="3174" t="s">
        <v>3441</v>
      </c>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c r="C28" s="2452"/>
      <c r="D28" s="2451"/>
      <c r="E28" s="3170" t="s">
        <v>3431</v>
      </c>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120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120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0.05</v>
      </c>
      <c r="C33" s="2561" t="s">
        <v>3381</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0.05</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f>B30</f>
        <v>120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3399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3382</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0.03</v>
      </c>
      <c r="C38" s="2561" t="s">
        <v>3383</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2310</v>
      </c>
      <c r="B40" s="1015">
        <f ca="1">IF(A40="利息：取LPR",存贷款利率!G1,存贷款利率!G1+C40)</f>
        <v>3.1300000000000001E-2</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1.575E-2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1.4999999999999999E-2</v>
      </c>
      <c r="C42" s="2455">
        <f>IF(B2&lt;DATE(2016,5,1),0,B42)</f>
        <v>1.4999999999999999E-2</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7.5000000000000002E-4</v>
      </c>
      <c r="C43" s="2450"/>
      <c r="D43" s="3171" t="s">
        <v>3432</v>
      </c>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0.05</v>
      </c>
      <c r="C44" s="2561" t="s">
        <v>3384</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v>
      </c>
      <c r="C45" s="2560" t="s">
        <v>2297</v>
      </c>
      <c r="D45" s="2448"/>
      <c r="E45" s="3172" t="s">
        <v>3435</v>
      </c>
      <c r="F45" s="2436"/>
      <c r="G45" s="2436"/>
      <c r="H45" s="3173" t="s">
        <v>3436</v>
      </c>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v>
      </c>
      <c r="C46" s="2560" t="s">
        <v>2298</v>
      </c>
      <c r="D46" s="2448"/>
      <c r="E46" s="3172" t="s">
        <v>3433</v>
      </c>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2305</v>
      </c>
      <c r="D47" s="2448"/>
      <c r="E47" s="3173" t="s">
        <v>3434</v>
      </c>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2297</v>
      </c>
      <c r="D48" s="2448"/>
      <c r="E48" s="3172" t="s">
        <v>3438</v>
      </c>
      <c r="F48" s="2436"/>
      <c r="G48" s="2436"/>
      <c r="H48" s="3173" t="s">
        <v>3437</v>
      </c>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2299</v>
      </c>
      <c r="D49" s="2448"/>
      <c r="E49" s="3172" t="s">
        <v>3439</v>
      </c>
      <c r="F49" s="2436"/>
      <c r="G49" s="2436"/>
      <c r="H49" s="2436"/>
      <c r="I49" s="2436"/>
      <c r="J49" s="2436"/>
      <c r="K49" s="2446"/>
      <c r="L49" s="2446"/>
      <c r="M49" s="3169" t="s">
        <v>3440</v>
      </c>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3207">
        <v>0.04</v>
      </c>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hyperlinks>
    <hyperlink ref="E46" r:id="rId1" xr:uid="{00000000-0004-0000-0E00-000000000000}"/>
    <hyperlink ref="E45" r:id="rId2" xr:uid="{00000000-0004-0000-0E00-000001000000}"/>
    <hyperlink ref="E48" r:id="rId3" xr:uid="{00000000-0004-0000-0E00-000002000000}"/>
    <hyperlink ref="E49" r:id="rId4" xr:uid="{00000000-0004-0000-0E00-000003000000}"/>
  </hyperlinks>
  <pageMargins left="0.7" right="0.7" top="0.75" bottom="0.75" header="0.3" footer="0.3"/>
  <pageSetup paperSize="9" scale="25" fitToHeight="0" orientation="portrait" r:id="rId5"/>
  <ignoredErrors>
    <ignoredError sqref="G16:H16" formulaRange="1"/>
  </ignoredErrors>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300" t="s">
        <v>2286</v>
      </c>
      <c r="B1" s="3301"/>
      <c r="C1" s="3301"/>
      <c r="D1" s="3301"/>
      <c r="E1" s="3301"/>
      <c r="F1" s="3301"/>
      <c r="G1" s="330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5" sqref="F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106.32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45928</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99.015799999999999</v>
      </c>
      <c r="C5" s="2297">
        <f ca="1">IF(B5=D14,结果表!H102,ROUND(B5*10000/$B$1,0))</f>
        <v>9313</v>
      </c>
      <c r="D5" s="2297" t="e">
        <f ca="1">ROUND(B5*10000/$B$2,0)</f>
        <v>#DIV/0!</v>
      </c>
      <c r="E5" s="2458"/>
      <c r="F5" s="2459"/>
      <c r="G5" s="2459"/>
      <c r="H5" s="2459"/>
      <c r="I5" s="2459"/>
      <c r="J5" s="2459"/>
      <c r="K5" s="2459"/>
    </row>
    <row r="6" spans="1:11" ht="15.6">
      <c r="A6" s="2297" t="s">
        <v>656</v>
      </c>
      <c r="B6" s="2297">
        <f ca="1">SUM(G14:G23)</f>
        <v>99.015799999999999</v>
      </c>
      <c r="C6" s="2297">
        <f ca="1">IF(B6=G14,结果表!H108,ROUND(B6*10000/$B$1,0))</f>
        <v>9313</v>
      </c>
      <c r="D6" s="2297" t="e">
        <f ca="1">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3354</v>
      </c>
      <c r="D10" s="2297" t="s">
        <v>3355</v>
      </c>
      <c r="E10" s="3133"/>
      <c r="F10" s="3137" t="s">
        <v>3356</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106.32</v>
      </c>
      <c r="C14" s="2303"/>
      <c r="D14" s="2303">
        <f ca="1">结果表!H118</f>
        <v>99.015799999999999</v>
      </c>
      <c r="E14" s="2303">
        <f ca="1">ROUND(D14*10000/B14,0)</f>
        <v>9313</v>
      </c>
      <c r="F14" s="2303" t="e">
        <f ca="1">ROUND(D14*10000/C14,0)</f>
        <v>#DIV/0!</v>
      </c>
      <c r="G14" s="2303">
        <f ca="1">D14</f>
        <v>99.015799999999999</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4"/>
      <c r="H15" s="1244"/>
      <c r="I15" s="2304"/>
      <c r="J15" s="2459"/>
      <c r="K15" s="2459"/>
    </row>
    <row r="16" spans="1:11" ht="15.6">
      <c r="A16" s="2302" t="s">
        <v>648</v>
      </c>
      <c r="B16" s="2304"/>
      <c r="C16" s="2304"/>
      <c r="D16" s="2304"/>
      <c r="E16" s="2303" t="e">
        <f t="shared" si="0"/>
        <v>#DIV/0!</v>
      </c>
      <c r="F16" s="2303" t="e">
        <f t="shared" si="1"/>
        <v>#DIV/0!</v>
      </c>
      <c r="G16" s="1244"/>
      <c r="H16" s="1244"/>
      <c r="I16" s="2304"/>
      <c r="J16" s="2459"/>
      <c r="K16" s="2459"/>
    </row>
    <row r="17" spans="1:11" ht="15.6">
      <c r="A17" s="2302" t="s">
        <v>647</v>
      </c>
      <c r="B17" s="2304"/>
      <c r="C17" s="2304"/>
      <c r="D17" s="2304"/>
      <c r="E17" s="2303" t="e">
        <f t="shared" si="0"/>
        <v>#DIV/0!</v>
      </c>
      <c r="F17" s="2303" t="e">
        <f t="shared" si="1"/>
        <v>#DIV/0!</v>
      </c>
      <c r="G17" s="1244"/>
      <c r="H17" s="1244"/>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3404</v>
      </c>
      <c r="D1" s="646"/>
      <c r="E1" s="646"/>
      <c r="F1" s="1621" t="s">
        <v>1263</v>
      </c>
      <c r="G1" s="1453" t="s">
        <v>3424</v>
      </c>
      <c r="H1" s="1621" t="str">
        <f>IF(G1="现房","——","估价对象范围")</f>
        <v>——</v>
      </c>
      <c r="I1" s="1622"/>
    </row>
    <row r="2" spans="1:12" ht="21.75" customHeight="1" thickBot="1">
      <c r="A2" s="3336" t="str">
        <f>项目基本情况!S2</f>
        <v>福建省宁德市霞浦县松港街道赤岸大道33号中茵外滩1号（二期）11号楼201室房地产</v>
      </c>
      <c r="B2" s="3337"/>
      <c r="C2" s="3337"/>
      <c r="D2" s="3337"/>
      <c r="E2" s="3337"/>
      <c r="F2" s="3337"/>
      <c r="G2" s="3337"/>
      <c r="H2" s="3337"/>
      <c r="I2" s="3338"/>
    </row>
    <row r="3" spans="1:12" ht="13.2">
      <c r="A3" s="3340" t="s">
        <v>1264</v>
      </c>
      <c r="B3" s="3341"/>
      <c r="C3" s="3341"/>
      <c r="D3" s="3341"/>
      <c r="E3" s="3341"/>
      <c r="F3" s="3341"/>
      <c r="G3" s="3341"/>
      <c r="H3" s="3341"/>
      <c r="I3" s="3341"/>
    </row>
    <row r="4" spans="1:12" ht="14.4">
      <c r="A4" s="1624" t="s">
        <v>1265</v>
      </c>
      <c r="B4" s="1625" t="s">
        <v>1266</v>
      </c>
      <c r="C4" s="1626" t="s">
        <v>3552</v>
      </c>
      <c r="D4" s="1626" t="s">
        <v>3430</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6" t="s">
        <v>1268</v>
      </c>
      <c r="B5" s="3303">
        <v>25</v>
      </c>
      <c r="C5" s="3319"/>
      <c r="D5" s="3339"/>
      <c r="E5" s="123" t="s">
        <v>1269</v>
      </c>
      <c r="F5" s="1627"/>
      <c r="G5" s="1627"/>
      <c r="H5" s="1627"/>
      <c r="I5" s="1281"/>
    </row>
    <row r="6" spans="1:12" ht="13.2">
      <c r="A6" s="3316"/>
      <c r="B6" s="3303"/>
      <c r="C6" s="3320"/>
      <c r="D6" s="3339"/>
      <c r="E6" s="123" t="s">
        <v>1270</v>
      </c>
      <c r="F6" s="1627"/>
      <c r="G6" s="1627"/>
      <c r="H6" s="1627"/>
      <c r="I6" s="1281"/>
    </row>
    <row r="7" spans="1:12" ht="13.2">
      <c r="A7" s="3316"/>
      <c r="B7" s="3303"/>
      <c r="C7" s="3321"/>
      <c r="D7" s="3339"/>
      <c r="E7" s="123" t="s">
        <v>1271</v>
      </c>
      <c r="F7" s="1627"/>
      <c r="G7" s="1627"/>
      <c r="H7" s="1627"/>
      <c r="I7" s="1281"/>
    </row>
    <row r="8" spans="1:12" ht="13.2">
      <c r="A8" s="3316" t="s">
        <v>1272</v>
      </c>
      <c r="B8" s="3303">
        <v>15</v>
      </c>
      <c r="C8" s="3319"/>
      <c r="D8" s="3339"/>
      <c r="E8" s="123" t="s">
        <v>1273</v>
      </c>
      <c r="F8" s="1627"/>
      <c r="G8" s="1627"/>
      <c r="H8" s="1627"/>
      <c r="I8" s="1281"/>
    </row>
    <row r="9" spans="1:12" ht="13.2">
      <c r="A9" s="3316"/>
      <c r="B9" s="3303"/>
      <c r="C9" s="3321"/>
      <c r="D9" s="3339"/>
      <c r="E9" s="123" t="s">
        <v>1274</v>
      </c>
      <c r="F9" s="1627"/>
      <c r="G9" s="1627"/>
      <c r="H9" s="1627"/>
      <c r="I9" s="1281"/>
    </row>
    <row r="10" spans="1:12" ht="13.2">
      <c r="A10" s="3316" t="s">
        <v>1275</v>
      </c>
      <c r="B10" s="3303">
        <v>15</v>
      </c>
      <c r="C10" s="3319"/>
      <c r="D10" s="3339"/>
      <c r="E10" s="123" t="s">
        <v>1276</v>
      </c>
      <c r="F10" s="1627"/>
      <c r="G10" s="1627"/>
      <c r="H10" s="1627"/>
      <c r="I10" s="1281"/>
    </row>
    <row r="11" spans="1:12" ht="13.2">
      <c r="A11" s="3316"/>
      <c r="B11" s="3303"/>
      <c r="C11" s="3321"/>
      <c r="D11" s="3339"/>
      <c r="E11" s="123" t="s">
        <v>1277</v>
      </c>
      <c r="F11" s="1627"/>
      <c r="G11" s="1627"/>
      <c r="H11" s="1627"/>
      <c r="I11" s="1281"/>
    </row>
    <row r="12" spans="1:12" ht="13.2">
      <c r="A12" s="3316" t="s">
        <v>1278</v>
      </c>
      <c r="B12" s="3303">
        <v>15</v>
      </c>
      <c r="C12" s="3319"/>
      <c r="D12" s="3339"/>
      <c r="E12" s="123" t="s">
        <v>1279</v>
      </c>
      <c r="F12" s="1627"/>
      <c r="G12" s="1627"/>
      <c r="H12" s="1627"/>
      <c r="I12" s="1281"/>
    </row>
    <row r="13" spans="1:12" ht="13.2">
      <c r="A13" s="3316"/>
      <c r="B13" s="3303"/>
      <c r="C13" s="3321"/>
      <c r="D13" s="3339"/>
      <c r="E13" s="123" t="s">
        <v>1280</v>
      </c>
      <c r="F13" s="1627"/>
      <c r="G13" s="1627"/>
      <c r="H13" s="1627"/>
      <c r="I13" s="1281"/>
    </row>
    <row r="14" spans="1:12" ht="13.2">
      <c r="A14" s="3316" t="s">
        <v>1281</v>
      </c>
      <c r="B14" s="3303">
        <v>30</v>
      </c>
      <c r="C14" s="3319">
        <v>7</v>
      </c>
      <c r="D14" s="3339">
        <v>3</v>
      </c>
      <c r="E14" s="123" t="s">
        <v>1282</v>
      </c>
      <c r="F14" s="1627"/>
      <c r="G14" s="1627"/>
      <c r="H14" s="1627"/>
      <c r="I14" s="1281"/>
    </row>
    <row r="15" spans="1:12" ht="13.2">
      <c r="A15" s="3316"/>
      <c r="B15" s="3303"/>
      <c r="C15" s="3320"/>
      <c r="D15" s="3339"/>
      <c r="E15" s="123" t="s">
        <v>1283</v>
      </c>
      <c r="F15" s="1627"/>
      <c r="G15" s="1627"/>
      <c r="H15" s="1627"/>
      <c r="I15" s="1281"/>
    </row>
    <row r="16" spans="1:12" ht="13.2">
      <c r="A16" s="3316"/>
      <c r="B16" s="3303"/>
      <c r="C16" s="3321"/>
      <c r="D16" s="333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6" t="s">
        <v>2131</v>
      </c>
      <c r="F18" s="3327"/>
      <c r="G18" s="3327"/>
      <c r="H18" s="3327"/>
      <c r="I18" s="3327"/>
      <c r="K18" s="294" t="s">
        <v>1289</v>
      </c>
      <c r="L18" s="294">
        <f>IF(C1="",'数据-汇总表'!E3,SUMIF(项目类型,C1,'数据-汇总表'!E17:E26)+SUMIF(项目类型,C1,'数据-汇总表'!I17:I26))</f>
        <v>106.32</v>
      </c>
      <c r="M18" s="294">
        <f>IF(C1="",'数据-汇总表'!E3,SUMIF(项目类型,C1,'数据-汇总表'!E17:E26))</f>
        <v>106.32</v>
      </c>
    </row>
    <row r="19" spans="1:36" ht="14.4">
      <c r="A19" s="1630" t="s">
        <v>1290</v>
      </c>
      <c r="B19" s="1631" t="s">
        <v>1291</v>
      </c>
      <c r="C19" s="126">
        <f ca="1">SUMIF(INDIRECT("'"&amp;C4&amp;"'"&amp;"!A:A"),结果表!B19,INDIRECT("'"&amp;C4&amp;"'"&amp;"!B:B"))</f>
        <v>117.9089</v>
      </c>
      <c r="D19" s="127">
        <f ca="1">SUMIF(INDIRECT("'"&amp;D4&amp;"'"&amp;"!A:A"),结果表!B19,INDIRECT("'"&amp;D4&amp;"'"&amp;"!B:B"))</f>
        <v>54.9345</v>
      </c>
      <c r="E19" s="1630" t="s">
        <v>1292</v>
      </c>
      <c r="F19" s="1631" t="s">
        <v>1291</v>
      </c>
      <c r="G19" s="128">
        <f ca="1">ROUND(C19*$C$18+D19*$D$18,0)</f>
        <v>99</v>
      </c>
      <c r="H19" s="1632" t="s">
        <v>1293</v>
      </c>
      <c r="I19" s="121"/>
      <c r="K19" s="294" t="s">
        <v>1294</v>
      </c>
      <c r="L19" s="294">
        <f>IF(C1="",'数据-汇总表'!D3,SUMIF(项目类型,C1,'数据-汇总表'!D17:D26)+SUMIF(项目类型,C1,'数据-汇总表'!H17:H27))</f>
        <v>19.66</v>
      </c>
      <c r="M19" s="294">
        <f>IF(C1="",'数据-汇总表'!D3,SUMIF(项目类型,C1,'数据-汇总表'!D17:D26))</f>
        <v>19.66</v>
      </c>
    </row>
    <row r="20" spans="1:36" ht="14.4">
      <c r="A20" s="1633"/>
      <c r="B20" s="43" t="s">
        <v>1295</v>
      </c>
      <c r="C20" s="129">
        <f ca="1">SUMIF(INDIRECT("'"&amp;C4&amp;"'"&amp;"!A:A"),结果表!B20,INDIRECT("'"&amp;C4&amp;"'"&amp;"!B:B"))</f>
        <v>11090</v>
      </c>
      <c r="D20" s="130">
        <f ca="1">SUMIF(INDIRECT("'"&amp;D4&amp;"'"&amp;"!A:A"),结果表!B20,INDIRECT("'"&amp;D4&amp;"'"&amp;"!B:B"))</f>
        <v>5167</v>
      </c>
      <c r="E20" s="1633"/>
      <c r="F20" s="43" t="s">
        <v>1295</v>
      </c>
      <c r="G20" s="131">
        <f ca="1">ROUND(C20*$C$18+D20*$D$18,0)</f>
        <v>9313</v>
      </c>
      <c r="H20" s="760" t="s">
        <v>1296</v>
      </c>
      <c r="I20" s="121"/>
    </row>
    <row r="21" spans="1:36" ht="15" customHeight="1" thickBot="1">
      <c r="A21" s="449"/>
      <c r="B21" s="93" t="s">
        <v>1297</v>
      </c>
      <c r="C21" s="678">
        <f ca="1">ROUND(C19*10000/L19,0)</f>
        <v>59974</v>
      </c>
      <c r="D21" s="679">
        <f ca="1">ROUND(D19*10000/L19,0)</f>
        <v>27942</v>
      </c>
      <c r="E21" s="449"/>
      <c r="F21" s="93" t="s">
        <v>1297</v>
      </c>
      <c r="G21" s="132">
        <f ca="1">ROUND(G19*10000/L19,0)</f>
        <v>50356</v>
      </c>
      <c r="H21" s="1634" t="s">
        <v>1296</v>
      </c>
      <c r="I21" s="121"/>
    </row>
    <row r="22" spans="1:36" ht="15" thickBot="1">
      <c r="A22" s="1564" t="s">
        <v>1298</v>
      </c>
      <c r="B22" s="1635"/>
      <c r="C22" s="1636"/>
      <c r="D22" s="680">
        <f ca="1">IF(C19&lt;D19,D19/C19-1,C19/D19-1)</f>
        <v>1.146354294660004</v>
      </c>
      <c r="E22" s="121"/>
      <c r="F22" s="121"/>
      <c r="G22" s="121"/>
      <c r="H22" s="121"/>
      <c r="I22" s="121"/>
    </row>
    <row r="23" spans="1:36" ht="13.8" thickBot="1">
      <c r="A23" s="646"/>
      <c r="B23" s="646"/>
      <c r="C23" s="646"/>
      <c r="D23" s="646"/>
      <c r="E23" s="121"/>
      <c r="F23" s="121"/>
      <c r="G23" s="121"/>
      <c r="H23" s="121"/>
      <c r="I23" s="121"/>
    </row>
    <row r="24" spans="1:36" ht="14.4">
      <c r="A24" s="3310" t="s">
        <v>1299</v>
      </c>
      <c r="B24" s="1631" t="s">
        <v>1291</v>
      </c>
      <c r="C24" s="128">
        <f>IF(B30=0,0,D30)</f>
        <v>0</v>
      </c>
      <c r="D24" s="1637"/>
      <c r="E24" s="121"/>
      <c r="F24" s="121"/>
      <c r="G24" s="121"/>
      <c r="H24" s="121"/>
      <c r="I24" s="121"/>
    </row>
    <row r="25" spans="1:36" ht="14.4">
      <c r="A25" s="331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5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9313</v>
      </c>
      <c r="D32" s="1641" t="s">
        <v>3553</v>
      </c>
      <c r="E32" s="121"/>
      <c r="F32" s="121"/>
      <c r="G32" s="121"/>
      <c r="H32" s="121"/>
      <c r="I32" s="121"/>
    </row>
    <row r="33" spans="1:15" ht="14.4">
      <c r="A33" s="740" t="s">
        <v>1306</v>
      </c>
      <c r="B33" s="123"/>
      <c r="C33" s="1642" t="s">
        <v>3554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0" t="s">
        <v>1312</v>
      </c>
      <c r="B36" s="1652" t="s">
        <v>1313</v>
      </c>
      <c r="C36" s="137"/>
      <c r="D36" s="1653"/>
      <c r="E36" s="1567"/>
      <c r="F36" s="1654"/>
      <c r="G36" s="121"/>
      <c r="H36" s="121"/>
      <c r="I36" s="121"/>
    </row>
    <row r="37" spans="1:15" ht="15" thickBot="1">
      <c r="A37" s="3331"/>
      <c r="B37" s="1555" t="s">
        <v>1314</v>
      </c>
      <c r="C37" s="139"/>
      <c r="D37" s="1071"/>
      <c r="E37" s="1071"/>
      <c r="F37" s="1654"/>
      <c r="G37" s="121"/>
      <c r="H37" s="121"/>
      <c r="I37" s="121"/>
    </row>
    <row r="38" spans="1:15" ht="15" thickBot="1">
      <c r="A38" s="333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7" t="s">
        <v>1326</v>
      </c>
      <c r="B45" s="3308"/>
      <c r="C45" s="3309"/>
      <c r="D45" s="147">
        <f ca="1">ROUND(H101*F45,0)</f>
        <v>99</v>
      </c>
      <c r="E45" s="148" t="s">
        <v>1327</v>
      </c>
      <c r="F45" s="149">
        <v>1</v>
      </c>
      <c r="G45" s="150" t="s">
        <v>1328</v>
      </c>
      <c r="H45" s="121"/>
      <c r="I45" s="121"/>
      <c r="J45" s="3385" t="s">
        <v>1329</v>
      </c>
      <c r="K45" s="3385"/>
      <c r="L45" s="3385"/>
      <c r="M45" s="3385"/>
      <c r="N45" s="3385"/>
      <c r="O45" s="3385"/>
    </row>
    <row r="46" spans="1:15" ht="14.25" customHeight="1">
      <c r="A46" s="3304" t="s">
        <v>1330</v>
      </c>
      <c r="B46" s="3305"/>
      <c r="C46" s="3305"/>
      <c r="D46" s="3305"/>
      <c r="E46" s="3305"/>
      <c r="F46" s="3305"/>
      <c r="G46" s="3306"/>
      <c r="H46" s="1668"/>
      <c r="I46" s="151"/>
      <c r="J46" s="2307">
        <v>1</v>
      </c>
      <c r="K46" s="3366" t="s">
        <v>1331</v>
      </c>
      <c r="L46" s="3366"/>
      <c r="M46" s="3386"/>
      <c r="N46" s="3386"/>
      <c r="O46" s="3386"/>
    </row>
    <row r="47" spans="1:15" ht="12" customHeight="1">
      <c r="A47" s="152" t="s">
        <v>1332</v>
      </c>
      <c r="B47" s="153"/>
      <c r="C47" s="154"/>
      <c r="D47" s="1024" t="s">
        <v>1333</v>
      </c>
      <c r="E47" s="294" t="s">
        <v>1334</v>
      </c>
      <c r="F47" s="155" t="s">
        <v>1335</v>
      </c>
      <c r="G47" s="2330" t="s">
        <v>1336</v>
      </c>
      <c r="H47" s="2331"/>
      <c r="I47" s="151"/>
      <c r="J47" s="2307">
        <v>2</v>
      </c>
      <c r="K47" s="3366" t="s">
        <v>1337</v>
      </c>
      <c r="L47" s="3366"/>
      <c r="M47" s="3387">
        <f>'数据-取费表'!B2</f>
        <v>45928</v>
      </c>
      <c r="N47" s="3387"/>
      <c r="O47" s="3387"/>
    </row>
    <row r="48" spans="1:15" ht="26.4">
      <c r="A48" s="3335" t="s">
        <v>1338</v>
      </c>
      <c r="B48" s="3318"/>
      <c r="C48" s="3318"/>
      <c r="D48" s="12" t="b">
        <f>IF(H48="情况1",0,IF(H48="情况2",D52,IF(H48="情况3",D53,IF(H48="情况4",D54))))</f>
        <v>0</v>
      </c>
      <c r="E48" s="1256" t="str">
        <f>IF(H48="情况4","(销售额-原购置价)×税（费）率","销售额×税（费）率")</f>
        <v>销售额×税（费）率</v>
      </c>
      <c r="F48" s="2332">
        <f>IF(H48="情况1","免征",'数据-取费表'!B41)</f>
        <v>1.575E-2</v>
      </c>
      <c r="G48" s="2333" t="s">
        <v>1339</v>
      </c>
      <c r="H48" s="2334"/>
      <c r="I48" s="1668"/>
      <c r="J48" s="2307">
        <v>3</v>
      </c>
      <c r="K48" s="3366" t="s">
        <v>1340</v>
      </c>
      <c r="L48" s="3366"/>
      <c r="M48" s="3388">
        <f ca="1">H101</f>
        <v>99.015799999999999</v>
      </c>
      <c r="N48" s="3388"/>
      <c r="O48" s="3388"/>
    </row>
    <row r="49" spans="1:35" ht="25.5" customHeight="1">
      <c r="A49" s="2151" t="s">
        <v>1341</v>
      </c>
      <c r="B49" s="3302" t="s">
        <v>1342</v>
      </c>
      <c r="C49" s="3302"/>
      <c r="D49" s="1478">
        <v>0</v>
      </c>
      <c r="E49" s="316" t="s">
        <v>1343</v>
      </c>
      <c r="F49" s="2230" t="s">
        <v>28</v>
      </c>
      <c r="G49" s="3372"/>
      <c r="H49" s="2133" t="s">
        <v>2134</v>
      </c>
      <c r="I49" s="2134"/>
      <c r="J49" s="2307">
        <v>4</v>
      </c>
      <c r="K49" s="3366" t="str">
        <f>IF(项目基本情况!E8="房地产抵押价值","房地产抵押价值","抵押担保权已注销时的房地产抵押价值")</f>
        <v>房地产抵押价值</v>
      </c>
      <c r="L49" s="3366"/>
      <c r="M49" s="3388">
        <f ca="1">IF(项目基本情况!E8="房地产抵押价值",H107,H109)</f>
        <v>99.015799999999999</v>
      </c>
      <c r="N49" s="3388"/>
      <c r="O49" s="3388"/>
    </row>
    <row r="50" spans="1:35" ht="25.5" customHeight="1">
      <c r="A50" s="2335"/>
      <c r="B50" s="3302" t="s">
        <v>1344</v>
      </c>
      <c r="C50" s="3302"/>
      <c r="D50" s="2188"/>
      <c r="E50" s="323"/>
      <c r="F50" s="2230"/>
      <c r="G50" s="3373"/>
      <c r="H50" s="2135" t="s">
        <v>2135</v>
      </c>
      <c r="I50" s="2134"/>
      <c r="J50" s="3385" t="s">
        <v>1345</v>
      </c>
      <c r="K50" s="3385"/>
      <c r="L50" s="3385"/>
      <c r="M50" s="3385"/>
      <c r="N50" s="3385"/>
      <c r="O50" s="3385"/>
    </row>
    <row r="51" spans="1:35" ht="20.55" customHeight="1">
      <c r="A51" s="2336"/>
      <c r="B51" s="3302" t="s">
        <v>1346</v>
      </c>
      <c r="C51" s="3302"/>
      <c r="D51" s="1024"/>
      <c r="E51" s="319"/>
      <c r="F51" s="2230"/>
      <c r="G51" s="3374"/>
      <c r="H51" s="2135" t="s">
        <v>2136</v>
      </c>
      <c r="I51" s="2134"/>
      <c r="J51" s="2308" t="s">
        <v>1347</v>
      </c>
      <c r="K51" s="3366" t="s">
        <v>1348</v>
      </c>
      <c r="L51" s="3366"/>
      <c r="M51" s="2308" t="s">
        <v>1349</v>
      </c>
      <c r="N51" s="2308" t="s">
        <v>1350</v>
      </c>
      <c r="O51" s="2308" t="s">
        <v>1351</v>
      </c>
    </row>
    <row r="52" spans="1:35" ht="24" customHeight="1">
      <c r="A52" s="2152" t="s">
        <v>1352</v>
      </c>
      <c r="B52" s="3302" t="s">
        <v>1353</v>
      </c>
      <c r="C52" s="3302"/>
      <c r="D52" s="1024">
        <f ca="1">ROUND(D45*'数据-取费表'!B41/(1+'数据-取费表'!C42),0)</f>
        <v>2</v>
      </c>
      <c r="E52" s="1256" t="s">
        <v>1354</v>
      </c>
      <c r="F52" s="2337">
        <f>'数据-取费表'!B41</f>
        <v>1.575E-2</v>
      </c>
      <c r="G52" s="2338"/>
      <c r="H52" s="2328"/>
      <c r="I52" s="1669"/>
      <c r="J52" s="2307">
        <v>1</v>
      </c>
      <c r="K52" s="3367" t="s">
        <v>1355</v>
      </c>
      <c r="L52" s="3367"/>
      <c r="M52" s="2309" t="b">
        <f>D48</f>
        <v>0</v>
      </c>
      <c r="N52" s="2307" t="str">
        <f>E48</f>
        <v>销售额×税（费）率</v>
      </c>
      <c r="O52" s="2310">
        <f>F48</f>
        <v>1.575E-2</v>
      </c>
    </row>
    <row r="53" spans="1:35" ht="12" customHeight="1">
      <c r="A53" s="2152" t="s">
        <v>1356</v>
      </c>
      <c r="B53" s="3328" t="s">
        <v>2291</v>
      </c>
      <c r="C53" s="3329"/>
      <c r="D53" s="1024">
        <f ca="1">ROUND(D45*'数据-取费表'!B41/(1+'数据-取费表'!C42),0)</f>
        <v>2</v>
      </c>
      <c r="E53" s="1256" t="s">
        <v>1354</v>
      </c>
      <c r="F53" s="2337">
        <f>'数据-取费表'!B41</f>
        <v>1.575E-2</v>
      </c>
      <c r="G53" s="2338"/>
      <c r="H53" s="2328"/>
      <c r="I53" s="1669"/>
      <c r="J53" s="2307">
        <v>2</v>
      </c>
      <c r="K53" s="3367" t="s">
        <v>1357</v>
      </c>
      <c r="L53" s="3367"/>
      <c r="M53" s="2309">
        <f t="shared" ref="M53:O54" ca="1" si="0">D55</f>
        <v>0</v>
      </c>
      <c r="N53" s="2307" t="str">
        <f t="shared" si="0"/>
        <v>销售额×税（费）率</v>
      </c>
      <c r="O53" s="2310" t="str">
        <f t="shared" si="0"/>
        <v>免征</v>
      </c>
    </row>
    <row r="54" spans="1:35" ht="12" customHeight="1">
      <c r="A54" s="2152" t="s">
        <v>1358</v>
      </c>
      <c r="B54" s="3328" t="s">
        <v>2292</v>
      </c>
      <c r="C54" s="3329"/>
      <c r="D54" s="1024">
        <f ca="1">C68</f>
        <v>2</v>
      </c>
      <c r="E54" s="319" t="s">
        <v>1359</v>
      </c>
      <c r="F54" s="2337">
        <f>'数据-取费表'!B41</f>
        <v>1.575E-2</v>
      </c>
      <c r="G54" s="2338"/>
      <c r="H54" s="2339"/>
      <c r="I54" s="1669"/>
      <c r="J54" s="2307">
        <v>3</v>
      </c>
      <c r="K54" s="3367" t="s">
        <v>1360</v>
      </c>
      <c r="L54" s="3367"/>
      <c r="M54" s="2309" t="e">
        <f t="shared" ca="1" si="0"/>
        <v>#DIV/0!</v>
      </c>
      <c r="N54" s="2307" t="str">
        <f t="shared" si="0"/>
        <v>增值额×税（费）率</v>
      </c>
      <c r="O54" s="2311" t="str">
        <f t="shared" si="0"/>
        <v>免征</v>
      </c>
    </row>
    <row r="55" spans="1:35" ht="24" customHeight="1">
      <c r="A55" s="3317" t="s">
        <v>1361</v>
      </c>
      <c r="B55" s="3318"/>
      <c r="C55" s="3318"/>
      <c r="D55" s="12">
        <f ca="1">IF(H55="个人住宅",0,ROUND(D45*I55,0))</f>
        <v>0</v>
      </c>
      <c r="E55" s="1256" t="s">
        <v>1362</v>
      </c>
      <c r="F55" s="2337" t="str">
        <f>IF(H55="正常",I55,"免征")</f>
        <v>免征</v>
      </c>
      <c r="G55" s="2338"/>
      <c r="H55" s="2334"/>
      <c r="I55" s="157">
        <f>'数据-取费表'!B49</f>
        <v>5.0000000000000001E-4</v>
      </c>
      <c r="J55" s="2307">
        <f>IF(H59="非个人房产","",4)</f>
        <v>4</v>
      </c>
      <c r="K55" s="3367" t="str">
        <f>IF(H59="非个人房产","——","个人所得税")</f>
        <v>个人所得税</v>
      </c>
      <c r="L55" s="3367"/>
      <c r="M55" s="2312">
        <f ca="1">D59</f>
        <v>1</v>
      </c>
      <c r="N55" s="1882" t="str">
        <f>E59</f>
        <v>差额计税</v>
      </c>
      <c r="O55" s="2313">
        <f>F59</f>
        <v>0.01</v>
      </c>
    </row>
    <row r="56" spans="1:35" ht="25.2">
      <c r="A56" s="3317" t="s">
        <v>1363</v>
      </c>
      <c r="B56" s="3318"/>
      <c r="C56" s="3318"/>
      <c r="D56" s="12" t="e">
        <f ca="1">IF(H56="个人住宅",D57,D58)</f>
        <v>#DIV/0!</v>
      </c>
      <c r="E56" s="1256" t="s">
        <v>1364</v>
      </c>
      <c r="F56" s="2337" t="str">
        <f>IF(H56="正常",F58,"免征")</f>
        <v>免征</v>
      </c>
      <c r="G56" s="2340" t="s">
        <v>1365</v>
      </c>
      <c r="H56" s="2341"/>
      <c r="I56" s="1670"/>
      <c r="J56" s="2307" t="str">
        <f>IF(项目基本情况!K6="上海银行",IF(J55="",4,J55+1),"")</f>
        <v/>
      </c>
      <c r="K56" s="3390" t="str">
        <f>IF(项目基本情况!K6="上海银行","其他处置费用","")</f>
        <v/>
      </c>
      <c r="L56" s="3391"/>
      <c r="M56" s="2309" t="str">
        <f>IF(项目基本情况!K6="上海银行",M69,"")</f>
        <v/>
      </c>
      <c r="N56" s="3390" t="str">
        <f>IF(项目基本情况!K6="上海银行","包含处置中涉及的律师、诉讼、拍卖、评估等费用","")</f>
        <v/>
      </c>
      <c r="O56" s="3393"/>
    </row>
    <row r="57" spans="1:35" ht="13.2">
      <c r="A57" s="2152" t="s">
        <v>1341</v>
      </c>
      <c r="B57" s="3328" t="s">
        <v>1366</v>
      </c>
      <c r="C57" s="3329"/>
      <c r="D57" s="1478">
        <v>0</v>
      </c>
      <c r="E57" s="316" t="s">
        <v>1343</v>
      </c>
      <c r="F57" s="294"/>
      <c r="G57" s="2338"/>
      <c r="H57" s="2342"/>
      <c r="I57" s="1670"/>
      <c r="J57" s="3367">
        <f>IF(AND(J55="",J56=""),4,IF(项目基本情况!K6="上海银行",结果表!J56+1,结果表!J55+1))</f>
        <v>5</v>
      </c>
      <c r="K57" s="3367" t="s">
        <v>1367</v>
      </c>
      <c r="L57" s="2314" t="s">
        <v>1368</v>
      </c>
      <c r="M57" s="2315"/>
      <c r="N57" s="2316">
        <f ca="1">SUMIF(M52:M56,"&lt;9e307")</f>
        <v>1</v>
      </c>
      <c r="O57" s="2317"/>
      <c r="P57" s="2461">
        <f ca="1">N57/M49</f>
        <v>1.0099398277850606E-2</v>
      </c>
    </row>
    <row r="58" spans="1:35" ht="25.2">
      <c r="A58" s="2152" t="s">
        <v>1352</v>
      </c>
      <c r="B58" s="3328" t="s">
        <v>1369</v>
      </c>
      <c r="C58" s="3302"/>
      <c r="D58" s="12" t="e">
        <f ca="1">IF(H58="转让取得",C81,C97)</f>
        <v>#DIV/0!</v>
      </c>
      <c r="E58" s="1256" t="s">
        <v>1364</v>
      </c>
      <c r="F58" s="294" t="s">
        <v>28</v>
      </c>
      <c r="G58" s="2338"/>
      <c r="H58" s="2341"/>
      <c r="I58" s="1670"/>
      <c r="J58" s="3367"/>
      <c r="K58" s="3367"/>
      <c r="L58" s="2314" t="s">
        <v>1370</v>
      </c>
      <c r="M58" s="2318"/>
      <c r="N58" s="2319" t="str">
        <f ca="1">NUMBERSTRING(INT(N57*10000),2)&amp;"元整"</f>
        <v>壹万元整</v>
      </c>
      <c r="O58" s="2320"/>
    </row>
    <row r="59" spans="1:35" ht="24.6" thickBot="1">
      <c r="A59" s="3370" t="s">
        <v>1371</v>
      </c>
      <c r="B59" s="3371"/>
      <c r="C59" s="3371"/>
      <c r="D59" s="2343">
        <f ca="1">IF(H59="非个人房产","——",IF(H59="个人住宅（满五唯一有凭证）",0,IF(H59="个人其他（无凭证）",ROUND(D45/(1+'数据-取费表'!C42)*F59,0),ROUND(C67*F59,0))))</f>
        <v>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368">
        <f>J57+1</f>
        <v>6</v>
      </c>
      <c r="K59" s="3367" t="s">
        <v>1372</v>
      </c>
      <c r="L59" s="2307" t="s">
        <v>1368</v>
      </c>
      <c r="M59" s="2321"/>
      <c r="N59" s="2322">
        <f ca="1">M49-N57</f>
        <v>98.015799999999999</v>
      </c>
      <c r="O59" s="2323"/>
    </row>
    <row r="60" spans="1:35" ht="12" customHeight="1">
      <c r="A60" s="1671"/>
      <c r="B60" s="646"/>
      <c r="C60" s="646"/>
      <c r="D60" s="646"/>
      <c r="E60" s="1466"/>
      <c r="F60" s="1670"/>
      <c r="G60" s="1670"/>
      <c r="H60" s="151"/>
      <c r="I60" s="121"/>
      <c r="J60" s="3369"/>
      <c r="K60" s="3367"/>
      <c r="L60" s="2314" t="s">
        <v>1370</v>
      </c>
      <c r="M60" s="2318"/>
      <c r="N60" s="2319" t="str">
        <f ca="1">NUMBERSTRING(INT(N59*10000),2)&amp;"元整"</f>
        <v>玖拾捌万零壹佰伍拾捌元整</v>
      </c>
      <c r="O60" s="2320"/>
    </row>
    <row r="61" spans="1:35" ht="13.8" thickBot="1">
      <c r="A61" s="3315" t="s">
        <v>1373</v>
      </c>
      <c r="B61" s="3315"/>
      <c r="C61" s="3315"/>
      <c r="D61" s="3315"/>
      <c r="E61" s="3315"/>
      <c r="F61" s="1670"/>
      <c r="G61" s="1670"/>
      <c r="H61" s="151"/>
      <c r="I61" s="121"/>
      <c r="J61" s="2307">
        <f>J59+1</f>
        <v>7</v>
      </c>
      <c r="K61" s="3367" t="s">
        <v>1374</v>
      </c>
      <c r="L61" s="3367"/>
      <c r="M61" s="2324"/>
      <c r="N61" s="2325">
        <f ca="1">ROUND(N59*10000/'数据-汇总表'!E3,0)</f>
        <v>9219</v>
      </c>
      <c r="O61" s="2326"/>
    </row>
    <row r="62" spans="1:35" ht="13.2">
      <c r="A62" s="3333" t="s">
        <v>1375</v>
      </c>
      <c r="B62" s="3334"/>
      <c r="C62" s="1864"/>
      <c r="D62" s="1864" t="s">
        <v>1376</v>
      </c>
      <c r="E62" s="158" t="s">
        <v>1377</v>
      </c>
      <c r="F62" s="1670"/>
      <c r="G62" s="1670"/>
      <c r="H62" s="151"/>
      <c r="I62" s="121"/>
    </row>
    <row r="63" spans="1:35" ht="13.2">
      <c r="A63" s="165" t="s">
        <v>330</v>
      </c>
      <c r="B63" s="159" t="s">
        <v>1378</v>
      </c>
      <c r="C63" s="2347">
        <f ca="1">ROUND((C64+C65)/(1+'数据-取费表'!C42),0)</f>
        <v>98</v>
      </c>
      <c r="D63" s="159"/>
      <c r="E63" s="160"/>
      <c r="F63" s="1670"/>
      <c r="G63" s="1670"/>
      <c r="H63" s="151"/>
      <c r="I63" s="121"/>
      <c r="J63" s="3392" t="s">
        <v>1379</v>
      </c>
      <c r="K63" s="1245" t="s">
        <v>1380</v>
      </c>
      <c r="L63" s="1245">
        <f ca="1">IF(M49&gt;10000,M49*0.5%,IF(AND(M49&gt;1000,M49&lt;=10000),M49*1%,IF(AND(M49&gt;100,M49&lt;=1000),M49*3%,IF(AND(M49&gt;10,M49&lt;=100),M49*5%,M49*8%))))</f>
        <v>4.9507900000000005</v>
      </c>
      <c r="M63" s="294">
        <f ca="1">ROUND(L63,1)</f>
        <v>5</v>
      </c>
      <c r="N63" s="2327"/>
      <c r="Z63" s="1623"/>
      <c r="AI63" s="1561"/>
    </row>
    <row r="64" spans="1:35" ht="14.25" customHeight="1">
      <c r="A64" s="161" t="s">
        <v>325</v>
      </c>
      <c r="B64" s="162" t="s">
        <v>1381</v>
      </c>
      <c r="C64" s="2348">
        <f ca="1">D45</f>
        <v>99</v>
      </c>
      <c r="D64" s="162" t="s">
        <v>26</v>
      </c>
      <c r="E64" s="164"/>
      <c r="F64" s="1670"/>
      <c r="G64" s="1670"/>
      <c r="H64" s="151"/>
      <c r="I64" s="121"/>
      <c r="J64" s="3392"/>
      <c r="K64" s="1245" t="s">
        <v>1382</v>
      </c>
      <c r="L64" s="1245">
        <f ca="1">IF(M49&gt;2000,M49*0.5%,IF(AND(M49&gt;1000,M49&lt;=2000),M49*0.6%,IF(AND(M49&gt;500,M49&lt;=1000),M49*0.7%,IF(AND(M49&gt;200,M49&lt;=500),M49*0.8%,IF(AND(M49&gt;100,M49&lt;=200),M49*0.9%,IF(AND(M49&gt;50,M49&lt;=100),M49*1%,IF(AND(M49&gt;20,M49&lt;=50),M49*1.5%,IF(AND(M49&gt;10,M49&lt;=20),M49*2%,IF(AND(M49&gt;1,M49&lt;=10),M49*2.5%)))))))))</f>
        <v>0.99015799999999998</v>
      </c>
      <c r="M64" s="294">
        <f t="shared" ref="M64:M65" ca="1" si="1">ROUND(L64,1)</f>
        <v>1</v>
      </c>
      <c r="N64" s="2328" t="s">
        <v>1383</v>
      </c>
      <c r="Z64" s="1623"/>
      <c r="AI64" s="1561"/>
    </row>
    <row r="65" spans="1:35" ht="14.25" customHeight="1">
      <c r="A65" s="161" t="s">
        <v>326</v>
      </c>
      <c r="B65" s="162" t="s">
        <v>1384</v>
      </c>
      <c r="C65" s="2349"/>
      <c r="D65" s="162"/>
      <c r="E65" s="164"/>
      <c r="F65" s="1670"/>
      <c r="G65" s="1670"/>
      <c r="H65" s="151"/>
      <c r="I65" s="121"/>
      <c r="J65" s="3392"/>
      <c r="K65" s="1245" t="s">
        <v>1385</v>
      </c>
      <c r="L65" s="1245">
        <f ca="1">IF(M49&gt;1000,M49*0.1%,IF(AND(M49&gt;500,M49&lt;=1000),M49*0.5%,IF(AND(M49&gt;50,M49&lt;=500),M49*1%,IF(AND(M49&gt;1,M49&lt;=50),M49*1.5%))))</f>
        <v>0.99015799999999998</v>
      </c>
      <c r="M65" s="294">
        <f t="shared" ca="1" si="1"/>
        <v>1</v>
      </c>
      <c r="N65" s="2328" t="s">
        <v>1383</v>
      </c>
      <c r="Z65" s="1623"/>
      <c r="AI65" s="1561"/>
    </row>
    <row r="66" spans="1:35" ht="14.25" customHeight="1">
      <c r="A66" s="165" t="s">
        <v>327</v>
      </c>
      <c r="B66" s="166" t="s">
        <v>1386</v>
      </c>
      <c r="C66" s="2350"/>
      <c r="D66" s="166" t="s">
        <v>26</v>
      </c>
      <c r="E66" s="1251" t="s">
        <v>671</v>
      </c>
      <c r="F66" s="1670"/>
      <c r="G66" s="1670"/>
      <c r="H66" s="151"/>
      <c r="I66" s="121"/>
      <c r="J66" s="3392"/>
      <c r="K66" s="1245" t="s">
        <v>1387</v>
      </c>
      <c r="L66" s="1245">
        <f ca="1">M49*0.5%</f>
        <v>0.49507899999999999</v>
      </c>
      <c r="M66" s="294">
        <f ca="1">IF(L66&gt;0.5,0.5,ROUND(L66,0))</f>
        <v>0</v>
      </c>
      <c r="N66" s="2328" t="s">
        <v>1388</v>
      </c>
      <c r="Z66" s="1623"/>
      <c r="AI66" s="1561"/>
    </row>
    <row r="67" spans="1:35" ht="14.25" customHeight="1">
      <c r="A67" s="165" t="s">
        <v>328</v>
      </c>
      <c r="B67" s="166" t="s">
        <v>1389</v>
      </c>
      <c r="C67" s="2351">
        <f ca="1">C63-C66</f>
        <v>98</v>
      </c>
      <c r="D67" s="162" t="s">
        <v>26</v>
      </c>
      <c r="E67" s="164"/>
      <c r="F67" s="1670"/>
      <c r="G67" s="1670"/>
      <c r="H67" s="151"/>
      <c r="I67" s="121"/>
      <c r="J67" s="3392"/>
      <c r="K67" s="1245" t="s">
        <v>1390</v>
      </c>
      <c r="L67" s="1245">
        <f ca="1">IF(M49&gt;=10000,(8.25+(M49-10000)*0.01%),IF(AND(M49&gt;=8000,M49&lt;10000),(7.85+(M49-8000)*0.02%),IF(AND(M49&gt;=5000,M49&lt;8000),(6.65+(M49-5000)*0.04%),IF(AND(M49&gt;=2000,M49&lt;5000),(4.25+(PM49-2000)*0.08%),IF(AND(M49&gt;=1000,M49&lt;2000),(2.75+(M49-1000)*0.15%),IF(AND(M49&gt;=100,M49&lt;1000),(0.5+(M49-100)*0.25%),IF(AND(M49&gt;0,M49&lt;100),M49*0.5%)))))))</f>
        <v>0.49507899999999999</v>
      </c>
      <c r="M67" s="294">
        <f ca="1">ROUND(L67*0.9,1)</f>
        <v>0.4</v>
      </c>
      <c r="N67" s="2327"/>
      <c r="Z67" s="1623"/>
      <c r="AI67" s="1561"/>
    </row>
    <row r="68" spans="1:35" ht="14.25" customHeight="1" thickBot="1">
      <c r="A68" s="168" t="s">
        <v>329</v>
      </c>
      <c r="B68" s="169" t="s">
        <v>1391</v>
      </c>
      <c r="C68" s="2352">
        <f ca="1">IF(C67&lt;=0,0,ROUND(C67*D68,0))</f>
        <v>2</v>
      </c>
      <c r="D68" s="2353">
        <f>'数据-取费表'!B41</f>
        <v>1.575E-2</v>
      </c>
      <c r="E68" s="170"/>
      <c r="F68" s="1670"/>
      <c r="G68" s="1670"/>
      <c r="H68" s="151"/>
      <c r="I68" s="121"/>
      <c r="J68" s="3392"/>
      <c r="K68" s="1245" t="s">
        <v>1392</v>
      </c>
      <c r="L68" s="1245">
        <f ca="1">IF(M49&gt;10000,M49*0.5%,IF(AND(M49&gt;5000,M49&lt;=10000),M49*1%,IF(AND(M49&gt;1000,M49&lt;=5000),M49*2%,IF(AND(M49&gt;200,M49&lt;=1000),M49*3%,M49*5%))))</f>
        <v>4.9507900000000005</v>
      </c>
      <c r="M68" s="294">
        <f ca="1">ROUND(L68,1)</f>
        <v>5</v>
      </c>
      <c r="N68" s="2327"/>
      <c r="Z68" s="1623"/>
      <c r="AI68" s="1561"/>
    </row>
    <row r="69" spans="1:35" ht="16.5" customHeight="1">
      <c r="A69" s="1672"/>
      <c r="B69" s="1673"/>
      <c r="C69" s="1674"/>
      <c r="D69" s="1675"/>
      <c r="E69" s="1676"/>
      <c r="F69" s="1466"/>
      <c r="G69" s="1466"/>
      <c r="H69" s="1467"/>
      <c r="I69" s="646"/>
      <c r="J69" s="3392"/>
      <c r="K69" s="1245" t="s">
        <v>1393</v>
      </c>
      <c r="L69" s="1245"/>
      <c r="M69" s="294">
        <f ca="1">ROUND(SUM(M63:M68),0)</f>
        <v>12</v>
      </c>
      <c r="N69" s="2329">
        <f ca="1">M69/M49</f>
        <v>0.12119277933420727</v>
      </c>
      <c r="Z69" s="1623"/>
      <c r="AI69" s="1561"/>
    </row>
    <row r="70" spans="1:35" s="642" customFormat="1" ht="14.4" thickBot="1">
      <c r="A70" s="3354" t="s">
        <v>1394</v>
      </c>
      <c r="B70" s="3355"/>
      <c r="C70" s="3355"/>
      <c r="D70" s="3355"/>
      <c r="E70" s="3355"/>
      <c r="F70" s="3355"/>
      <c r="G70" s="3355"/>
      <c r="H70" s="335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3" t="s">
        <v>1375</v>
      </c>
      <c r="B71" s="3334"/>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98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8" t="s">
        <v>1402</v>
      </c>
      <c r="F76" s="3302"/>
      <c r="G76" s="3302"/>
      <c r="H76" s="335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0</v>
      </c>
      <c r="D78" s="2360">
        <f>'数据-取费表'!B43</f>
        <v>7.5000000000000002E-4</v>
      </c>
      <c r="E78" s="3312" t="s">
        <v>1406</v>
      </c>
      <c r="F78" s="3313"/>
      <c r="G78" s="3313"/>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#DIV/0!</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4" t="s">
        <v>1410</v>
      </c>
      <c r="B83" s="3355"/>
      <c r="C83" s="3355"/>
      <c r="D83" s="3355"/>
      <c r="E83" s="3355"/>
      <c r="F83" s="3355"/>
      <c r="G83" s="3355"/>
      <c r="H83" s="335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3" t="s">
        <v>1375</v>
      </c>
      <c r="B84" s="3334"/>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98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0</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394" t="s">
        <v>2129</v>
      </c>
      <c r="H90" s="3395"/>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2" t="s">
        <v>1422</v>
      </c>
      <c r="F92" s="3313"/>
      <c r="G92" s="3313"/>
      <c r="H92" s="3322"/>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0</v>
      </c>
      <c r="D93" s="2360">
        <f>'数据-取费表'!B43</f>
        <v>7.5000000000000002E-4</v>
      </c>
      <c r="E93" s="3312" t="s">
        <v>1406</v>
      </c>
      <c r="F93" s="3313"/>
      <c r="G93" s="3313"/>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23" t="s">
        <v>1426</v>
      </c>
      <c r="F94" s="3324"/>
      <c r="G94" s="3324"/>
      <c r="H94" s="33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#DIV/0!</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6" t="s">
        <v>1428</v>
      </c>
      <c r="B100" s="3297"/>
      <c r="C100" s="3297"/>
      <c r="D100" s="3314"/>
      <c r="E100" s="3297" t="s">
        <v>1429</v>
      </c>
      <c r="F100" s="3297"/>
      <c r="G100" s="3297"/>
      <c r="H100" s="3314"/>
      <c r="I100" s="121"/>
    </row>
    <row r="101" spans="1:35" ht="18.75" customHeight="1">
      <c r="A101" s="3375" t="s">
        <v>1430</v>
      </c>
      <c r="B101" s="3376"/>
      <c r="C101" s="2368" t="str">
        <f>C4</f>
        <v>比较法-住宅</v>
      </c>
      <c r="D101" s="2369" t="str">
        <f>D4</f>
        <v>收益法 (元)</v>
      </c>
      <c r="E101" s="3389" t="s">
        <v>1431</v>
      </c>
      <c r="F101" s="3346"/>
      <c r="G101" s="1687" t="s">
        <v>1432</v>
      </c>
      <c r="H101" s="2378">
        <f ca="1">H118</f>
        <v>99.015799999999999</v>
      </c>
      <c r="I101" s="121"/>
    </row>
    <row r="102" spans="1:35" ht="18.75" customHeight="1">
      <c r="A102" s="3348" t="s">
        <v>1433</v>
      </c>
      <c r="B102" s="2367" t="s">
        <v>1432</v>
      </c>
      <c r="C102" s="2368">
        <f ca="1">IF(D32="楼面单价",ROUND(C19,0),C19)</f>
        <v>118</v>
      </c>
      <c r="D102" s="2369">
        <f ca="1">IF(D32="楼面单价",ROUND(D19,0),D19)</f>
        <v>55</v>
      </c>
      <c r="E102" s="3389"/>
      <c r="F102" s="3346"/>
      <c r="G102" s="1687" t="s">
        <v>1434</v>
      </c>
      <c r="H102" s="2338">
        <f ca="1">I118</f>
        <v>9313</v>
      </c>
      <c r="I102" s="121"/>
    </row>
    <row r="103" spans="1:35" ht="42.75" customHeight="1">
      <c r="A103" s="3348"/>
      <c r="B103" s="2367" t="s">
        <v>1434</v>
      </c>
      <c r="C103" s="2370">
        <f ca="1">C20</f>
        <v>11090</v>
      </c>
      <c r="D103" s="2371">
        <f ca="1">D20</f>
        <v>5167</v>
      </c>
      <c r="E103" s="3383" t="s">
        <v>1435</v>
      </c>
      <c r="F103" s="3384"/>
      <c r="G103" s="1688" t="s">
        <v>1436</v>
      </c>
      <c r="H103" s="2378">
        <f>IF(D36="正常操作",H104+H105+H106,H105+H106)</f>
        <v>0</v>
      </c>
      <c r="I103" s="121"/>
    </row>
    <row r="104" spans="1:35" ht="18.75" customHeight="1">
      <c r="A104" s="3348" t="s">
        <v>1437</v>
      </c>
      <c r="B104" s="2372" t="s">
        <v>1432</v>
      </c>
      <c r="C104" s="2373">
        <f ca="1">H118</f>
        <v>99.015799999999999</v>
      </c>
      <c r="D104" s="2374"/>
      <c r="E104" s="1555" t="s">
        <v>1438</v>
      </c>
      <c r="F104" s="1548"/>
      <c r="G104" s="1688" t="s">
        <v>1436</v>
      </c>
      <c r="H104" s="2379">
        <f>IF(D36="同一抵押权人同一抵押物续贷",C36&amp;"（续贷，未扣减，详见特别提示）",C36)</f>
        <v>0</v>
      </c>
      <c r="I104" s="121"/>
    </row>
    <row r="105" spans="1:35" ht="18.75" customHeight="1" thickBot="1">
      <c r="A105" s="3349"/>
      <c r="B105" s="2375" t="s">
        <v>1434</v>
      </c>
      <c r="C105" s="2376">
        <f ca="1">I118</f>
        <v>9313</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45" t="str">
        <f>IF(项目基本情况!E8="已注销","——","3.房地产抵押价值")</f>
        <v>3.房地产抵押价值</v>
      </c>
      <c r="F107" s="3346"/>
      <c r="G107" s="1687" t="s">
        <v>1432</v>
      </c>
      <c r="H107" s="2378">
        <f ca="1">IF(E107="——","——",H101-H103)</f>
        <v>99.015799999999999</v>
      </c>
      <c r="I107" s="121"/>
    </row>
    <row r="108" spans="1:35" ht="18.75" customHeight="1">
      <c r="A108" s="121"/>
      <c r="B108" s="121"/>
      <c r="C108" s="121"/>
      <c r="D108" s="121"/>
      <c r="E108" s="3345"/>
      <c r="F108" s="3346"/>
      <c r="G108" s="1687" t="s">
        <v>1434</v>
      </c>
      <c r="H108" s="2338">
        <f ca="1">IF(H107=H101,H102,ROUND(H107*10000/'数据-汇总表'!E3,0))</f>
        <v>9313</v>
      </c>
      <c r="I108" s="121"/>
    </row>
    <row r="109" spans="1:35" ht="18.75" customHeight="1">
      <c r="A109" s="121"/>
      <c r="B109" s="121"/>
      <c r="C109" s="121"/>
      <c r="D109" s="121"/>
      <c r="E109" s="3345" t="str">
        <f>IF(项目基本情况!E8="已注销及未注销","4.抵押担保权已注销时的房地产抵押价值",IF(项目基本情况!E8="已注销","3.抵押担保权已注销时的房地产抵押价值","——"))</f>
        <v>——</v>
      </c>
      <c r="F109" s="3346"/>
      <c r="G109" s="1687" t="s">
        <v>1432</v>
      </c>
      <c r="H109" s="2381" t="str">
        <f>IF(E109="——","——",H101-H105-H106)</f>
        <v>——</v>
      </c>
      <c r="I109" s="121"/>
    </row>
    <row r="110" spans="1:35" ht="18.75" customHeight="1">
      <c r="A110" s="121"/>
      <c r="B110" s="121"/>
      <c r="C110" s="121"/>
      <c r="D110" s="121"/>
      <c r="E110" s="3345"/>
      <c r="F110" s="3346"/>
      <c r="G110" s="1687" t="s">
        <v>1434</v>
      </c>
      <c r="H110" s="2338" t="str">
        <f>IF(H109="——","——",ROUND(H109*10000/'数据-汇总表'!E3,0))</f>
        <v>——</v>
      </c>
      <c r="I110" s="121"/>
    </row>
    <row r="111" spans="1:35" ht="18.75" customHeight="1">
      <c r="A111" s="121"/>
      <c r="B111" s="121"/>
      <c r="C111" s="121"/>
      <c r="D111" s="121"/>
      <c r="E111" s="3377" t="str">
        <f>IF(项目基本情况!E9="抵押净值",IF(OR(项目基本情况!E8="已注销",项目基本情况!E8="房地产抵押价值"),"4.抵押净值","5.抵押净值"),"——")</f>
        <v>——</v>
      </c>
      <c r="F111" s="3347"/>
      <c r="G111" s="1687" t="s">
        <v>1432</v>
      </c>
      <c r="H111" s="2378" t="str">
        <f>IF(E111="——","——",N59)</f>
        <v>——</v>
      </c>
      <c r="I111" s="121"/>
    </row>
    <row r="112" spans="1:35" ht="18.75" customHeight="1" thickBot="1">
      <c r="A112" s="121"/>
      <c r="B112" s="121"/>
      <c r="C112" s="121"/>
      <c r="D112" s="121"/>
      <c r="E112" s="3378"/>
      <c r="F112" s="3379"/>
      <c r="G112" s="1690" t="s">
        <v>1434</v>
      </c>
      <c r="H112" s="2382" t="str">
        <f>IF(E111="——","——",N61)</f>
        <v>——</v>
      </c>
      <c r="I112" s="121"/>
    </row>
    <row r="113" spans="1:27" ht="18.75" customHeight="1">
      <c r="A113" s="121"/>
      <c r="B113" s="121"/>
      <c r="C113" s="121"/>
      <c r="D113" s="121"/>
      <c r="E113" s="3350" t="s">
        <v>1440</v>
      </c>
      <c r="F113" s="3350"/>
      <c r="G113" s="3350"/>
      <c r="H113" s="3350"/>
      <c r="I113" s="121"/>
    </row>
    <row r="114" spans="1:27" ht="3.75" customHeight="1">
      <c r="A114" s="646"/>
      <c r="B114" s="646"/>
      <c r="C114" s="646"/>
      <c r="D114" s="646"/>
      <c r="E114" s="1671"/>
      <c r="F114" s="1671"/>
      <c r="G114" s="1671"/>
      <c r="H114" s="1671"/>
      <c r="I114" s="646"/>
    </row>
    <row r="115" spans="1:27" ht="18.75" customHeight="1">
      <c r="A115" s="3360" t="s">
        <v>1442</v>
      </c>
      <c r="B115" s="3361"/>
      <c r="C115" s="3361"/>
      <c r="D115" s="3361"/>
      <c r="E115" s="3361"/>
      <c r="F115" s="3361"/>
      <c r="G115" s="3361"/>
      <c r="H115" s="3361"/>
      <c r="I115" s="3362"/>
    </row>
    <row r="116" spans="1:27" ht="27" customHeight="1">
      <c r="A116" s="3316" t="s">
        <v>1443</v>
      </c>
      <c r="B116" s="3351" t="s">
        <v>1444</v>
      </c>
      <c r="C116" s="3351" t="s">
        <v>1445</v>
      </c>
      <c r="D116" s="3364" t="s">
        <v>1446</v>
      </c>
      <c r="E116" s="3365"/>
      <c r="F116" s="3359" t="s">
        <v>1447</v>
      </c>
      <c r="G116" s="3359"/>
      <c r="H116" s="3316" t="s">
        <v>1448</v>
      </c>
      <c r="I116" s="3316"/>
    </row>
    <row r="117" spans="1:27" ht="18.75" customHeight="1">
      <c r="A117" s="3316"/>
      <c r="B117" s="3352"/>
      <c r="C117" s="3352"/>
      <c r="D117" s="2149" t="s">
        <v>1449</v>
      </c>
      <c r="E117" s="2149" t="s">
        <v>1450</v>
      </c>
      <c r="F117" s="2149" t="s">
        <v>1449</v>
      </c>
      <c r="G117" s="2149" t="s">
        <v>1451</v>
      </c>
      <c r="H117" s="2149" t="s">
        <v>1449</v>
      </c>
      <c r="I117" s="2149" t="s">
        <v>1451</v>
      </c>
    </row>
    <row r="118" spans="1:27" ht="24.75" customHeight="1">
      <c r="A118" s="2383" t="str">
        <f>项目基本情况!S2</f>
        <v>福建省宁德市霞浦县松港街道赤岸大道33号中茵外滩1号（二期）11号楼201室房地产</v>
      </c>
      <c r="B118" s="2149">
        <f>M18</f>
        <v>106.32</v>
      </c>
      <c r="C118" s="2149">
        <f>M19</f>
        <v>19.66</v>
      </c>
      <c r="D118" s="2149">
        <f>ROUND(IF(D32="总价",C34,E118*B118/10000),0)</f>
        <v>0</v>
      </c>
      <c r="E118" s="2149">
        <f>ROUND(IF(C33="自定义",IF(D32="楼面单价",C34,D118*10000/B118),I118-G118),0)</f>
        <v>0</v>
      </c>
      <c r="F118" s="2149">
        <f>ROUND(IF(D32="总价",C35,G118*B118/10000),0)</f>
        <v>0</v>
      </c>
      <c r="G118" s="2149">
        <f>ROUND(IF(D32="楼面单价",C35,F118*10000/B118),0)</f>
        <v>0</v>
      </c>
      <c r="H118" s="3212">
        <f ca="1">ROUND(IF(D32="总价",C32,I118*B118/10000),4)</f>
        <v>99.015799999999999</v>
      </c>
      <c r="I118" s="2149">
        <f ca="1">ROUND(IF(D32="楼面单价",C32,H118*10000/B118),0)</f>
        <v>9313</v>
      </c>
    </row>
    <row r="119" spans="1:27" ht="18.75" customHeight="1">
      <c r="A119" s="3316" t="s">
        <v>1452</v>
      </c>
      <c r="B119" s="3316"/>
      <c r="C119" s="3316"/>
      <c r="D119" s="3356" t="str">
        <f>NUMBERSTRING(INT(D118*10000),2)&amp;"元整"</f>
        <v>零元整</v>
      </c>
      <c r="E119" s="3358"/>
      <c r="F119" s="3356" t="str">
        <f>NUMBERSTRING(INT(F118*10000),2)&amp;"元整"</f>
        <v>零元整</v>
      </c>
      <c r="G119" s="3358"/>
      <c r="H119" s="3356" t="str">
        <f ca="1">NUMBERSTRING(INT(H118*10000),2)&amp;"元整"</f>
        <v>玖拾玖万零壹佰伍拾捌元整</v>
      </c>
      <c r="I119" s="3358"/>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6" t="s">
        <v>1452</v>
      </c>
      <c r="B121" s="3357"/>
      <c r="C121" s="3358"/>
      <c r="D121" s="3356" t="str">
        <f>IF(D120=0,"零元整",NUMBERSTRING(INT(D120*10000),2)&amp;"元整")</f>
        <v>零元整</v>
      </c>
      <c r="E121" s="3357"/>
      <c r="F121" s="3357"/>
      <c r="G121" s="3357"/>
      <c r="H121" s="3357"/>
      <c r="I121" s="3358"/>
      <c r="AA121" s="684"/>
    </row>
    <row r="122" spans="1:27" ht="18.75" customHeight="1">
      <c r="A122" s="3347" t="str">
        <f>IF(项目基本情况!B9="房地产市场价值","",MID(E107,3,LEN(E107)-2))</f>
        <v>房地产抵押价值</v>
      </c>
      <c r="B122" s="3347"/>
      <c r="C122" s="3347"/>
      <c r="D122" s="3380">
        <f ca="1">H107</f>
        <v>99.015799999999999</v>
      </c>
      <c r="E122" s="3381"/>
      <c r="F122" s="3381"/>
      <c r="G122" s="3381"/>
      <c r="H122" s="3381"/>
      <c r="I122" s="3382"/>
      <c r="AA122" s="684"/>
    </row>
    <row r="123" spans="1:27" ht="18.75" customHeight="1">
      <c r="A123" s="3316" t="s">
        <v>1452</v>
      </c>
      <c r="B123" s="3316"/>
      <c r="C123" s="3316"/>
      <c r="D123" s="3356" t="str">
        <f ca="1">NUMBERSTRING(INT(D122*10000),2)&amp;"元整"</f>
        <v>玖拾玖万零壹佰伍拾捌元整</v>
      </c>
      <c r="E123" s="3357"/>
      <c r="F123" s="3357"/>
      <c r="G123" s="3357"/>
      <c r="H123" s="3357"/>
      <c r="I123" s="3358"/>
      <c r="AA123" s="684"/>
    </row>
    <row r="124" spans="1:27" ht="18.75" customHeight="1">
      <c r="A124" s="3347" t="str">
        <f>IF(项目基本情况!B9="房地产市场价值","",MID(E109,3,LEN(E109)-2))</f>
        <v/>
      </c>
      <c r="B124" s="3347"/>
      <c r="C124" s="3347"/>
      <c r="D124" s="3380" t="str">
        <f>H109</f>
        <v>——</v>
      </c>
      <c r="E124" s="3381"/>
      <c r="F124" s="3381"/>
      <c r="G124" s="3381"/>
      <c r="H124" s="3381"/>
      <c r="I124" s="3382"/>
      <c r="AA124" s="684"/>
    </row>
    <row r="125" spans="1:27" ht="18.75" customHeight="1">
      <c r="A125" s="3316" t="s">
        <v>1452</v>
      </c>
      <c r="B125" s="3316"/>
      <c r="C125" s="3316"/>
      <c r="D125" s="3356" t="e">
        <f>NUMBERSTRING(INT(D124*10000),2)&amp;"元整"</f>
        <v>#VALUE!</v>
      </c>
      <c r="E125" s="3357"/>
      <c r="F125" s="3357"/>
      <c r="G125" s="3357"/>
      <c r="H125" s="3357"/>
      <c r="I125" s="3358"/>
      <c r="AA125" s="684"/>
    </row>
    <row r="126" spans="1:27" ht="18.75" customHeight="1">
      <c r="A126" s="3347" t="str">
        <f>IF(项目基本情况!B9="房地产市场价值","",MID(E111,3,LEN(E111)-2))</f>
        <v/>
      </c>
      <c r="B126" s="3347"/>
      <c r="C126" s="3347"/>
      <c r="D126" s="3380" t="str">
        <f>H111</f>
        <v>——</v>
      </c>
      <c r="E126" s="3381"/>
      <c r="F126" s="3381"/>
      <c r="G126" s="3381"/>
      <c r="H126" s="3381"/>
      <c r="I126" s="3382"/>
      <c r="AA126" s="684"/>
    </row>
    <row r="127" spans="1:27" ht="18.75" customHeight="1">
      <c r="A127" s="3316" t="s">
        <v>1452</v>
      </c>
      <c r="B127" s="3316"/>
      <c r="C127" s="3316"/>
      <c r="D127" s="3356" t="e">
        <f>NUMBERSTRING(INT(D126*10000),2)&amp;"元整"</f>
        <v>#VALUE!</v>
      </c>
      <c r="E127" s="3357"/>
      <c r="F127" s="3357"/>
      <c r="G127" s="3357"/>
      <c r="H127" s="3357"/>
      <c r="I127" s="3358"/>
      <c r="AA127" s="684"/>
    </row>
    <row r="128" spans="1:27" ht="21.75" customHeight="1">
      <c r="A128" s="3363" t="s">
        <v>1453</v>
      </c>
      <c r="B128" s="3363"/>
      <c r="C128" s="3363"/>
      <c r="D128" s="3363"/>
      <c r="E128" s="3363"/>
      <c r="F128" s="3363"/>
      <c r="G128" s="3363"/>
      <c r="H128" s="3363"/>
      <c r="I128" s="336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fL0UTG57hzStzcW2rM7+oYmaoTz4NFJwau8kjd6pwIVQYGItzX1plCX7U8JdGSsdOSGE9P352tRJsYTOpUkaQ==" saltValue="gmHCID3gWBGHpZ5jsy5XV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3292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106.32</v>
      </c>
      <c r="E9" s="217">
        <f>'数据-取费表'!B27</f>
        <v>20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106.32</v>
      </c>
      <c r="E19" s="203">
        <f>'数据-取费表'!B31</f>
        <v>120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1.55E-2</v>
      </c>
      <c r="D30" s="228" t="s">
        <v>1514</v>
      </c>
      <c r="E30" s="233"/>
      <c r="F30" s="229">
        <f>'数据-取费表'!B41</f>
        <v>1.575E-2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106.32</v>
      </c>
      <c r="E37" s="241">
        <f>'数据-取费表'!B35</f>
        <v>120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96" t="s">
        <v>1544</v>
      </c>
    </row>
    <row r="43" spans="1:7" ht="13.5" customHeight="1">
      <c r="A43" s="734" t="s">
        <v>347</v>
      </c>
      <c r="B43" s="207" t="s">
        <v>1545</v>
      </c>
      <c r="C43" s="230">
        <f ca="1">ROUND(IF('数据-取费表'!B22&lt;=1,C39*F22*'数据-取费表'!B21/2,C39*(POWER((1+F22),'数据-取费表'!B21/2)-1)),0)</f>
        <v>0</v>
      </c>
      <c r="D43" s="230"/>
      <c r="E43" s="230"/>
      <c r="F43" s="231"/>
      <c r="G43" s="3397"/>
    </row>
    <row r="44" spans="1:7" ht="13.5" customHeight="1">
      <c r="A44" s="734" t="s">
        <v>348</v>
      </c>
      <c r="B44" s="207" t="s">
        <v>1546</v>
      </c>
      <c r="C44" s="230">
        <f ca="1">ROUND(IF('数据-取费表'!B22&lt;=1,C40*F22*'数据-取费表'!B21/2,C40*(POWER((1+F22),'数据-取费表'!B21/2)-1)),4)</f>
        <v>8.9999999999999998E-4</v>
      </c>
      <c r="D44" s="230"/>
      <c r="E44" s="230"/>
      <c r="F44" s="231"/>
      <c r="G44" s="3398"/>
    </row>
    <row r="45" spans="1:7" s="206" customFormat="1" ht="13.5" customHeight="1">
      <c r="A45" s="247" t="s">
        <v>1547</v>
      </c>
      <c r="B45" s="236" t="s">
        <v>1513</v>
      </c>
      <c r="C45" s="237">
        <f ca="1">C46</f>
        <v>3</v>
      </c>
      <c r="D45" s="227">
        <f ca="1">C47</f>
        <v>3.0000000000000001E-3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1.55E-2</v>
      </c>
      <c r="D48" s="228" t="s">
        <v>1539</v>
      </c>
      <c r="E48" s="224"/>
      <c r="F48" s="229">
        <f>F30</f>
        <v>1.575E-2</v>
      </c>
      <c r="G48" s="226" t="s">
        <v>1552</v>
      </c>
    </row>
    <row r="49" spans="1:7" ht="16.5" customHeight="1">
      <c r="A49" s="247" t="s">
        <v>1518</v>
      </c>
      <c r="B49" s="202" t="s">
        <v>1553</v>
      </c>
      <c r="C49" s="224">
        <f ca="1">ROUND((C33+C39+C41+C45)/(1-C40-D41-D45-C48),0)</f>
        <v>37</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34</v>
      </c>
      <c r="D51" s="224"/>
      <c r="E51" s="224"/>
      <c r="F51" s="256"/>
      <c r="G51" s="226" t="s">
        <v>1560</v>
      </c>
    </row>
    <row r="52" spans="1:7" s="200" customFormat="1" ht="16.8" thickBot="1">
      <c r="A52" s="257" t="s">
        <v>1561</v>
      </c>
      <c r="B52" s="258"/>
      <c r="C52" s="259">
        <f ca="1">C31+C51</f>
        <v>35</v>
      </c>
      <c r="D52" s="258"/>
      <c r="E52" s="258"/>
      <c r="F52" s="258"/>
      <c r="G52" s="260"/>
    </row>
    <row r="55" spans="1:7" ht="15">
      <c r="B55" s="262" t="s">
        <v>1562</v>
      </c>
      <c r="C55" s="263"/>
    </row>
    <row r="56" spans="1:7">
      <c r="B56" s="265" t="s">
        <v>802</v>
      </c>
      <c r="C56" s="267">
        <f ca="1">1-C57</f>
        <v>2.9000000000000026E-2</v>
      </c>
    </row>
    <row r="57" spans="1:7">
      <c r="B57" s="265" t="s">
        <v>803</v>
      </c>
      <c r="C57" s="266">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4" t="str">
        <f>项目基本情况!B1</f>
        <v>福建省宁德市霞浦县松港街道赤岸大道33号中茵外滩1号（二期）11号楼201室房地产抵押价值预评估</v>
      </c>
      <c r="C37" s="3214"/>
      <c r="D37" s="3214"/>
      <c r="E37" s="3214"/>
      <c r="F37" s="3214"/>
      <c r="G37" s="3214"/>
      <c r="H37" s="3214"/>
      <c r="I37" s="321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35.1982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3311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2126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2126</v>
      </c>
      <c r="D8" s="214"/>
      <c r="E8" s="212"/>
      <c r="F8" s="213"/>
      <c r="G8" s="1714"/>
    </row>
    <row r="9" spans="1:8" s="206" customFormat="1" ht="13.5" customHeight="1">
      <c r="A9" s="733" t="s">
        <v>355</v>
      </c>
      <c r="B9" s="216" t="s">
        <v>1478</v>
      </c>
      <c r="C9" s="217">
        <f ca="1">ROUND(D9*E9,0)</f>
        <v>2126</v>
      </c>
      <c r="D9" s="795">
        <f ca="1">IF(B1="",'数据-汇总表'!E5,IF(INDIRECT("'数据-取费表'!c"&amp;$G$1)="住宅",INDIRECT("'数据-取费表'!k"&amp;$G$1),0))</f>
        <v>106.32</v>
      </c>
      <c r="E9" s="217">
        <f>'数据-取费表'!B27</f>
        <v>20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12758</v>
      </c>
      <c r="D19" s="204">
        <f ca="1">D9+D10</f>
        <v>106.32</v>
      </c>
      <c r="E19" s="203">
        <f>'数据-取费表'!B31</f>
        <v>120</v>
      </c>
      <c r="F19" s="223"/>
      <c r="G19" s="1714"/>
    </row>
    <row r="20" spans="1:7" s="206" customFormat="1" ht="13.5" customHeight="1">
      <c r="A20" s="247" t="s">
        <v>1574</v>
      </c>
      <c r="B20" s="202" t="s">
        <v>1575</v>
      </c>
      <c r="C20" s="224">
        <f ca="1">ROUND((C5+C19)*F20,0)</f>
        <v>298</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955</v>
      </c>
      <c r="D22" s="227">
        <f ca="1">C26</f>
        <v>8.9999999999999998E-4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811</v>
      </c>
      <c r="D24" s="230"/>
      <c r="E24" s="230"/>
      <c r="F24" s="231"/>
      <c r="G24" s="232" t="s">
        <v>1586</v>
      </c>
    </row>
    <row r="25" spans="1:7" s="206" customFormat="1" ht="24">
      <c r="A25" s="734" t="s">
        <v>1476</v>
      </c>
      <c r="B25" s="207" t="s">
        <v>1587</v>
      </c>
      <c r="C25" s="230">
        <f ca="1">ROUND(IF('数据-取费表'!B22&lt;=1,C20*F22*'数据-取费表'!B22/2,C20*(POWER((1+F22),'数据-取费表'!B22/2)-1)),0)</f>
        <v>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1518</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1518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1.55E-2</v>
      </c>
      <c r="D30" s="228" t="s">
        <v>1514</v>
      </c>
      <c r="E30" s="233"/>
      <c r="F30" s="229">
        <f>'数据-取费表'!B41</f>
        <v>1.575E-2</v>
      </c>
      <c r="G30" s="226" t="s">
        <v>1520</v>
      </c>
    </row>
    <row r="31" spans="1:7" ht="16.5" customHeight="1">
      <c r="A31" s="201">
        <v>1</v>
      </c>
      <c r="B31" s="202" t="s">
        <v>1521</v>
      </c>
      <c r="C31" s="203">
        <f ca="1">ROUND((C5+C19+C20+C22+C27)/(1-C21-D22-D27-C30),0)</f>
        <v>18572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298545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255168</v>
      </c>
      <c r="D34" s="209"/>
      <c r="E34" s="212"/>
      <c r="F34" s="249"/>
      <c r="G34" s="211"/>
    </row>
    <row r="35" spans="1:7" ht="13.5" customHeight="1">
      <c r="A35" s="734" t="s">
        <v>351</v>
      </c>
      <c r="B35" s="207" t="s">
        <v>1527</v>
      </c>
      <c r="C35" s="212">
        <f ca="1">ROUND(C34*F35,0)</f>
        <v>12758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12758</v>
      </c>
      <c r="D36" s="212"/>
      <c r="E36" s="212"/>
      <c r="F36" s="251">
        <f>'数据-取费表'!B34</f>
        <v>0.05</v>
      </c>
      <c r="G36" s="252" t="s">
        <v>1530</v>
      </c>
    </row>
    <row r="37" spans="1:7" s="250" customFormat="1" ht="13.5" customHeight="1">
      <c r="A37" s="734" t="s">
        <v>353</v>
      </c>
      <c r="B37" s="207" t="s">
        <v>1531</v>
      </c>
      <c r="C37" s="241">
        <f ca="1">ROUND(E37*D37,0)</f>
        <v>12758</v>
      </c>
      <c r="D37" s="209">
        <f ca="1">D19</f>
        <v>106.32</v>
      </c>
      <c r="E37" s="241">
        <f>'数据-取费表'!B35</f>
        <v>120</v>
      </c>
      <c r="F37" s="251"/>
      <c r="G37" s="253"/>
    </row>
    <row r="38" spans="1:7" ht="13.5" customHeight="1">
      <c r="A38" s="734" t="s">
        <v>354</v>
      </c>
      <c r="B38" s="207" t="s">
        <v>1533</v>
      </c>
      <c r="C38" s="212">
        <f ca="1">ROUND(C34*F38,0)</f>
        <v>5103</v>
      </c>
      <c r="D38" s="212"/>
      <c r="E38" s="212"/>
      <c r="F38" s="251">
        <f>'数据-取费表'!B36</f>
        <v>0.02</v>
      </c>
      <c r="G38" s="211" t="s">
        <v>1528</v>
      </c>
    </row>
    <row r="39" spans="1:7" s="206" customFormat="1" ht="13.5" customHeight="1">
      <c r="A39" s="247" t="s">
        <v>1534</v>
      </c>
      <c r="B39" s="202" t="s">
        <v>1535</v>
      </c>
      <c r="C39" s="224">
        <f ca="1">ROUND(C33*F20,0)</f>
        <v>5971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9531</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9344</v>
      </c>
      <c r="D42" s="230"/>
      <c r="E42" s="230"/>
      <c r="F42" s="231"/>
      <c r="G42" s="3396" t="s">
        <v>1591</v>
      </c>
    </row>
    <row r="43" spans="1:7" ht="13.5" customHeight="1">
      <c r="A43" s="734" t="s">
        <v>347</v>
      </c>
      <c r="B43" s="207" t="s">
        <v>1545</v>
      </c>
      <c r="C43" s="230">
        <f ca="1">ROUND(IF('数据-取费表'!B22&lt;=1,C39*F22*'数据-取费表'!B20/2,C39*(POWER((1+F22),'数据-取费表'!B20/2)-1)),0)</f>
        <v>187</v>
      </c>
      <c r="D43" s="230"/>
      <c r="E43" s="230"/>
      <c r="F43" s="231"/>
      <c r="G43" s="3397"/>
    </row>
    <row r="44" spans="1:7" ht="13.5" customHeight="1">
      <c r="A44" s="734" t="s">
        <v>348</v>
      </c>
      <c r="B44" s="207" t="s">
        <v>1546</v>
      </c>
      <c r="C44" s="230">
        <f ca="1">ROUND(IF('数据-取费表'!B22&lt;=1,C40*F22*'数据-取费表'!B20/2,C40*(POWER((1+F22),'数据-取费表'!B20/2)-1)),4)</f>
        <v>8.9999999999999998E-4</v>
      </c>
      <c r="D44" s="230"/>
      <c r="E44" s="230"/>
      <c r="F44" s="231"/>
      <c r="G44" s="3398"/>
    </row>
    <row r="45" spans="1:7" s="206" customFormat="1" ht="13.5" customHeight="1">
      <c r="A45" s="247" t="s">
        <v>1547</v>
      </c>
      <c r="B45" s="236" t="s">
        <v>1513</v>
      </c>
      <c r="C45" s="237">
        <f ca="1">C46</f>
        <v>30452</v>
      </c>
      <c r="D45" s="227">
        <f ca="1">C47</f>
        <v>3.0000000000000001E-3</v>
      </c>
      <c r="E45" s="228" t="s">
        <v>1539</v>
      </c>
      <c r="F45" s="238">
        <f ca="1">F27</f>
        <v>0.1</v>
      </c>
      <c r="G45" s="239" t="s">
        <v>1548</v>
      </c>
    </row>
    <row r="46" spans="1:7" s="206" customFormat="1" ht="13.5" customHeight="1">
      <c r="A46" s="734" t="s">
        <v>346</v>
      </c>
      <c r="B46" s="240" t="s">
        <v>1549</v>
      </c>
      <c r="C46" s="241">
        <f ca="1">ROUND((C33+C39)*F27,0)</f>
        <v>30452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1.55E-2</v>
      </c>
      <c r="D48" s="228" t="s">
        <v>1539</v>
      </c>
      <c r="E48" s="224"/>
      <c r="F48" s="229">
        <f>F30</f>
        <v>1.575E-2</v>
      </c>
      <c r="G48" s="226" t="s">
        <v>1552</v>
      </c>
    </row>
    <row r="49" spans="1:7" ht="16.5" customHeight="1">
      <c r="A49" s="247" t="s">
        <v>1518</v>
      </c>
      <c r="B49" s="202" t="s">
        <v>1592</v>
      </c>
      <c r="C49" s="224">
        <f ca="1">ROUND((C33+C39+C41+C45)/(1-C40-D41-D45-C48),0)</f>
        <v>362402</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333410</v>
      </c>
      <c r="D51" s="224"/>
      <c r="E51" s="224"/>
      <c r="F51" s="256"/>
      <c r="G51" s="226" t="s">
        <v>1560</v>
      </c>
    </row>
    <row r="52" spans="1:7" s="200" customFormat="1" ht="16.8" thickBot="1">
      <c r="A52" s="257" t="s">
        <v>1561</v>
      </c>
      <c r="B52" s="258"/>
      <c r="C52" s="259">
        <f ca="1">C31+C51</f>
        <v>351982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106.32</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106.32</v>
      </c>
      <c r="E19" s="21">
        <f>'数据-取费表'!B27</f>
        <v>20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0.03</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1.575E-2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1" t="s">
        <v>694</v>
      </c>
      <c r="C6" s="1011">
        <f ca="1">ROUND(F6*F8*F7*(1-F9)/10000,0)</f>
        <v>0</v>
      </c>
      <c r="D6" s="147" t="s">
        <v>2109</v>
      </c>
      <c r="E6" s="294" t="s">
        <v>696</v>
      </c>
      <c r="F6" s="295">
        <f ca="1">INDIRECT("'数据-取费表'!u"&amp;$G$1)</f>
        <v>0</v>
      </c>
      <c r="G6" s="1292"/>
      <c r="H6" s="1006" t="s">
        <v>398</v>
      </c>
      <c r="I6" s="3401" t="s">
        <v>694</v>
      </c>
      <c r="J6" s="293">
        <f ca="1">ROUND(M6*M8*M7*(1-M9)/10000,0)</f>
        <v>0</v>
      </c>
      <c r="K6" s="147" t="s">
        <v>2108</v>
      </c>
      <c r="L6" s="294" t="s">
        <v>696</v>
      </c>
      <c r="M6" s="295">
        <f ca="1">INDIRECT("'数据-取费表'!z"&amp;$G$1)</f>
        <v>0</v>
      </c>
    </row>
    <row r="7" spans="1:37" ht="18" customHeight="1">
      <c r="A7" s="1010"/>
      <c r="B7" s="3402"/>
      <c r="C7" s="1012"/>
      <c r="D7" s="299"/>
      <c r="E7" s="1013" t="s">
        <v>697</v>
      </c>
      <c r="F7" s="295">
        <f ca="1">IF(INDIRECT("'数据-取费表'!ah"&amp;$G$1)="",INDIRECT("'数据-取费表'!k"&amp;$G$1),INDIRECT("'数据-取费表'!ah"&amp;$G$1))</f>
        <v>0</v>
      </c>
      <c r="G7" s="1292"/>
      <c r="H7" s="296"/>
      <c r="I7" s="3402"/>
      <c r="J7" s="298"/>
      <c r="K7" s="299"/>
      <c r="L7" s="294" t="s">
        <v>697</v>
      </c>
      <c r="M7" s="295">
        <f ca="1">F7</f>
        <v>0</v>
      </c>
    </row>
    <row r="8" spans="1:37" ht="18" customHeight="1">
      <c r="A8" s="296"/>
      <c r="B8" s="3402"/>
      <c r="C8" s="298"/>
      <c r="D8" s="299"/>
      <c r="E8" s="294" t="s">
        <v>698</v>
      </c>
      <c r="F8" s="295">
        <f ca="1">INDIRECT("'数据-取费表'!ai"&amp;$G$1)</f>
        <v>0</v>
      </c>
      <c r="G8" s="1292"/>
      <c r="H8" s="296"/>
      <c r="I8" s="3402"/>
      <c r="J8" s="298"/>
      <c r="K8" s="299"/>
      <c r="L8" s="294" t="s">
        <v>698</v>
      </c>
      <c r="M8" s="295">
        <f ca="1">INDIRECT("'数据-取费表'!ai"&amp;$G$1)</f>
        <v>0</v>
      </c>
    </row>
    <row r="9" spans="1:37" ht="18" customHeight="1">
      <c r="A9" s="296"/>
      <c r="B9" s="3403"/>
      <c r="C9" s="298"/>
      <c r="D9" s="299"/>
      <c r="E9" s="294" t="s">
        <v>699</v>
      </c>
      <c r="F9" s="304">
        <f ca="1">INDIRECT("'数据-取费表'!w"&amp;$G$1)</f>
        <v>0</v>
      </c>
      <c r="G9" s="1292"/>
      <c r="H9" s="296"/>
      <c r="I9" s="340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1.575E-2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1.55E-2</v>
      </c>
      <c r="D28" s="315" t="s">
        <v>765</v>
      </c>
      <c r="E28" s="294" t="s">
        <v>712</v>
      </c>
      <c r="F28" s="314">
        <f>'数据-取费表'!B41</f>
        <v>1.575E-2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7"/>
      <c r="I30" s="1305"/>
      <c r="J30" s="1306"/>
      <c r="K30" s="121"/>
      <c r="L30" s="2468"/>
      <c r="M30" s="2469"/>
    </row>
    <row r="31" spans="1:37" ht="18" customHeight="1">
      <c r="A31" s="928" t="s">
        <v>398</v>
      </c>
      <c r="B31" s="294" t="s">
        <v>719</v>
      </c>
      <c r="C31" s="2139" t="e">
        <f ca="1">ROUND(IF(AND(项目基本情况!B11="自然人",项目基本情况!B10="北京市"),C6*F31/(1+'数据-取费表'!C42),C32+C33+C34),2)</f>
        <v>#VALUE!</v>
      </c>
      <c r="D31" s="1257" t="s">
        <v>720</v>
      </c>
      <c r="E31" s="1256" t="s">
        <v>770</v>
      </c>
      <c r="F31" s="2138">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1.575E-2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t="e">
        <f ca="1">C5-C30</f>
        <v>#VALUE!</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99" t="s">
        <v>837</v>
      </c>
      <c r="L53" s="3400"/>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#VALUE!</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1.575E-2</v>
      </c>
      <c r="I60" s="1363" t="s">
        <v>853</v>
      </c>
      <c r="J60" s="1364" t="e">
        <f ca="1">IF(OR(M47="住宅",J51&lt;L48,J56="是"),"0",ROUND(J59/(1+J52)^J53,0))</f>
        <v>#DIV/0!</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2" customHeight="1">
      <c r="A2" s="1293" t="s">
        <v>2315</v>
      </c>
      <c r="B2" s="2591" t="e">
        <f>IF(D2="——",C40,C40+E2)</f>
        <v>#DIV/0!</v>
      </c>
      <c r="C2" s="2592" t="s">
        <v>2316</v>
      </c>
      <c r="D2" s="3135" t="s">
        <v>3357</v>
      </c>
      <c r="E2" s="3136"/>
      <c r="F2" s="2594"/>
      <c r="G2" s="2595"/>
      <c r="H2" s="2596"/>
      <c r="I2" s="2597"/>
      <c r="J2" s="3410" t="s">
        <v>2317</v>
      </c>
      <c r="K2" s="3411"/>
      <c r="L2" s="2598" t="s">
        <v>2318</v>
      </c>
      <c r="M2" s="2598" t="s">
        <v>2319</v>
      </c>
      <c r="N2" s="2598" t="s">
        <v>2320</v>
      </c>
      <c r="O2" s="2598" t="s">
        <v>2321</v>
      </c>
      <c r="P2" s="2598" t="s">
        <v>2322</v>
      </c>
      <c r="Q2" s="2599" t="s">
        <v>2323</v>
      </c>
      <c r="R2" s="2600" t="s">
        <v>2324</v>
      </c>
      <c r="S2" s="2589"/>
      <c r="T2" s="2589"/>
      <c r="U2" s="2589"/>
      <c r="V2" s="2597"/>
    </row>
    <row r="3" spans="1:22" s="2601" customFormat="1" ht="13.2" customHeight="1">
      <c r="A3" s="2602" t="s">
        <v>2325</v>
      </c>
      <c r="B3" s="2603" t="e">
        <f>ROUND(B2*10000/B4,0)</f>
        <v>#DIV/0!</v>
      </c>
      <c r="C3" s="2592" t="s">
        <v>2326</v>
      </c>
      <c r="D3" s="2592"/>
      <c r="E3" s="2593"/>
      <c r="F3" s="2594"/>
      <c r="G3" s="2595"/>
      <c r="H3" s="2596"/>
      <c r="I3" s="2597"/>
      <c r="J3" s="3412" t="s">
        <v>2327</v>
      </c>
      <c r="K3" s="3413"/>
      <c r="L3" s="2604"/>
      <c r="M3" s="2604"/>
      <c r="N3" s="2604"/>
      <c r="O3" s="2604"/>
      <c r="P3" s="2604"/>
      <c r="Q3" s="2605"/>
      <c r="R3" s="2606">
        <f>SUM(L3:Q3)</f>
        <v>0</v>
      </c>
      <c r="S3" s="2589"/>
      <c r="T3" s="2589"/>
      <c r="U3" s="2589"/>
      <c r="V3" s="2597"/>
    </row>
    <row r="4" spans="1:22" s="2601" customFormat="1" ht="13.2" customHeight="1">
      <c r="A4" s="2607" t="s">
        <v>2328</v>
      </c>
      <c r="B4" s="2608"/>
      <c r="C4" s="2592"/>
      <c r="D4" s="2592"/>
      <c r="E4" s="2593"/>
      <c r="F4" s="2594"/>
      <c r="G4" s="2595"/>
      <c r="H4" s="2596"/>
      <c r="I4" s="2597"/>
      <c r="J4" s="3412" t="s">
        <v>2329</v>
      </c>
      <c r="K4" s="3413"/>
      <c r="L4" s="2609"/>
      <c r="M4" s="2609"/>
      <c r="N4" s="2609"/>
      <c r="O4" s="2609"/>
      <c r="P4" s="2609"/>
      <c r="Q4" s="2610"/>
      <c r="R4" s="2611">
        <f>SUM(L4:Q4)</f>
        <v>0</v>
      </c>
      <c r="S4" s="2589"/>
      <c r="T4" s="2589"/>
      <c r="U4" s="2589"/>
      <c r="V4" s="2597"/>
    </row>
    <row r="5" spans="1:22" s="2601" customFormat="1" ht="13.2"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2" customHeight="1" thickBot="1">
      <c r="A6" s="3418" t="s">
        <v>2333</v>
      </c>
      <c r="B6" s="3419"/>
      <c r="C6" s="3420"/>
      <c r="D6" s="2618"/>
      <c r="E6" s="2619"/>
      <c r="F6" s="2620"/>
      <c r="G6" s="2621"/>
      <c r="H6" s="2596"/>
      <c r="I6" s="2597"/>
      <c r="J6" s="3404">
        <v>1</v>
      </c>
      <c r="K6" s="3405"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2" customHeight="1">
      <c r="A7" s="2624" t="s">
        <v>2343</v>
      </c>
      <c r="B7" s="2625"/>
      <c r="C7" s="2626"/>
      <c r="D7" s="2627">
        <f>SUM(D9,D10,D11,D17,0)</f>
        <v>0</v>
      </c>
      <c r="E7" s="2628" t="e">
        <f>E9+E10+E11+E17</f>
        <v>#DIV/0!</v>
      </c>
      <c r="F7" s="2629"/>
      <c r="G7" s="2630"/>
      <c r="H7" s="2596"/>
      <c r="I7" s="2597"/>
      <c r="J7" s="3404"/>
      <c r="K7" s="3406"/>
      <c r="L7" s="2631" t="s">
        <v>2344</v>
      </c>
      <c r="M7" s="2632"/>
      <c r="N7" s="2608"/>
      <c r="O7" s="2633"/>
      <c r="P7" s="2633"/>
      <c r="Q7" s="2634">
        <v>365</v>
      </c>
      <c r="R7" s="2635">
        <f>ROUND(M7*N7*O7*P7*Q7/10000,0)</f>
        <v>0</v>
      </c>
      <c r="S7" s="2589"/>
      <c r="T7" s="2589" t="s">
        <v>2345</v>
      </c>
      <c r="U7" s="2589"/>
      <c r="V7" s="2597"/>
    </row>
    <row r="8" spans="1:22" s="2601" customFormat="1" ht="13.2" customHeight="1">
      <c r="A8" s="2636" t="s">
        <v>2346</v>
      </c>
      <c r="B8" s="3421" t="s">
        <v>2347</v>
      </c>
      <c r="C8" s="3422"/>
      <c r="D8" s="2637" t="s">
        <v>2348</v>
      </c>
      <c r="E8" s="2638" t="s">
        <v>2349</v>
      </c>
      <c r="F8" s="2639" t="s">
        <v>2350</v>
      </c>
      <c r="G8" s="2640"/>
      <c r="H8" s="2596"/>
      <c r="I8" s="2597"/>
      <c r="J8" s="3404"/>
      <c r="K8" s="3406"/>
      <c r="L8" s="2631" t="s">
        <v>2351</v>
      </c>
      <c r="M8" s="2632"/>
      <c r="N8" s="2608"/>
      <c r="O8" s="2633"/>
      <c r="P8" s="2633"/>
      <c r="Q8" s="2634">
        <v>365</v>
      </c>
      <c r="R8" s="2635">
        <f t="shared" ref="R8:R13" si="0">ROUND(M8*N8*O8*P8*Q8/10000,0)</f>
        <v>0</v>
      </c>
      <c r="S8" s="2589"/>
      <c r="T8" s="2589" t="s">
        <v>2352</v>
      </c>
      <c r="U8" s="2589"/>
      <c r="V8" s="2597"/>
    </row>
    <row r="9" spans="1:22" s="2601" customFormat="1" ht="13.2" customHeight="1">
      <c r="A9" s="2636">
        <v>1</v>
      </c>
      <c r="B9" s="3421" t="s">
        <v>2353</v>
      </c>
      <c r="C9" s="3422"/>
      <c r="D9" s="2637">
        <f>ROUND(D6*E9,0)</f>
        <v>0</v>
      </c>
      <c r="E9" s="2641"/>
      <c r="F9" s="2642" t="s">
        <v>2354</v>
      </c>
      <c r="G9" s="2621"/>
      <c r="H9" s="2596"/>
      <c r="I9" s="2597"/>
      <c r="J9" s="3404"/>
      <c r="K9" s="3406"/>
      <c r="L9" s="2631" t="s">
        <v>2355</v>
      </c>
      <c r="M9" s="2632"/>
      <c r="N9" s="2608"/>
      <c r="O9" s="2633"/>
      <c r="P9" s="2633"/>
      <c r="Q9" s="2634">
        <v>365</v>
      </c>
      <c r="R9" s="2635">
        <f t="shared" si="0"/>
        <v>0</v>
      </c>
      <c r="S9" s="2589"/>
      <c r="T9" s="2589"/>
      <c r="U9" s="2589"/>
      <c r="V9" s="2597"/>
    </row>
    <row r="10" spans="1:22" s="2601" customFormat="1" ht="13.2" customHeight="1">
      <c r="A10" s="2636">
        <v>2</v>
      </c>
      <c r="B10" s="3421" t="s">
        <v>2356</v>
      </c>
      <c r="C10" s="3422"/>
      <c r="D10" s="2637">
        <f>ROUND(D6*E10,0)</f>
        <v>0</v>
      </c>
      <c r="E10" s="2641"/>
      <c r="F10" s="2642" t="s">
        <v>2357</v>
      </c>
      <c r="G10" s="2621"/>
      <c r="H10" s="2596"/>
      <c r="I10" s="2597"/>
      <c r="J10" s="3404"/>
      <c r="K10" s="3406"/>
      <c r="L10" s="2631" t="s">
        <v>2358</v>
      </c>
      <c r="M10" s="2632"/>
      <c r="N10" s="2608"/>
      <c r="O10" s="2633"/>
      <c r="P10" s="2633"/>
      <c r="Q10" s="2634">
        <v>365</v>
      </c>
      <c r="R10" s="2635">
        <f t="shared" si="0"/>
        <v>0</v>
      </c>
      <c r="S10" s="2589"/>
      <c r="T10" s="2589"/>
      <c r="U10" s="2589"/>
      <c r="V10" s="2597"/>
    </row>
    <row r="11" spans="1:22" s="2601" customFormat="1" ht="13.2" customHeight="1">
      <c r="A11" s="2636">
        <v>3</v>
      </c>
      <c r="B11" s="3421" t="s">
        <v>2359</v>
      </c>
      <c r="C11" s="3422"/>
      <c r="D11" s="2637">
        <f>D12+D14+D15+D16</f>
        <v>0</v>
      </c>
      <c r="E11" s="2643" t="e">
        <f>D11/D6</f>
        <v>#DIV/0!</v>
      </c>
      <c r="F11" s="2639"/>
      <c r="G11" s="2640"/>
      <c r="H11" s="2596"/>
      <c r="I11" s="2597"/>
      <c r="J11" s="3404"/>
      <c r="K11" s="3406"/>
      <c r="L11" s="2631" t="s">
        <v>2360</v>
      </c>
      <c r="M11" s="2632"/>
      <c r="N11" s="2608"/>
      <c r="O11" s="2633"/>
      <c r="P11" s="2633"/>
      <c r="Q11" s="2634">
        <v>365</v>
      </c>
      <c r="R11" s="2635">
        <f t="shared" si="0"/>
        <v>0</v>
      </c>
      <c r="S11" s="2589"/>
      <c r="T11" s="2589"/>
      <c r="U11" s="2589"/>
      <c r="V11" s="2597"/>
    </row>
    <row r="12" spans="1:22" s="2601" customFormat="1" ht="13.2" customHeight="1">
      <c r="A12" s="2644" t="s">
        <v>2361</v>
      </c>
      <c r="B12" s="3414" t="s">
        <v>2362</v>
      </c>
      <c r="C12" s="3415"/>
      <c r="D12" s="2645">
        <f>ROUND(D13*1.2%*(1-30%),0)</f>
        <v>0</v>
      </c>
      <c r="E12" s="2646">
        <v>1.2E-2</v>
      </c>
      <c r="F12" s="2639" t="s">
        <v>2363</v>
      </c>
      <c r="G12" s="2640"/>
      <c r="H12" s="2596"/>
      <c r="I12" s="2597"/>
      <c r="J12" s="3404"/>
      <c r="K12" s="3406"/>
      <c r="L12" s="2631" t="s">
        <v>2364</v>
      </c>
      <c r="M12" s="2632"/>
      <c r="N12" s="2608"/>
      <c r="O12" s="2633"/>
      <c r="P12" s="2633"/>
      <c r="Q12" s="2634">
        <v>365</v>
      </c>
      <c r="R12" s="2635">
        <f t="shared" si="0"/>
        <v>0</v>
      </c>
      <c r="S12" s="2589"/>
      <c r="T12" s="2589"/>
      <c r="U12" s="2589"/>
      <c r="V12" s="2597"/>
    </row>
    <row r="13" spans="1:22" s="2601" customFormat="1" ht="13.2" customHeight="1">
      <c r="A13" s="2644"/>
      <c r="B13" s="2647"/>
      <c r="C13" s="2648" t="s">
        <v>2365</v>
      </c>
      <c r="D13" s="2649"/>
      <c r="E13" s="2650"/>
      <c r="F13" s="2639"/>
      <c r="G13" s="2640"/>
      <c r="H13" s="2596"/>
      <c r="I13" s="2597"/>
      <c r="J13" s="3404"/>
      <c r="K13" s="3406"/>
      <c r="L13" s="2631" t="s">
        <v>2366</v>
      </c>
      <c r="M13" s="2632"/>
      <c r="N13" s="2608"/>
      <c r="O13" s="2633"/>
      <c r="P13" s="2633"/>
      <c r="Q13" s="2634">
        <v>365</v>
      </c>
      <c r="R13" s="2635">
        <f t="shared" si="0"/>
        <v>0</v>
      </c>
      <c r="S13" s="2589"/>
      <c r="T13" s="2589"/>
      <c r="U13" s="2589"/>
      <c r="V13" s="2597"/>
    </row>
    <row r="14" spans="1:22" s="2601" customFormat="1" ht="13.2" customHeight="1">
      <c r="A14" s="2644" t="s">
        <v>2367</v>
      </c>
      <c r="B14" s="3414" t="s">
        <v>2368</v>
      </c>
      <c r="C14" s="3415"/>
      <c r="D14" s="2645">
        <f>ROUND(E14*B5/10000,0)</f>
        <v>0</v>
      </c>
      <c r="E14" s="2634"/>
      <c r="F14" s="2639" t="s">
        <v>2369</v>
      </c>
      <c r="G14" s="2640"/>
      <c r="H14" s="2596"/>
      <c r="I14" s="2597"/>
      <c r="J14" s="3404"/>
      <c r="K14" s="3407"/>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2371</v>
      </c>
      <c r="B15" s="3414" t="s">
        <v>2372</v>
      </c>
      <c r="C15" s="3415"/>
      <c r="D15" s="2645">
        <f>ROUND(D6*E15,0)</f>
        <v>0</v>
      </c>
      <c r="E15" s="2646">
        <v>5.5E-2</v>
      </c>
      <c r="F15" s="2639" t="s">
        <v>2373</v>
      </c>
      <c r="G15" s="2621"/>
      <c r="H15" s="2596"/>
      <c r="I15" s="2597"/>
      <c r="J15" s="3404">
        <v>2</v>
      </c>
      <c r="K15" s="3405"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2" customHeight="1">
      <c r="A16" s="2644" t="s">
        <v>2380</v>
      </c>
      <c r="B16" s="3414" t="s">
        <v>2381</v>
      </c>
      <c r="C16" s="3415"/>
      <c r="D16" s="2656">
        <f>D6*E16</f>
        <v>0</v>
      </c>
      <c r="E16" s="2657"/>
      <c r="F16" s="2642" t="s">
        <v>2382</v>
      </c>
      <c r="G16" s="2621"/>
      <c r="H16" s="2596"/>
      <c r="I16" s="2597"/>
      <c r="J16" s="3404"/>
      <c r="K16" s="3406"/>
      <c r="L16" s="2631" t="s">
        <v>2383</v>
      </c>
      <c r="M16" s="2632"/>
      <c r="N16" s="2632"/>
      <c r="O16" s="2633"/>
      <c r="P16" s="2634">
        <v>365</v>
      </c>
      <c r="Q16" s="2608"/>
      <c r="R16" s="2655">
        <f>ROUND(M16*N16*O16*P16/10000,0)</f>
        <v>0</v>
      </c>
      <c r="S16" s="2589"/>
      <c r="T16" s="2589"/>
      <c r="U16" s="2589"/>
      <c r="V16" s="2597"/>
    </row>
    <row r="17" spans="1:22" s="2601" customFormat="1" ht="13.2" customHeight="1" thickBot="1">
      <c r="A17" s="2658">
        <v>4</v>
      </c>
      <c r="B17" s="3416" t="s">
        <v>2384</v>
      </c>
      <c r="C17" s="3417"/>
      <c r="D17" s="2659">
        <f>ROUND(D6*E17,0)</f>
        <v>0</v>
      </c>
      <c r="E17" s="2660"/>
      <c r="F17" s="2661" t="s">
        <v>2385</v>
      </c>
      <c r="G17" s="2621"/>
      <c r="H17" s="2596"/>
      <c r="I17" s="2597"/>
      <c r="J17" s="3404"/>
      <c r="K17" s="3406"/>
      <c r="L17" s="2631" t="s">
        <v>2386</v>
      </c>
      <c r="M17" s="2632"/>
      <c r="N17" s="2632"/>
      <c r="O17" s="2633"/>
      <c r="P17" s="2634">
        <v>365</v>
      </c>
      <c r="Q17" s="2608"/>
      <c r="R17" s="2655">
        <f>ROUND(M17*N17*O17*P17/10000,0)</f>
        <v>0</v>
      </c>
      <c r="S17" s="2589"/>
      <c r="T17" s="2589"/>
      <c r="U17" s="2589"/>
      <c r="V17" s="2597"/>
    </row>
    <row r="18" spans="1:22" s="2601" customFormat="1" ht="13.2" customHeight="1" thickBot="1">
      <c r="A18" s="2624" t="s">
        <v>2387</v>
      </c>
      <c r="B18" s="2625"/>
      <c r="C18" s="2625"/>
      <c r="D18" s="2662">
        <f>ROUND(D6*E18,0)</f>
        <v>0</v>
      </c>
      <c r="E18" s="2663"/>
      <c r="F18" s="2664" t="s">
        <v>2388</v>
      </c>
      <c r="G18" s="2621"/>
      <c r="H18" s="2596"/>
      <c r="I18" s="2597"/>
      <c r="J18" s="3404"/>
      <c r="K18" s="3406"/>
      <c r="L18" s="2631" t="s">
        <v>2389</v>
      </c>
      <c r="M18" s="2632"/>
      <c r="N18" s="2632"/>
      <c r="O18" s="2633"/>
      <c r="P18" s="2634">
        <v>365</v>
      </c>
      <c r="Q18" s="2608"/>
      <c r="R18" s="2655">
        <f>ROUND(M18*N18*O18*P18/10000,0)</f>
        <v>0</v>
      </c>
      <c r="S18" s="2589"/>
      <c r="T18" s="2589"/>
      <c r="U18" s="2589"/>
      <c r="V18" s="2597"/>
    </row>
    <row r="19" spans="1:22" s="2601" customFormat="1" ht="13.2" customHeight="1" thickBot="1">
      <c r="A19" s="2665" t="s">
        <v>2390</v>
      </c>
      <c r="B19" s="2619"/>
      <c r="C19" s="2619"/>
      <c r="D19" s="2619"/>
      <c r="E19" s="2619"/>
      <c r="F19" s="2620"/>
      <c r="G19" s="2640"/>
      <c r="H19" s="2596"/>
      <c r="I19" s="2597"/>
      <c r="J19" s="3404"/>
      <c r="K19" s="3407"/>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4">
        <v>3</v>
      </c>
      <c r="K20" s="3405"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2" customHeight="1">
      <c r="A21" s="2624"/>
      <c r="B21" s="2625"/>
      <c r="C21" s="2670" t="s">
        <v>2399</v>
      </c>
      <c r="D21" s="2671" t="s">
        <v>2400</v>
      </c>
      <c r="E21" s="2672" t="s">
        <v>2401</v>
      </c>
      <c r="F21" s="2668"/>
      <c r="G21" s="2640"/>
      <c r="H21" s="2596"/>
      <c r="I21" s="2597"/>
      <c r="J21" s="3404"/>
      <c r="K21" s="3406"/>
      <c r="L21" s="2631" t="s">
        <v>2402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2403</v>
      </c>
      <c r="D22" s="2675" t="s">
        <v>2404</v>
      </c>
      <c r="E22" s="2676" t="s">
        <v>2405</v>
      </c>
      <c r="F22" s="2668"/>
      <c r="G22" s="2589"/>
      <c r="H22" s="2596"/>
      <c r="I22" s="2597"/>
      <c r="J22" s="3404"/>
      <c r="K22" s="3406"/>
      <c r="L22" s="2631" t="s">
        <v>2406</v>
      </c>
      <c r="M22" s="2632"/>
      <c r="N22" s="2632"/>
      <c r="O22" s="2633"/>
      <c r="P22" s="2634">
        <v>365</v>
      </c>
      <c r="Q22" s="2608"/>
      <c r="R22" s="2673">
        <f>ROUND(M22*N22*O22*P22/10000,0)</f>
        <v>0</v>
      </c>
      <c r="S22" s="2589"/>
      <c r="T22" s="2589"/>
      <c r="U22" s="2589"/>
      <c r="V22" s="2597"/>
    </row>
    <row r="23" spans="1:22" s="2601" customFormat="1" ht="13.2" customHeight="1">
      <c r="A23" s="2677">
        <v>1</v>
      </c>
      <c r="B23" s="2678" t="s">
        <v>2407</v>
      </c>
      <c r="C23" s="2679">
        <f>D6</f>
        <v>0</v>
      </c>
      <c r="D23" s="2680">
        <f>C23*(1+D24)</f>
        <v>0</v>
      </c>
      <c r="E23" s="2681">
        <f>D23*(1+E24)</f>
        <v>0</v>
      </c>
      <c r="F23" s="2682"/>
      <c r="G23" s="2683"/>
      <c r="H23" s="2596"/>
      <c r="I23" s="2597"/>
      <c r="J23" s="3404"/>
      <c r="K23" s="3406"/>
      <c r="L23" s="2631" t="s">
        <v>2408</v>
      </c>
      <c r="M23" s="2632"/>
      <c r="N23" s="2632"/>
      <c r="O23" s="2633"/>
      <c r="P23" s="2634">
        <v>365</v>
      </c>
      <c r="Q23" s="2608"/>
      <c r="R23" s="2673">
        <f>ROUND(M23*N23*O23*P23/10000,0)</f>
        <v>0</v>
      </c>
      <c r="S23" s="2589"/>
      <c r="T23" s="2589"/>
      <c r="U23" s="2589"/>
      <c r="V23" s="2597"/>
    </row>
    <row r="24" spans="1:22" s="2601" customFormat="1" ht="13.2" customHeight="1">
      <c r="A24" s="2684"/>
      <c r="B24" s="2685" t="s">
        <v>2409</v>
      </c>
      <c r="C24" s="2686"/>
      <c r="D24" s="2687"/>
      <c r="E24" s="2688"/>
      <c r="F24" s="2689"/>
      <c r="G24" s="2683"/>
      <c r="H24" s="2596"/>
      <c r="I24" s="2597"/>
      <c r="J24" s="3404"/>
      <c r="K24" s="3407"/>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2" customHeight="1">
      <c r="A26" s="2677">
        <v>2</v>
      </c>
      <c r="B26" s="2678" t="s">
        <v>2411</v>
      </c>
      <c r="C26" s="2679">
        <f>D7</f>
        <v>0</v>
      </c>
      <c r="D26" s="2680">
        <f>D23*D27</f>
        <v>0</v>
      </c>
      <c r="E26" s="2681">
        <f>E23*E27</f>
        <v>0</v>
      </c>
      <c r="F26" s="2682"/>
      <c r="G26" s="2683"/>
      <c r="H26" s="2596"/>
      <c r="I26" s="2597"/>
      <c r="J26" s="3408">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2" customHeight="1">
      <c r="A27" s="2684"/>
      <c r="B27" s="2685" t="s">
        <v>2417</v>
      </c>
      <c r="C27" s="2702" t="e">
        <f>E7</f>
        <v>#DIV/0!</v>
      </c>
      <c r="D27" s="2687"/>
      <c r="E27" s="2688"/>
      <c r="F27" s="2689"/>
      <c r="G27" s="2683"/>
      <c r="H27" s="2703"/>
      <c r="I27" s="2695"/>
      <c r="J27" s="340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2"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2" customHeight="1">
      <c r="A32" s="2677">
        <v>4</v>
      </c>
      <c r="B32" s="2678" t="s">
        <v>2425</v>
      </c>
      <c r="C32" s="2679">
        <f>C23-C26-C29</f>
        <v>0</v>
      </c>
      <c r="D32" s="2680">
        <f>D23-D26-D29</f>
        <v>0</v>
      </c>
      <c r="E32" s="2681">
        <f>E23-E26-E29</f>
        <v>0</v>
      </c>
      <c r="F32" s="2682"/>
      <c r="G32" s="2589"/>
      <c r="H32" s="2596"/>
      <c r="I32" s="2597"/>
      <c r="J32" s="3410" t="s">
        <v>2317</v>
      </c>
      <c r="K32" s="3411"/>
      <c r="L32" s="2598" t="s">
        <v>2318</v>
      </c>
      <c r="M32" s="2598" t="s">
        <v>2319</v>
      </c>
      <c r="N32" s="2598" t="s">
        <v>2320</v>
      </c>
      <c r="O32" s="2598" t="s">
        <v>2321</v>
      </c>
      <c r="P32" s="2598" t="s">
        <v>2322</v>
      </c>
      <c r="Q32" s="2599" t="s">
        <v>2323</v>
      </c>
      <c r="R32" s="2718" t="s">
        <v>2324</v>
      </c>
      <c r="S32" s="2589"/>
      <c r="T32" s="2589"/>
      <c r="U32" s="2589"/>
      <c r="V32" s="2695"/>
    </row>
    <row r="33" spans="1:23" s="2601" customFormat="1" ht="13.2" customHeight="1">
      <c r="A33" s="2677"/>
      <c r="B33" s="2678"/>
      <c r="C33" s="2679"/>
      <c r="D33" s="2719"/>
      <c r="E33" s="2720"/>
      <c r="F33" s="2682"/>
      <c r="G33" s="2589"/>
      <c r="H33" s="2703"/>
      <c r="I33" s="2695"/>
      <c r="J33" s="3412" t="s">
        <v>2327</v>
      </c>
      <c r="K33" s="3413"/>
      <c r="L33" s="2604"/>
      <c r="M33" s="2604"/>
      <c r="N33" s="2604"/>
      <c r="O33" s="2604"/>
      <c r="P33" s="2604"/>
      <c r="Q33" s="2605"/>
      <c r="R33" s="2721">
        <f>SUM(L33:Q33)</f>
        <v>0</v>
      </c>
      <c r="S33" s="2589"/>
      <c r="T33" s="2589"/>
      <c r="U33" s="2589"/>
      <c r="V33" s="2597"/>
    </row>
    <row r="34" spans="1:23" s="2601" customFormat="1" ht="13.2" customHeight="1">
      <c r="A34" s="2677">
        <v>5</v>
      </c>
      <c r="B34" s="2678" t="s">
        <v>2426</v>
      </c>
      <c r="C34" s="2722"/>
      <c r="D34" s="2723"/>
      <c r="E34" s="2724"/>
      <c r="F34" s="2682"/>
      <c r="G34" s="2589"/>
      <c r="H34" s="2703"/>
      <c r="I34" s="2695"/>
      <c r="J34" s="3412" t="s">
        <v>2329</v>
      </c>
      <c r="K34" s="3413"/>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2" customHeight="1" thickBot="1">
      <c r="A36" s="2677">
        <v>7</v>
      </c>
      <c r="B36" s="2731" t="s">
        <v>2428</v>
      </c>
      <c r="C36" s="2732"/>
      <c r="D36" s="2733"/>
      <c r="E36" s="2734"/>
      <c r="F36" s="2735">
        <f>C36+D36+E36</f>
        <v>0</v>
      </c>
      <c r="G36" s="2589"/>
      <c r="H36" s="2596"/>
      <c r="I36" s="2597"/>
      <c r="J36" s="3404">
        <v>1</v>
      </c>
      <c r="K36" s="3405" t="s">
        <v>2429</v>
      </c>
      <c r="L36" s="2622"/>
      <c r="M36" s="2623"/>
      <c r="N36" s="2623"/>
      <c r="O36" s="2623"/>
      <c r="P36" s="2623"/>
      <c r="Q36" s="2623"/>
      <c r="R36" s="2606" t="s">
        <v>2341</v>
      </c>
      <c r="S36" s="2589"/>
      <c r="T36" s="2589" t="s">
        <v>2342</v>
      </c>
      <c r="U36" s="2589"/>
      <c r="V36" s="2597"/>
    </row>
    <row r="37" spans="1:23" s="2601" customFormat="1" ht="13.2" customHeight="1">
      <c r="A37" s="2677"/>
      <c r="B37" s="2678"/>
      <c r="C37" s="2678"/>
      <c r="D37" s="2678"/>
      <c r="E37" s="2678"/>
      <c r="F37" s="2682"/>
      <c r="G37" s="2589"/>
      <c r="H37" s="2596"/>
      <c r="I37" s="2597"/>
      <c r="J37" s="3404"/>
      <c r="K37" s="3406"/>
      <c r="L37" s="2631"/>
      <c r="M37" s="2632"/>
      <c r="N37" s="2608"/>
      <c r="O37" s="2633"/>
      <c r="P37" s="2633"/>
      <c r="Q37" s="2634"/>
      <c r="R37" s="2635"/>
      <c r="S37" s="2589"/>
      <c r="T37" s="2589" t="s">
        <v>2345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4"/>
      <c r="K38" s="3406"/>
      <c r="L38" s="2631"/>
      <c r="M38" s="2632"/>
      <c r="N38" s="2608"/>
      <c r="O38" s="2633"/>
      <c r="P38" s="2633"/>
      <c r="Q38" s="2634"/>
      <c r="R38" s="2635"/>
      <c r="S38" s="2589"/>
      <c r="T38" s="2589" t="s">
        <v>2352</v>
      </c>
      <c r="U38" s="2589"/>
      <c r="V38" s="2597"/>
    </row>
    <row r="39" spans="1:23" s="2601" customFormat="1" ht="13.2" customHeight="1">
      <c r="A39" s="2677">
        <v>9</v>
      </c>
      <c r="B39" s="2678" t="s">
        <v>2430</v>
      </c>
      <c r="C39" s="2645" t="e">
        <f>C38</f>
        <v>#DIV/0!</v>
      </c>
      <c r="D39" s="2678">
        <f>D38/(1+D34)^C36</f>
        <v>0</v>
      </c>
      <c r="E39" s="2678">
        <f>E38/(1+E34)^(C36+D36)</f>
        <v>0</v>
      </c>
      <c r="F39" s="2682"/>
      <c r="G39" s="2597"/>
      <c r="H39" s="2596"/>
      <c r="I39" s="2597"/>
      <c r="J39" s="3404"/>
      <c r="K39" s="3406"/>
      <c r="L39" s="2631"/>
      <c r="M39" s="2632"/>
      <c r="N39" s="2608"/>
      <c r="O39" s="2633"/>
      <c r="P39" s="2633"/>
      <c r="Q39" s="2634"/>
      <c r="R39" s="2635"/>
      <c r="S39" s="2589"/>
      <c r="T39" s="2589"/>
      <c r="U39" s="2589"/>
      <c r="V39" s="2597"/>
    </row>
    <row r="40" spans="1:23" s="2601" customFormat="1" ht="13.2" customHeight="1">
      <c r="A40" s="2736">
        <v>10</v>
      </c>
      <c r="B40" s="2678" t="s">
        <v>2431</v>
      </c>
      <c r="C40" s="2737" t="e">
        <f>C39+D39+E39</f>
        <v>#DIV/0!</v>
      </c>
      <c r="D40" s="2738"/>
      <c r="E40" s="2738"/>
      <c r="F40" s="2739"/>
      <c r="G40" s="2589"/>
      <c r="H40" s="2596"/>
      <c r="I40" s="2597"/>
      <c r="J40" s="3404"/>
      <c r="K40" s="3407"/>
      <c r="L40" s="2651" t="s">
        <v>2370</v>
      </c>
      <c r="M40" s="2652"/>
      <c r="N40" s="2652"/>
      <c r="O40" s="2653"/>
      <c r="P40" s="2653"/>
      <c r="Q40" s="2654"/>
      <c r="R40" s="2600">
        <f>SUM(R37:R39)</f>
        <v>0</v>
      </c>
      <c r="S40" s="2589"/>
      <c r="T40" s="2589"/>
      <c r="U40" s="2589"/>
      <c r="V40" s="2597"/>
    </row>
    <row r="41" spans="1:23" s="2601" customFormat="1" ht="13.2"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2" customHeight="1">
      <c r="G42" s="2596"/>
      <c r="H42" s="2596"/>
      <c r="I42" s="2597"/>
      <c r="J42" s="3408">
        <v>3</v>
      </c>
      <c r="K42" s="2697" t="s">
        <v>2412</v>
      </c>
      <c r="L42" s="2698"/>
      <c r="M42" s="2699"/>
      <c r="N42" s="2700" t="s">
        <v>2413</v>
      </c>
      <c r="O42" s="2700" t="s">
        <v>2414</v>
      </c>
      <c r="P42" s="2701" t="s">
        <v>2415</v>
      </c>
      <c r="Q42" s="2701" t="s">
        <v>2416</v>
      </c>
      <c r="R42" s="2606" t="s">
        <v>2341</v>
      </c>
      <c r="S42" s="2640"/>
      <c r="T42" s="2640"/>
      <c r="U42" s="2589"/>
      <c r="V42" s="2597"/>
    </row>
    <row r="43" spans="1:23" ht="13.2" customHeight="1">
      <c r="A43" s="2601"/>
      <c r="B43" s="2601"/>
      <c r="C43" s="2601"/>
      <c r="D43" s="2601"/>
      <c r="E43" s="2601"/>
      <c r="F43" s="2601"/>
      <c r="I43" s="2584"/>
      <c r="J43" s="340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54.9345</v>
      </c>
      <c r="C2" s="1729" t="s">
        <v>1651</v>
      </c>
      <c r="D2" s="1730" t="s">
        <v>1652</v>
      </c>
      <c r="E2" s="2390">
        <f>SUM(E6:E13)</f>
        <v>106.32</v>
      </c>
      <c r="F2" s="2476"/>
      <c r="G2" s="459"/>
      <c r="H2" s="459"/>
      <c r="I2" s="459"/>
      <c r="J2" s="459"/>
      <c r="K2" s="459"/>
      <c r="L2" s="459"/>
      <c r="M2" s="459"/>
      <c r="N2" s="459"/>
      <c r="O2" s="459"/>
      <c r="P2" s="459"/>
      <c r="Q2" s="459"/>
      <c r="R2" s="459"/>
      <c r="S2" s="459"/>
    </row>
    <row r="3" spans="1:22" ht="15.6">
      <c r="A3" s="1728" t="s">
        <v>686</v>
      </c>
      <c r="B3" s="2384">
        <f ca="1">ROUND(B2*10000/E2,0)</f>
        <v>5167</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23" t="s">
        <v>1654</v>
      </c>
      <c r="C5" s="3424"/>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54.9345</v>
      </c>
      <c r="C6" s="1729" t="s">
        <v>1651</v>
      </c>
      <c r="D6" s="2476"/>
      <c r="E6" s="2389">
        <f>IF(OR(A6=0,F6="否"),0,'数据-取费表'!K6+'数据-取费表'!S6)</f>
        <v>106.32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28" zoomScale="85" zoomScaleNormal="60" zoomScaleSheetLayoutView="85" workbookViewId="0">
      <selection activeCell="N41" sqref="N4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3404</v>
      </c>
      <c r="E1" s="3121" t="s">
        <v>3445</v>
      </c>
      <c r="F1" s="1735" t="s">
        <v>3446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f>IF(E1="项目模式",IF(C2="——",ROUND(C49*D3/10000,0),ROUND(C49*D3/10000,0)-D2),IF(E1="单套模式",IF(C2="——",ROUND(C49*D3/10000,4),ROUND(C49*D3/10000,4)-D2)))</f>
        <v>117.9089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11090</v>
      </c>
      <c r="C3" s="344" t="s">
        <v>1665</v>
      </c>
      <c r="D3" s="343">
        <f>IF(D1="",'数据-汇总表'!E3,SUMIF('数据-汇总表'!$C19:$C33,D1,'数据-汇总表'!$E19:$E33))</f>
        <v>106.32</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43" t="s">
        <v>1667</v>
      </c>
      <c r="D4" s="3444"/>
      <c r="E4" s="3445" t="s">
        <v>1668</v>
      </c>
      <c r="F4" s="3446"/>
      <c r="G4" s="3443" t="s">
        <v>1669</v>
      </c>
      <c r="H4" s="3444"/>
      <c r="I4" s="3443" t="s">
        <v>1670</v>
      </c>
      <c r="J4" s="3444"/>
      <c r="K4" s="1744" t="s">
        <v>1671</v>
      </c>
      <c r="L4" s="2483"/>
      <c r="M4" s="2484"/>
      <c r="N4" s="2484"/>
      <c r="O4" s="2484"/>
      <c r="P4" s="3447" t="s">
        <v>1672</v>
      </c>
      <c r="Q4" s="3448"/>
      <c r="R4" s="3453" t="s">
        <v>1668</v>
      </c>
      <c r="S4" s="3454"/>
      <c r="T4" s="3453" t="s">
        <v>1669</v>
      </c>
      <c r="U4" s="3454"/>
      <c r="V4" s="3429" t="s">
        <v>1670</v>
      </c>
      <c r="W4" s="3429"/>
      <c r="X4" s="1265"/>
      <c r="Y4" s="3453" t="s">
        <v>1672</v>
      </c>
      <c r="Z4" s="3454"/>
      <c r="AA4" s="3440" t="s">
        <v>1668</v>
      </c>
      <c r="AB4" s="3440" t="s">
        <v>1669</v>
      </c>
      <c r="AC4" s="3440" t="s">
        <v>1670</v>
      </c>
    </row>
    <row r="5" spans="1:29">
      <c r="A5" s="348"/>
      <c r="B5" s="349"/>
      <c r="C5" s="3464" t="s">
        <v>3555</v>
      </c>
      <c r="D5" s="3460"/>
      <c r="E5" s="3467" t="str">
        <f>选取案例!B3</f>
        <v>正阳首府7号楼301室</v>
      </c>
      <c r="F5" s="3468"/>
      <c r="G5" s="3459" t="str">
        <f>选取案例!C3</f>
        <v>中茵外滩一号</v>
      </c>
      <c r="H5" s="3460"/>
      <c r="I5" s="3459" t="str">
        <f>选取案例!D3</f>
        <v>霞浦中梁壹号院1号楼305室</v>
      </c>
      <c r="J5" s="3460"/>
      <c r="K5" s="1745"/>
      <c r="L5" s="2483"/>
      <c r="M5" s="2484"/>
      <c r="N5" s="2484"/>
      <c r="O5" s="2484"/>
      <c r="P5" s="3449"/>
      <c r="Q5" s="3450"/>
      <c r="R5" s="3455"/>
      <c r="S5" s="3456"/>
      <c r="T5" s="3455"/>
      <c r="U5" s="3456"/>
      <c r="V5" s="3429"/>
      <c r="W5" s="3429"/>
      <c r="X5" s="1265"/>
      <c r="Y5" s="3455"/>
      <c r="Z5" s="3456"/>
      <c r="AA5" s="3441"/>
      <c r="AB5" s="3441"/>
      <c r="AC5" s="3441"/>
    </row>
    <row r="6" spans="1:29" ht="15" thickBot="1">
      <c r="A6" s="350"/>
      <c r="B6" s="351"/>
      <c r="C6" s="3465" t="s">
        <v>1677</v>
      </c>
      <c r="D6" s="3466"/>
      <c r="E6" s="3467" t="str">
        <f>选取案例!B4</f>
        <v>霞浦县赤岸大道19号</v>
      </c>
      <c r="F6" s="3468"/>
      <c r="G6" s="3459" t="str">
        <f>选取案例!C4</f>
        <v>霞浦县松港街道东阳社区赤岸大道35号中茵外滩1号7号楼702室</v>
      </c>
      <c r="H6" s="3460"/>
      <c r="I6" s="3459" t="str">
        <f>选取案例!D4</f>
        <v>霞浦县松港街道赤岸大道5号</v>
      </c>
      <c r="J6" s="3460"/>
      <c r="K6" s="1745" t="s">
        <v>1678</v>
      </c>
      <c r="L6" s="2483"/>
      <c r="M6" s="2484"/>
      <c r="N6" s="2484"/>
      <c r="O6" s="2484"/>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f>选取案例!B13</f>
        <v>45803</v>
      </c>
      <c r="F7" s="357">
        <f>SUMIF(58:58,YEAR(E7)&amp;"-"&amp;MONTH(E7),59:59)</f>
        <v>100</v>
      </c>
      <c r="G7" s="356">
        <f>选取案例!C13</f>
        <v>45805</v>
      </c>
      <c r="H7" s="355">
        <f>SUMIF(58:58,YEAR(G7)&amp;"-"&amp;MONTH(G7),59:59)</f>
        <v>100</v>
      </c>
      <c r="I7" s="356">
        <f>选取案例!D13</f>
        <v>45735</v>
      </c>
      <c r="J7" s="355">
        <f>SUMIF(58:58,YEAR(I7)&amp;"-"&amp;MONTH(I7),59:59)</f>
        <v>100</v>
      </c>
      <c r="K7" s="1746"/>
      <c r="L7" s="2485"/>
      <c r="M7" s="2437"/>
      <c r="N7" s="2437"/>
      <c r="O7" s="2437"/>
      <c r="P7" s="3461" t="s">
        <v>1680</v>
      </c>
      <c r="Q7" s="3463"/>
      <c r="R7" s="664" t="s">
        <v>20</v>
      </c>
      <c r="S7" s="665">
        <f t="shared" ref="S7:S15" si="0">F7</f>
        <v>100</v>
      </c>
      <c r="T7" s="664" t="s">
        <v>20</v>
      </c>
      <c r="U7" s="665">
        <f t="shared" ref="U7:U15" si="1">H7</f>
        <v>100</v>
      </c>
      <c r="V7" s="664" t="s">
        <v>20</v>
      </c>
      <c r="W7" s="665">
        <f t="shared" ref="W7:W15" si="2">J7</f>
        <v>100</v>
      </c>
      <c r="X7" s="666"/>
      <c r="Y7" s="3461" t="s">
        <v>1680</v>
      </c>
      <c r="Z7" s="3462"/>
      <c r="AA7" s="50">
        <f>D7/F7</f>
        <v>1</v>
      </c>
      <c r="AB7" s="50">
        <f>D7/H7</f>
        <v>1</v>
      </c>
      <c r="AC7" s="50">
        <f>D7/J7</f>
        <v>1</v>
      </c>
    </row>
    <row r="8" spans="1:29" s="102" customFormat="1" ht="15" thickBot="1">
      <c r="A8" s="352" t="s">
        <v>1681</v>
      </c>
      <c r="B8" s="353"/>
      <c r="C8" s="358" t="s">
        <v>3490</v>
      </c>
      <c r="D8" s="355">
        <v>100</v>
      </c>
      <c r="E8" s="1747" t="s">
        <v>3490</v>
      </c>
      <c r="F8" s="357">
        <f>SUMIF(61:61,E8,62:62)-SUMIF(61:61,C8,62:62)+100</f>
        <v>100</v>
      </c>
      <c r="G8" s="358" t="s">
        <v>3490</v>
      </c>
      <c r="H8" s="355">
        <f>SUMIF(61:61,G8,62:62)-SUMIF(61:61,C8,62:62)+100</f>
        <v>100</v>
      </c>
      <c r="I8" s="1747" t="s">
        <v>3490</v>
      </c>
      <c r="J8" s="355">
        <f>SUMIF(61:61,I8,62:62)-SUMIF(61:61,C8,62:62)+100</f>
        <v>100</v>
      </c>
      <c r="K8" s="1746"/>
      <c r="L8" s="2485"/>
      <c r="M8" s="2437"/>
      <c r="N8" s="2437"/>
      <c r="O8" s="2437"/>
      <c r="P8" s="3461" t="s">
        <v>1683</v>
      </c>
      <c r="Q8" s="3462"/>
      <c r="R8" s="664" t="s">
        <v>20</v>
      </c>
      <c r="S8" s="665">
        <f t="shared" si="0"/>
        <v>100</v>
      </c>
      <c r="T8" s="664" t="s">
        <v>20</v>
      </c>
      <c r="U8" s="665">
        <f t="shared" si="1"/>
        <v>100</v>
      </c>
      <c r="V8" s="664" t="s">
        <v>20</v>
      </c>
      <c r="W8" s="665">
        <f t="shared" si="2"/>
        <v>100</v>
      </c>
      <c r="X8" s="666"/>
      <c r="Y8" s="3461" t="s">
        <v>1683</v>
      </c>
      <c r="Z8" s="3462"/>
      <c r="AA8" s="50">
        <f t="shared" ref="AA8:AA19" si="3">D8/F8</f>
        <v>1</v>
      </c>
      <c r="AB8" s="50">
        <f t="shared" ref="AB8:AB19" si="4">D8/H8</f>
        <v>1</v>
      </c>
      <c r="AC8" s="50">
        <f t="shared" ref="AC8:AC19" si="5">D8/J8</f>
        <v>1</v>
      </c>
    </row>
    <row r="9" spans="1:29" s="102" customFormat="1" ht="14.4">
      <c r="A9" s="359" t="s">
        <v>1684</v>
      </c>
      <c r="B9" s="60" t="s">
        <v>1685</v>
      </c>
      <c r="C9" s="3186" t="s">
        <v>3491</v>
      </c>
      <c r="D9" s="59">
        <v>100</v>
      </c>
      <c r="E9" s="361" t="s">
        <v>3404</v>
      </c>
      <c r="F9" s="60">
        <f>SUMIF(63:63,E9,64:64)-SUMIF(63:63,C9,64:64)+100</f>
        <v>100</v>
      </c>
      <c r="G9" s="361" t="s">
        <v>3404</v>
      </c>
      <c r="H9" s="59">
        <f>SUMIF(63:63,G9,64:64)-SUMIF(63:63,C9,64:64)+100</f>
        <v>100</v>
      </c>
      <c r="I9" s="361" t="s">
        <v>3404</v>
      </c>
      <c r="J9" s="59">
        <f>SUMIF(63:63,I9,64:64)-SUMIF(63:63,C9,64:64)+100</f>
        <v>100</v>
      </c>
      <c r="K9" s="1746"/>
      <c r="L9" s="2485"/>
      <c r="M9" s="2437"/>
      <c r="N9" s="2437"/>
      <c r="O9" s="2437"/>
      <c r="P9" s="343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t="s">
        <v>3520</v>
      </c>
      <c r="D10" s="119">
        <v>100</v>
      </c>
      <c r="E10" s="3203" t="s">
        <v>3538</v>
      </c>
      <c r="F10" s="364">
        <f>SUMIF(65:65,E10,66:66)-SUMIF(65:65,C10,66:66)+100</f>
        <v>97</v>
      </c>
      <c r="G10" s="3129" t="s">
        <v>3520</v>
      </c>
      <c r="H10" s="119">
        <f>SUMIF(65:65,G10,66:66)-SUMIF(65:65,C10,66:66)+100</f>
        <v>100</v>
      </c>
      <c r="I10" s="3129" t="s">
        <v>3520</v>
      </c>
      <c r="J10" s="119">
        <f>SUMIF(65:65,I10,66:66)-SUMIF(65:65,C10,66:66)+100</f>
        <v>100</v>
      </c>
      <c r="K10" s="1746"/>
      <c r="L10" s="2486"/>
      <c r="M10" s="2487"/>
      <c r="N10" s="2487"/>
      <c r="O10" s="2487"/>
      <c r="P10" s="3439"/>
      <c r="Q10" s="530" t="str">
        <f t="shared" si="6"/>
        <v>土地使用年限（年）</v>
      </c>
      <c r="R10" s="664" t="s">
        <v>14</v>
      </c>
      <c r="S10" s="665">
        <f t="shared" si="0"/>
        <v>97</v>
      </c>
      <c r="T10" s="664" t="s">
        <v>14</v>
      </c>
      <c r="U10" s="665">
        <f t="shared" si="1"/>
        <v>100</v>
      </c>
      <c r="V10" s="664" t="s">
        <v>14</v>
      </c>
      <c r="W10" s="665">
        <f t="shared" si="2"/>
        <v>100</v>
      </c>
      <c r="X10" s="666"/>
      <c r="Y10" s="3303"/>
      <c r="Z10" s="50" t="str">
        <f t="shared" si="7"/>
        <v>土地使用年限（年）</v>
      </c>
      <c r="AA10" s="50">
        <f t="shared" si="3"/>
        <v>1.0309278350515463</v>
      </c>
      <c r="AB10" s="50">
        <f t="shared" si="4"/>
        <v>1</v>
      </c>
      <c r="AC10" s="50">
        <f t="shared" si="5"/>
        <v>1</v>
      </c>
    </row>
    <row r="11" spans="1:29" ht="15">
      <c r="A11" s="367"/>
      <c r="B11" s="364" t="s">
        <v>1689</v>
      </c>
      <c r="C11" s="368"/>
      <c r="D11" s="119">
        <v>100</v>
      </c>
      <c r="E11" s="3213"/>
      <c r="F11" s="364">
        <f>LOOKUP(E11,68:68,69:69)-LOOKUP(C11,68:68,69:69)+100</f>
        <v>100</v>
      </c>
      <c r="G11" s="368"/>
      <c r="H11" s="119">
        <f>LOOKUP(G11,68:68,69:69)-LOOKUP(C11,68:68,69:69)+100</f>
        <v>100</v>
      </c>
      <c r="I11" s="368"/>
      <c r="J11" s="119">
        <f>LOOKUP(I11,68:68,69:69)-LOOKUP(C11,68:68,69:69)+100</f>
        <v>100</v>
      </c>
      <c r="K11" s="365"/>
      <c r="L11" s="2488"/>
      <c r="M11" s="2484"/>
      <c r="N11" s="2484"/>
      <c r="O11" s="2484"/>
      <c r="P11" s="3439"/>
      <c r="Q11" s="530" t="str">
        <f t="shared" si="6"/>
        <v>容积率</v>
      </c>
      <c r="R11" s="664" t="s">
        <v>18</v>
      </c>
      <c r="S11" s="665">
        <f t="shared" si="0"/>
        <v>100</v>
      </c>
      <c r="T11" s="664" t="s">
        <v>18</v>
      </c>
      <c r="U11" s="665">
        <f t="shared" si="1"/>
        <v>100</v>
      </c>
      <c r="V11" s="664" t="s">
        <v>18</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v>2020</v>
      </c>
      <c r="D12" s="372">
        <v>100</v>
      </c>
      <c r="E12" s="371">
        <v>2016</v>
      </c>
      <c r="F12" s="364">
        <f>SUMIF(70:70,E12,71:71)-SUMIF(70:70,C12,71:71)+100</f>
        <v>100</v>
      </c>
      <c r="G12" s="371">
        <v>2019</v>
      </c>
      <c r="H12" s="119">
        <f>SUMIF(70:70,G12,71:71)-SUMIF(70:70,C12,71:71)+100</f>
        <v>100</v>
      </c>
      <c r="I12" s="371">
        <v>2020</v>
      </c>
      <c r="J12" s="119">
        <f>SUMIF(70:70,I12,71:71)-SUMIF(70:70,C12,71:71)+100</f>
        <v>100</v>
      </c>
      <c r="K12" s="1748"/>
      <c r="L12" s="2485"/>
      <c r="M12" s="2437"/>
      <c r="N12" s="2437"/>
      <c r="O12" s="2437"/>
      <c r="P12" s="3439"/>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213" t="s">
        <v>3556</v>
      </c>
      <c r="F13" s="364">
        <f>SUMIF(72:72,E13,73:73)-SUMIF(72:72,C13,73:73)+100</f>
        <v>100</v>
      </c>
      <c r="G13" s="373"/>
      <c r="H13" s="374">
        <f>SUMIF(72:72,G13,73:73)-SUMIF(72:72,C13,73:73)+100</f>
        <v>100</v>
      </c>
      <c r="I13" s="373"/>
      <c r="J13" s="374">
        <f>SUMIF(72:72,I13,73:73)-SUMIF(72:72,C13,73:73)+100</f>
        <v>100</v>
      </c>
      <c r="K13" s="1748"/>
      <c r="L13" s="2489"/>
      <c r="M13" s="2484"/>
      <c r="N13" s="2484"/>
      <c r="O13" s="2484"/>
      <c r="P13" s="3439"/>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202">
        <v>68850</v>
      </c>
      <c r="H14" s="377">
        <f>SUMIF(74:74,G14,75:75)-SUMIF(74:74,C14,75:75)+100</f>
        <v>100</v>
      </c>
      <c r="I14" s="3202">
        <v>68545</v>
      </c>
      <c r="J14" s="377">
        <f>SUMIF(74:74,I14,75:75)-SUMIF(74:74,C14,75:75)+100</f>
        <v>100</v>
      </c>
      <c r="K14" s="1748"/>
      <c r="L14" s="2489"/>
      <c r="M14" s="2484"/>
      <c r="N14" s="2484"/>
      <c r="O14" s="2484"/>
      <c r="P14" s="3439"/>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9"/>
      <c r="M15" s="2484"/>
      <c r="N15" s="2484"/>
      <c r="O15" s="2484"/>
      <c r="P15" s="3437" t="s">
        <v>1691</v>
      </c>
      <c r="Q15" s="1263" t="str">
        <f t="shared" si="6"/>
        <v>居住社区成熟度</v>
      </c>
      <c r="R15" s="667" t="s">
        <v>18</v>
      </c>
      <c r="S15" s="668">
        <f t="shared" si="0"/>
        <v>100</v>
      </c>
      <c r="T15" s="667" t="s">
        <v>18</v>
      </c>
      <c r="U15" s="668">
        <f t="shared" si="1"/>
        <v>100</v>
      </c>
      <c r="V15" s="667" t="s">
        <v>18</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t="s">
        <v>3492</v>
      </c>
      <c r="D16" s="387"/>
      <c r="E16" s="386" t="s">
        <v>3492</v>
      </c>
      <c r="F16" s="387"/>
      <c r="G16" s="386" t="s">
        <v>3492</v>
      </c>
      <c r="H16" s="389"/>
      <c r="I16" s="386" t="s">
        <v>3492</v>
      </c>
      <c r="J16" s="387"/>
      <c r="K16" s="1753"/>
      <c r="L16" s="2489"/>
      <c r="M16" s="2484"/>
      <c r="N16" s="2484"/>
      <c r="O16" s="2484"/>
      <c r="P16" s="3438"/>
      <c r="Q16" s="1263"/>
      <c r="R16" s="667"/>
      <c r="S16" s="668"/>
      <c r="T16" s="667"/>
      <c r="U16" s="668"/>
      <c r="V16" s="667"/>
      <c r="W16" s="668"/>
      <c r="X16" s="1265"/>
      <c r="Y16" s="343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9"/>
      <c r="M17" s="2484"/>
      <c r="N17" s="2484"/>
      <c r="O17" s="2484"/>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1755" t="s">
        <v>3492</v>
      </c>
      <c r="D18" s="389"/>
      <c r="E18" s="386" t="s">
        <v>3492</v>
      </c>
      <c r="F18" s="389"/>
      <c r="G18" s="386" t="s">
        <v>3492</v>
      </c>
      <c r="H18" s="387"/>
      <c r="I18" s="386" t="s">
        <v>3492</v>
      </c>
      <c r="J18" s="387"/>
      <c r="K18" s="1753"/>
      <c r="L18" s="2489"/>
      <c r="M18" s="2484"/>
      <c r="N18" s="2484"/>
      <c r="O18" s="2484"/>
      <c r="P18" s="3438"/>
      <c r="Q18" s="1263"/>
      <c r="R18" s="667"/>
      <c r="S18" s="668"/>
      <c r="T18" s="667"/>
      <c r="U18" s="668"/>
      <c r="V18" s="667"/>
      <c r="W18" s="668"/>
      <c r="X18" s="1265"/>
      <c r="Y18" s="343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9"/>
      <c r="M19" s="2484"/>
      <c r="N19" s="2484"/>
      <c r="O19" s="2484"/>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t="s">
        <v>3492</v>
      </c>
      <c r="D20" s="387"/>
      <c r="E20" s="386" t="s">
        <v>3492</v>
      </c>
      <c r="F20" s="387"/>
      <c r="G20" s="386" t="s">
        <v>3492</v>
      </c>
      <c r="H20" s="387"/>
      <c r="I20" s="386" t="s">
        <v>3492</v>
      </c>
      <c r="J20" s="387"/>
      <c r="K20" s="1753"/>
      <c r="L20" s="2489"/>
      <c r="M20" s="2484"/>
      <c r="N20" s="2484"/>
      <c r="O20" s="2484"/>
      <c r="P20" s="3438"/>
      <c r="Q20" s="1263"/>
      <c r="R20" s="667"/>
      <c r="S20" s="668"/>
      <c r="T20" s="667"/>
      <c r="U20" s="668"/>
      <c r="V20" s="667"/>
      <c r="W20" s="668"/>
      <c r="X20" s="1265"/>
      <c r="Y20" s="343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89"/>
      <c r="M21" s="2484"/>
      <c r="N21" s="2484"/>
      <c r="O21" s="2484"/>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t="s">
        <v>3521</v>
      </c>
      <c r="D22" s="387"/>
      <c r="E22" s="386" t="s">
        <v>3521</v>
      </c>
      <c r="F22" s="387"/>
      <c r="G22" s="386" t="s">
        <v>3521</v>
      </c>
      <c r="H22" s="387"/>
      <c r="I22" s="386" t="s">
        <v>3521</v>
      </c>
      <c r="J22" s="387"/>
      <c r="K22" s="1759"/>
      <c r="L22" s="2489"/>
      <c r="M22" s="2484"/>
      <c r="N22" s="2484"/>
      <c r="O22" s="2484"/>
      <c r="P22" s="3438"/>
      <c r="Q22" s="1263"/>
      <c r="R22" s="667"/>
      <c r="S22" s="668"/>
      <c r="T22" s="667"/>
      <c r="U22" s="668"/>
      <c r="V22" s="667"/>
      <c r="W22" s="668"/>
      <c r="X22" s="1265"/>
      <c r="Y22" s="343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89"/>
      <c r="M23" s="2484"/>
      <c r="N23" s="2484"/>
      <c r="O23" s="2484"/>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t="s">
        <v>3492</v>
      </c>
      <c r="D24" s="387"/>
      <c r="E24" s="386" t="s">
        <v>3492</v>
      </c>
      <c r="F24" s="387"/>
      <c r="G24" s="386" t="s">
        <v>3492</v>
      </c>
      <c r="H24" s="387"/>
      <c r="I24" s="386" t="s">
        <v>3492</v>
      </c>
      <c r="J24" s="387"/>
      <c r="K24" s="1753"/>
      <c r="L24" s="2489"/>
      <c r="M24" s="2484"/>
      <c r="N24" s="2484"/>
      <c r="O24" s="2484"/>
      <c r="P24" s="3438"/>
      <c r="Q24" s="1263"/>
      <c r="R24" s="667"/>
      <c r="S24" s="668"/>
      <c r="T24" s="667"/>
      <c r="U24" s="668"/>
      <c r="V24" s="667"/>
      <c r="W24" s="668"/>
      <c r="X24" s="1265"/>
      <c r="Y24" s="34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t="s">
        <v>3522</v>
      </c>
      <c r="D26" s="374">
        <v>100</v>
      </c>
      <c r="E26" s="399" t="s">
        <v>3522</v>
      </c>
      <c r="F26" s="374">
        <f>SUMIF(88:88,E26,89:89)-SUMIF(88:88,C26,89:89)+100</f>
        <v>100</v>
      </c>
      <c r="G26" s="399" t="s">
        <v>3522</v>
      </c>
      <c r="H26" s="374">
        <f>SUMIF(88:88,G26,89:89)-SUMIF(88:88,C26,89:89)+100</f>
        <v>100</v>
      </c>
      <c r="I26" s="399" t="s">
        <v>3522</v>
      </c>
      <c r="J26" s="374">
        <f>SUMIF(88:88,I26,89:89)-SUMIF(88:88,C26,89:89)+100</f>
        <v>100</v>
      </c>
      <c r="K26" s="365">
        <v>0.5</v>
      </c>
      <c r="L26" s="2489"/>
      <c r="M26" s="2484"/>
      <c r="N26" s="2484"/>
      <c r="O26" s="2484"/>
      <c r="P26" s="3438"/>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
      <c r="A27" s="370"/>
      <c r="B27" s="3188" t="s">
        <v>3501</v>
      </c>
      <c r="C27" s="3189" t="s">
        <v>3502</v>
      </c>
      <c r="D27" s="401">
        <v>100</v>
      </c>
      <c r="E27" s="3189" t="s">
        <v>3502</v>
      </c>
      <c r="F27" s="401">
        <f>SUMIF(90:90,E27,91:91)-SUMIF(90:90,C27,91:91)+100</f>
        <v>100</v>
      </c>
      <c r="G27" s="3189" t="s">
        <v>3502</v>
      </c>
      <c r="H27" s="401">
        <f>SUMIF(90:90,G27,91:91)-SUMIF(90:90,C27,91:91)+100</f>
        <v>100</v>
      </c>
      <c r="I27" s="3189" t="s">
        <v>3502</v>
      </c>
      <c r="J27" s="401">
        <f>SUMIF(90:90,I27,91:91)-SUMIF(90:90,C27,91:91)+100</f>
        <v>100</v>
      </c>
      <c r="K27" s="1748"/>
      <c r="L27" s="2485"/>
      <c r="M27" s="2437"/>
      <c r="N27" s="2437"/>
      <c r="O27" s="2437"/>
      <c r="P27" s="3438"/>
      <c r="Q27" s="530" t="str">
        <f t="shared" si="11"/>
        <v>楼层</v>
      </c>
      <c r="R27" s="664" t="s">
        <v>18</v>
      </c>
      <c r="S27" s="665">
        <f t="shared" si="12"/>
        <v>100</v>
      </c>
      <c r="T27" s="664" t="s">
        <v>18</v>
      </c>
      <c r="U27" s="665">
        <f t="shared" si="13"/>
        <v>100</v>
      </c>
      <c r="V27" s="664" t="s">
        <v>18</v>
      </c>
      <c r="W27" s="665">
        <f t="shared" si="14"/>
        <v>100</v>
      </c>
      <c r="X27" s="666"/>
      <c r="Y27" s="3431"/>
      <c r="Z27" s="50" t="str">
        <f>Q27</f>
        <v>楼层</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38"/>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t="s">
        <v>3530</v>
      </c>
      <c r="F29" s="374">
        <f>SUMIF(94:94,E29,95:95)-SUMIF(94:94,C29,95:95)+100</f>
        <v>100</v>
      </c>
      <c r="G29" s="1762" t="s">
        <v>3531</v>
      </c>
      <c r="H29" s="374">
        <f>SUMIF(94:94,G29,95:95)-SUMIF(94:94,C29,95:95)+100</f>
        <v>100</v>
      </c>
      <c r="I29" s="373" t="s">
        <v>3530</v>
      </c>
      <c r="J29" s="374">
        <f>SUMIF(94:94,I29,95:95)-SUMIF(94:94,C29,95:95)+100</f>
        <v>100</v>
      </c>
      <c r="K29" s="1748"/>
      <c r="L29" s="2489"/>
      <c r="M29" s="2484"/>
      <c r="N29" s="2484"/>
      <c r="O29" s="2484"/>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c r="A30" s="367"/>
      <c r="B30" s="1066">
        <v>111</v>
      </c>
      <c r="C30" s="373" t="s">
        <v>3536</v>
      </c>
      <c r="D30" s="374">
        <v>100</v>
      </c>
      <c r="E30" s="373" t="s">
        <v>3535</v>
      </c>
      <c r="F30" s="374">
        <f>SUMIF(96:96,E30,97:97)-SUMIF(96:96,C30,97:97)+100</f>
        <v>100</v>
      </c>
      <c r="G30" s="1762" t="s">
        <v>3534</v>
      </c>
      <c r="H30" s="374">
        <f>SUMIF(96:96,G30,97:97)-SUMIF(96:96,C30,97:97)+100</f>
        <v>100</v>
      </c>
      <c r="I30" s="373" t="s">
        <v>3533</v>
      </c>
      <c r="J30" s="374">
        <f>SUMIF(96:96,I30,97:97)-SUMIF(96:96,C30,97:97)+100</f>
        <v>100</v>
      </c>
      <c r="K30" s="1748"/>
      <c r="L30" s="2489"/>
      <c r="M30" s="2484"/>
      <c r="N30" s="2484"/>
      <c r="O30" s="2484"/>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4" t="s">
        <v>3537</v>
      </c>
      <c r="D32" s="405">
        <v>100</v>
      </c>
      <c r="E32" s="1764" t="s">
        <v>3537</v>
      </c>
      <c r="F32" s="400">
        <f>SUMIF(100:100,E32,101:101)-SUMIF(100:100,C32,101:101)+100</f>
        <v>100</v>
      </c>
      <c r="G32" s="1764" t="s">
        <v>3537</v>
      </c>
      <c r="H32" s="405">
        <f>SUMIF(100:100,G32,101:101)-SUMIF(100:100,C32,101:101)+100</f>
        <v>100</v>
      </c>
      <c r="I32" s="1764" t="s">
        <v>3537</v>
      </c>
      <c r="J32" s="374">
        <f>SUMIF(100:100,I32,101:101)-SUMIF(100:100,C32,101:101)+100</f>
        <v>100</v>
      </c>
      <c r="K32" s="365">
        <v>2</v>
      </c>
      <c r="L32" s="2489"/>
      <c r="M32" s="2484"/>
      <c r="N32" s="2484"/>
      <c r="O32" s="2484"/>
      <c r="P32" s="3432" t="s">
        <v>1696</v>
      </c>
      <c r="Q32" s="1263" t="str">
        <f t="shared" si="11"/>
        <v>建筑类型</v>
      </c>
      <c r="R32" s="667" t="s">
        <v>18</v>
      </c>
      <c r="S32" s="668">
        <f t="shared" si="12"/>
        <v>100</v>
      </c>
      <c r="T32" s="667" t="s">
        <v>18</v>
      </c>
      <c r="U32" s="668">
        <f t="shared" si="13"/>
        <v>100</v>
      </c>
      <c r="V32" s="667" t="s">
        <v>18</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106.32</v>
      </c>
      <c r="D33" s="119">
        <v>100</v>
      </c>
      <c r="E33" s="369">
        <f>选取案例!B9</f>
        <v>142.41999999999999</v>
      </c>
      <c r="F33" s="364">
        <f>LOOKUP(E33,103:103,104:104)-LOOKUP(C33,103:103,104:104)+100</f>
        <v>98</v>
      </c>
      <c r="G33" s="368">
        <f>选取案例!C9</f>
        <v>94.82</v>
      </c>
      <c r="H33" s="119">
        <f>LOOKUP(G33,103:103,104:104)-LOOKUP(C33,103:103,104:104)+100</f>
        <v>100</v>
      </c>
      <c r="I33" s="369">
        <f>选取案例!D9</f>
        <v>121.25</v>
      </c>
      <c r="J33" s="119">
        <f>LOOKUP(I33,103:103,104:104)-LOOKUP(C33,103:103,104:104)+100</f>
        <v>99</v>
      </c>
      <c r="K33" s="1748"/>
      <c r="L33" s="2488"/>
      <c r="M33" s="2490"/>
      <c r="N33" s="2490"/>
      <c r="O33" s="2490"/>
      <c r="P33" s="3433"/>
      <c r="Q33" s="531" t="str">
        <f t="shared" si="11"/>
        <v>项目建筑规模</v>
      </c>
      <c r="R33" s="669" t="s">
        <v>18</v>
      </c>
      <c r="S33" s="670">
        <f t="shared" si="12"/>
        <v>98</v>
      </c>
      <c r="T33" s="669" t="s">
        <v>18</v>
      </c>
      <c r="U33" s="670">
        <f t="shared" si="13"/>
        <v>100</v>
      </c>
      <c r="V33" s="669" t="s">
        <v>18</v>
      </c>
      <c r="W33" s="670">
        <f t="shared" si="14"/>
        <v>99</v>
      </c>
      <c r="X33" s="671"/>
      <c r="Y33" s="3435"/>
      <c r="Z33" s="672" t="str">
        <f t="shared" si="18"/>
        <v>项目建筑规模</v>
      </c>
      <c r="AA33" s="1264">
        <f t="shared" si="15"/>
        <v>1.0204081632653061</v>
      </c>
      <c r="AB33" s="1264">
        <f t="shared" si="16"/>
        <v>1</v>
      </c>
      <c r="AC33" s="1264">
        <f t="shared" si="17"/>
        <v>1.0101010101010102</v>
      </c>
    </row>
    <row r="34" spans="1:29" ht="32.1" customHeight="1">
      <c r="A34" s="409"/>
      <c r="B34" s="364" t="s">
        <v>1698</v>
      </c>
      <c r="C34" s="399" t="s">
        <v>3523</v>
      </c>
      <c r="D34" s="374">
        <v>100</v>
      </c>
      <c r="E34" s="1765" t="s">
        <v>3523</v>
      </c>
      <c r="F34" s="400">
        <f>SUMIF(105:105,E34,106:106)-SUMIF(105:105,C34,106:106)+100</f>
        <v>100</v>
      </c>
      <c r="G34" s="399" t="s">
        <v>3523</v>
      </c>
      <c r="H34" s="374">
        <f>SUMIF(105:105,G34,106:106)-SUMIF(105:105,C34,106:106)+100</f>
        <v>100</v>
      </c>
      <c r="I34" s="1765" t="s">
        <v>3523</v>
      </c>
      <c r="J34" s="374">
        <f>SUMIF(105:105,I34,106:106)-SUMIF(105:105,C34,106:106)+100</f>
        <v>100</v>
      </c>
      <c r="K34" s="365">
        <v>2</v>
      </c>
      <c r="L34" s="2489"/>
      <c r="M34" s="2484"/>
      <c r="N34" s="2484"/>
      <c r="O34" s="2484"/>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v>2</v>
      </c>
      <c r="L36" s="2489"/>
      <c r="M36" s="2484"/>
      <c r="N36" s="2484"/>
      <c r="O36" s="2484"/>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f>'数据-取费表'!Y6</f>
        <v>0.92</v>
      </c>
      <c r="D37" s="119">
        <v>100</v>
      </c>
      <c r="E37" s="411">
        <f>ROUND(1-(1-0)*(2025-E12)/60,2)</f>
        <v>0.85</v>
      </c>
      <c r="F37" s="364">
        <f>LOOKUP(E37,112:112,113:113)-LOOKUP(C37,112:112,113:113)+100</f>
        <v>99</v>
      </c>
      <c r="G37" s="411">
        <f>ROUND(1-(1-0)*(2025-G12)/60,2)</f>
        <v>0.9</v>
      </c>
      <c r="H37" s="119">
        <f>LOOKUP(G37,112:112,113:113)-LOOKUP(C37,112:112,113:113)+100</f>
        <v>100</v>
      </c>
      <c r="I37" s="411">
        <f>ROUND(1-(1-0)*(2025-I12)/60,2)</f>
        <v>0.92</v>
      </c>
      <c r="J37" s="119">
        <f>LOOKUP(I37,112:112,113:113)-LOOKUP(C37,112:112,113:113)+100</f>
        <v>100</v>
      </c>
      <c r="K37" s="365">
        <v>1</v>
      </c>
      <c r="L37" s="2485"/>
      <c r="M37" s="2437"/>
      <c r="N37" s="2437"/>
      <c r="O37" s="2437"/>
      <c r="P37" s="3433"/>
      <c r="Q37" s="530" t="str">
        <f t="shared" si="11"/>
        <v>成新度</v>
      </c>
      <c r="R37" s="664" t="s">
        <v>18</v>
      </c>
      <c r="S37" s="665">
        <f t="shared" si="12"/>
        <v>99</v>
      </c>
      <c r="T37" s="664" t="s">
        <v>18</v>
      </c>
      <c r="U37" s="665">
        <f t="shared" si="13"/>
        <v>100</v>
      </c>
      <c r="V37" s="664" t="s">
        <v>18</v>
      </c>
      <c r="W37" s="665">
        <f t="shared" si="14"/>
        <v>100</v>
      </c>
      <c r="X37" s="666"/>
      <c r="Y37" s="3435"/>
      <c r="Z37" s="50" t="str">
        <f t="shared" si="18"/>
        <v>成新度</v>
      </c>
      <c r="AA37" s="50">
        <f t="shared" si="15"/>
        <v>1.0101010101010102</v>
      </c>
      <c r="AB37" s="50">
        <f t="shared" si="16"/>
        <v>1</v>
      </c>
      <c r="AC37" s="50">
        <f t="shared" si="17"/>
        <v>1</v>
      </c>
    </row>
    <row r="38" spans="1:29" ht="15">
      <c r="A38" s="409"/>
      <c r="B38" s="364" t="s">
        <v>1702</v>
      </c>
      <c r="C38" s="1760" t="s">
        <v>3557</v>
      </c>
      <c r="D38" s="374">
        <v>100</v>
      </c>
      <c r="E38" s="1760" t="s">
        <v>3557</v>
      </c>
      <c r="F38" s="400">
        <f>SUMIF(114:114,E38,115:115)-SUMIF(114:114,C38,115:115)+100</f>
        <v>100</v>
      </c>
      <c r="G38" s="1760" t="s">
        <v>3557</v>
      </c>
      <c r="H38" s="374">
        <f>SUMIF(114:114,G38,115:115)-SUMIF(114:114,C38,115:115)+100</f>
        <v>100</v>
      </c>
      <c r="I38" s="1760" t="s">
        <v>3557</v>
      </c>
      <c r="J38" s="374">
        <f>SUMIF(114:114,I38,115:115)-SUMIF(114:114,C38,115:115)+100</f>
        <v>100</v>
      </c>
      <c r="K38" s="365">
        <v>2</v>
      </c>
      <c r="L38" s="2489"/>
      <c r="M38" s="2484"/>
      <c r="N38" s="2484"/>
      <c r="O38" s="2484"/>
      <c r="P38" s="3433" t="s">
        <v>1696</v>
      </c>
      <c r="Q38" s="1263" t="str">
        <f t="shared" si="11"/>
        <v>物业管理</v>
      </c>
      <c r="R38" s="667" t="s">
        <v>18</v>
      </c>
      <c r="S38" s="668">
        <f t="shared" si="12"/>
        <v>100</v>
      </c>
      <c r="T38" s="667" t="s">
        <v>18</v>
      </c>
      <c r="U38" s="668">
        <f t="shared" si="13"/>
        <v>100</v>
      </c>
      <c r="V38" s="667" t="s">
        <v>18</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60" t="s">
        <v>3521</v>
      </c>
      <c r="D39" s="374">
        <v>100</v>
      </c>
      <c r="E39" s="1760" t="s">
        <v>3521</v>
      </c>
      <c r="F39" s="400">
        <f>SUMIF(116:116,E39,117:117)-SUMIF(116:116,C39,117:117)+100</f>
        <v>100</v>
      </c>
      <c r="G39" s="1760" t="s">
        <v>3521</v>
      </c>
      <c r="H39" s="374">
        <f>SUMIF(116:116,G39,117:117)-SUMIF(116:116,C39,117:117)+100</f>
        <v>100</v>
      </c>
      <c r="I39" s="1760" t="s">
        <v>3521</v>
      </c>
      <c r="J39" s="374">
        <f>SUMIF(116:116,I39,117:117)-SUMIF(116:116,C39,117:117)+100</f>
        <v>100</v>
      </c>
      <c r="K39" s="365">
        <v>1</v>
      </c>
      <c r="L39" s="2489"/>
      <c r="M39" s="2484"/>
      <c r="N39" s="2484"/>
      <c r="O39" s="2484"/>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60" t="s">
        <v>3524</v>
      </c>
      <c r="D42" s="374">
        <v>100</v>
      </c>
      <c r="E42" s="1761" t="s">
        <v>3468</v>
      </c>
      <c r="F42" s="400">
        <f>SUMIF(122:122,E42,123:123)-SUMIF(122:122,C42,123:123)+100</f>
        <v>99</v>
      </c>
      <c r="G42" s="1760" t="s">
        <v>3468</v>
      </c>
      <c r="H42" s="374">
        <f>SUMIF(122:122,G42,123:123)-SUMIF(122:122,C42,123:123)+100</f>
        <v>99</v>
      </c>
      <c r="I42" s="1761" t="s">
        <v>3468</v>
      </c>
      <c r="J42" s="374">
        <f>SUMIF(122:122,I42,123:123)-SUMIF(122:122,C42,123:123)+100</f>
        <v>99</v>
      </c>
      <c r="K42" s="365">
        <v>1</v>
      </c>
      <c r="L42" s="2489"/>
      <c r="M42" s="2484"/>
      <c r="N42" s="2484"/>
      <c r="O42" s="2484"/>
      <c r="P42" s="3433"/>
      <c r="Q42" s="1263" t="str">
        <f t="shared" si="11"/>
        <v>内部装修</v>
      </c>
      <c r="R42" s="667" t="s">
        <v>18</v>
      </c>
      <c r="S42" s="668">
        <f t="shared" si="12"/>
        <v>99</v>
      </c>
      <c r="T42" s="667" t="s">
        <v>18</v>
      </c>
      <c r="U42" s="668">
        <f t="shared" si="13"/>
        <v>99</v>
      </c>
      <c r="V42" s="667" t="s">
        <v>18</v>
      </c>
      <c r="W42" s="668">
        <f t="shared" si="14"/>
        <v>99</v>
      </c>
      <c r="X42" s="1265"/>
      <c r="Y42" s="3435"/>
      <c r="Z42" s="1264" t="str">
        <f t="shared" si="18"/>
        <v>内部装修</v>
      </c>
      <c r="AA42" s="1264">
        <f t="shared" si="15"/>
        <v>1.0101010101010102</v>
      </c>
      <c r="AB42" s="1264">
        <f t="shared" si="16"/>
        <v>1.0101010101010102</v>
      </c>
      <c r="AC42" s="1264">
        <f t="shared" si="17"/>
        <v>1.0101010101010102</v>
      </c>
    </row>
    <row r="43" spans="1:29" ht="28.8">
      <c r="A43" s="409"/>
      <c r="B43" s="364" t="s">
        <v>1707</v>
      </c>
      <c r="C43" s="1760" t="s">
        <v>3492</v>
      </c>
      <c r="D43" s="374">
        <v>100</v>
      </c>
      <c r="E43" s="1760" t="s">
        <v>3492</v>
      </c>
      <c r="F43" s="400">
        <f>SUMIF(124:124,E43,125:125)-SUMIF(124:124,C43,125:125)+100</f>
        <v>100</v>
      </c>
      <c r="G43" s="1760" t="s">
        <v>3492</v>
      </c>
      <c r="H43" s="374">
        <f>SUMIF(124:124,G43,125:125)-SUMIF(124:124,C43,125:125)+100</f>
        <v>100</v>
      </c>
      <c r="I43" s="1760" t="s">
        <v>3492</v>
      </c>
      <c r="J43" s="374">
        <f>SUMIF(124:124,I43,125:125)-SUMIF(124:124,C43,125:125)+100</f>
        <v>100</v>
      </c>
      <c r="K43" s="365">
        <v>2</v>
      </c>
      <c r="L43" s="2489"/>
      <c r="M43" s="2484"/>
      <c r="N43" s="2484"/>
      <c r="O43" s="2484"/>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3188" t="s">
        <v>3549</v>
      </c>
      <c r="C44" s="3208" t="s">
        <v>3550</v>
      </c>
      <c r="D44" s="119">
        <v>100</v>
      </c>
      <c r="E44" s="3208" t="s">
        <v>3551</v>
      </c>
      <c r="F44" s="364">
        <f>SUMIF(126:126,E44,127:127)-SUMIF(126:126,C44,127:127)+100</f>
        <v>95</v>
      </c>
      <c r="G44" s="3208" t="s">
        <v>3551</v>
      </c>
      <c r="H44" s="119">
        <f>SUMIF(126:126,G44,127:127)-SUMIF(126:126,C44,127:127)+100</f>
        <v>95</v>
      </c>
      <c r="I44" s="3208" t="s">
        <v>3551</v>
      </c>
      <c r="J44" s="119">
        <f>SUMIF(126:126,I44,127:127)-SUMIF(126:126,C44,127:127)+100</f>
        <v>95</v>
      </c>
      <c r="K44" s="1748"/>
      <c r="L44" s="2485"/>
      <c r="M44" s="2437"/>
      <c r="N44" s="2437"/>
      <c r="O44" s="2437"/>
      <c r="P44" s="3433"/>
      <c r="Q44" s="530" t="str">
        <f t="shared" si="11"/>
        <v>是否有露台</v>
      </c>
      <c r="R44" s="664" t="s">
        <v>18</v>
      </c>
      <c r="S44" s="665">
        <f t="shared" si="12"/>
        <v>95</v>
      </c>
      <c r="T44" s="664" t="s">
        <v>18</v>
      </c>
      <c r="U44" s="665">
        <f t="shared" si="13"/>
        <v>95</v>
      </c>
      <c r="V44" s="664" t="s">
        <v>18</v>
      </c>
      <c r="W44" s="665">
        <f t="shared" si="14"/>
        <v>95</v>
      </c>
      <c r="X44" s="666"/>
      <c r="Y44" s="3435"/>
      <c r="Z44" s="50" t="str">
        <f t="shared" si="18"/>
        <v>是否有露台</v>
      </c>
      <c r="AA44" s="50">
        <f t="shared" si="15"/>
        <v>1.0526315789473684</v>
      </c>
      <c r="AB44" s="50">
        <f t="shared" si="16"/>
        <v>1.0526315789473684</v>
      </c>
      <c r="AC44" s="50">
        <f t="shared" si="17"/>
        <v>1.0526315789473684</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4.4">
      <c r="A47" s="416" t="s">
        <v>1708</v>
      </c>
      <c r="B47" s="417"/>
      <c r="C47" s="1081" t="s">
        <v>16</v>
      </c>
      <c r="D47" s="418"/>
      <c r="E47" s="419">
        <f>选取案例!B12</f>
        <v>9972</v>
      </c>
      <c r="F47" s="420"/>
      <c r="G47" s="421">
        <f>选取案例!C12</f>
        <v>10402</v>
      </c>
      <c r="H47" s="422"/>
      <c r="I47" s="3552">
        <f>选取案例!D12</f>
        <v>10190</v>
      </c>
      <c r="J47" s="422"/>
      <c r="K47" s="1766"/>
      <c r="L47" s="2491"/>
      <c r="M47" s="2484"/>
      <c r="N47" s="2484"/>
      <c r="O47" s="2484"/>
      <c r="P47" s="3428" t="str">
        <f>A47</f>
        <v>成交单价（元/平方米）</v>
      </c>
      <c r="Q47" s="3428"/>
      <c r="R47" s="3429">
        <f>E47</f>
        <v>9972</v>
      </c>
      <c r="S47" s="3429"/>
      <c r="T47" s="3429">
        <f>G47</f>
        <v>10402</v>
      </c>
      <c r="U47" s="3429"/>
      <c r="V47" s="3429">
        <f>I47</f>
        <v>10190</v>
      </c>
      <c r="W47" s="3429"/>
      <c r="X47" s="385"/>
      <c r="Y47" s="673"/>
      <c r="Z47" s="385"/>
      <c r="AA47" s="385"/>
      <c r="AB47" s="385"/>
      <c r="AC47" s="385"/>
    </row>
    <row r="48" spans="1:29" ht="15" thickBot="1">
      <c r="A48" s="423" t="s">
        <v>1709</v>
      </c>
      <c r="B48" s="424"/>
      <c r="C48" s="1082">
        <f>R49</f>
        <v>11090</v>
      </c>
      <c r="D48" s="2140" t="s">
        <v>2138</v>
      </c>
      <c r="E48" s="1083">
        <f>R48</f>
        <v>11267</v>
      </c>
      <c r="F48" s="2141"/>
      <c r="G48" s="1082">
        <f>T48</f>
        <v>11060</v>
      </c>
      <c r="H48" s="2141"/>
      <c r="I48" s="1083">
        <f>V48</f>
        <v>10944</v>
      </c>
      <c r="J48" s="2141"/>
      <c r="K48" s="2142">
        <f>F48+H48+J48</f>
        <v>0</v>
      </c>
      <c r="L48" s="2491"/>
      <c r="M48" s="2484"/>
      <c r="N48" s="2484"/>
      <c r="O48" s="2484"/>
      <c r="P48" s="3428" t="str">
        <f>A48</f>
        <v>比较价值（元/平方米）</v>
      </c>
      <c r="Q48" s="3428"/>
      <c r="R48" s="3429">
        <f>IF(F1="售价",ROUND(PRODUCT(R47,AA7:AA46),0),ROUND(PRODUCT(R47,AA7:AA46),1))</f>
        <v>11267</v>
      </c>
      <c r="S48" s="3429"/>
      <c r="T48" s="3429">
        <f>IF(F1="售价",ROUND(PRODUCT(T47,AB7:AB46),0),ROUND(PRODUCT(T47,AB7:AB46),1))</f>
        <v>11060</v>
      </c>
      <c r="U48" s="3429"/>
      <c r="V48" s="3429">
        <f>IF(F1="售价",ROUND(PRODUCT(V47,AC7:AC46),0),ROUND(PRODUCT(V47,AC7:AC46),1))</f>
        <v>10944</v>
      </c>
      <c r="W48" s="3429"/>
      <c r="X48" s="385"/>
      <c r="Y48" s="385"/>
      <c r="Z48" s="385"/>
      <c r="AA48" s="385"/>
      <c r="AB48" s="385"/>
      <c r="AC48" s="385"/>
    </row>
    <row r="49" spans="1:29" ht="15" thickBot="1">
      <c r="A49" s="427" t="s">
        <v>1710</v>
      </c>
      <c r="B49" s="428"/>
      <c r="C49" s="1084">
        <f>R49</f>
        <v>11090</v>
      </c>
      <c r="D49" s="351"/>
      <c r="E49" s="351"/>
      <c r="F49" s="351"/>
      <c r="G49" s="351"/>
      <c r="H49" s="351"/>
      <c r="I49" s="351"/>
      <c r="J49" s="351"/>
      <c r="K49" s="1767"/>
      <c r="L49" s="2491"/>
      <c r="M49" s="2484"/>
      <c r="N49" s="2484"/>
      <c r="O49" s="2484"/>
      <c r="P49" s="3425" t="str">
        <f>A49</f>
        <v>估价对象XX用房的比较价值（楼面单价，元/平方米）</v>
      </c>
      <c r="Q49" s="3426"/>
      <c r="R49" s="3427">
        <f>IF(F1="售价",ROUND(IF(D48="简单平均",AVERAGE(R48:V48),R48*F48+T48*H48+V48*J48),0),ROUND(IF(D48="简单平均",AVERAGE(R48:V48),R48*F48+T48*H48+V48*J48),1))</f>
        <v>11090</v>
      </c>
      <c r="S49" s="3427"/>
      <c r="T49" s="3427"/>
      <c r="U49" s="3427"/>
      <c r="V49" s="3427"/>
      <c r="W49" s="342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0.12986361813076619</v>
      </c>
      <c r="F52" s="435" t="str">
        <f>IF(OR(E52&gt;=0.3,E52&lt;=-0.3),"超过30%","")</f>
        <v/>
      </c>
      <c r="G52" s="434">
        <f>IF(G47&lt;G48,G48/G47-1,G47/G48-1)</f>
        <v>6.325706594885605E-2</v>
      </c>
      <c r="H52" s="435" t="str">
        <f>IF(OR(G52&gt;=0.3,G52&lt;=-0.3),"超过30%","")</f>
        <v/>
      </c>
      <c r="I52" s="434">
        <f>IF(I47&lt;I48,I48/I47-1,I47/I48-1)</f>
        <v>7.3994111874386759E-2</v>
      </c>
      <c r="J52" s="435" t="str">
        <f>IF(OR(I52&gt;=0.3,I52&lt;=-0.3),"超过30%","")</f>
        <v/>
      </c>
      <c r="K52" s="2496"/>
      <c r="L52" s="2492"/>
      <c r="M52" s="2484"/>
      <c r="N52" s="2484"/>
      <c r="O52" s="2484"/>
    </row>
    <row r="53" spans="1:29" ht="13.5" customHeight="1">
      <c r="A53" s="2484"/>
      <c r="B53" s="2484"/>
      <c r="C53" s="432" t="s">
        <v>1712</v>
      </c>
      <c r="D53" s="436"/>
      <c r="E53" s="434">
        <f>IF(E48&lt;G48,G48/E48-1,E48/G48-1)</f>
        <v>1.8716094032549702E-2</v>
      </c>
      <c r="F53" s="435" t="str">
        <f>IF(OR(E53&gt;=0.2,E53&lt;=-0.2),"超过20%","")</f>
        <v/>
      </c>
      <c r="G53" s="434">
        <f>IF(G48&lt;I48,I48/G48-1,G48/I48-1)</f>
        <v>1.0599415204678442E-2</v>
      </c>
      <c r="H53" s="435" t="str">
        <f>IF(OR(G53&gt;=0.2,G53&lt;=-0.2),"超过20%","")</f>
        <v/>
      </c>
      <c r="I53" s="434">
        <f>IF(I48&lt;E48,E48/I48-1,I48/E48-1)</f>
        <v>2.951388888888884E-2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4.3120738066586339E-2</v>
      </c>
      <c r="F54" s="435" t="str">
        <f>IF(OR(E54&gt;=0.3,E54&lt;=-0.3),"超过30%","")</f>
        <v/>
      </c>
      <c r="G54" s="434">
        <f>IF(G47&lt;I47,I47/G47-1,G47/I47-1)</f>
        <v>2.0804710500490708E-2</v>
      </c>
      <c r="H54" s="435" t="str">
        <f>IF(OR(G54&gt;=0.3,G54&lt;=-0.3),"超过30%","")</f>
        <v/>
      </c>
      <c r="I54" s="434">
        <f>IF(I47&lt;E47,E47/I47-1,I47/E47-1)</f>
        <v>2.1861211391897228E-2</v>
      </c>
      <c r="J54" s="435" t="str">
        <f>IF(OR(I54&gt;=0.3,I54&lt;=-0.3),"超过30%","")</f>
        <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1"/>
      <c r="C59" s="1102">
        <v>100</v>
      </c>
      <c r="D59" s="445">
        <v>100</v>
      </c>
      <c r="E59" s="445">
        <v>100</v>
      </c>
      <c r="F59" s="445">
        <v>100</v>
      </c>
      <c r="G59" s="445">
        <v>100</v>
      </c>
      <c r="H59" s="445">
        <v>100</v>
      </c>
      <c r="I59" s="445">
        <v>100</v>
      </c>
      <c r="J59" s="445">
        <v>100</v>
      </c>
      <c r="K59" s="445">
        <v>100</v>
      </c>
      <c r="L59" s="445">
        <v>100</v>
      </c>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87" t="s">
        <v>3493</v>
      </c>
      <c r="E61" s="31"/>
      <c r="F61" s="31"/>
      <c r="G61" s="31"/>
      <c r="H61" s="31"/>
      <c r="I61" s="31"/>
      <c r="J61" s="31"/>
      <c r="K61" s="31"/>
      <c r="L61" s="457"/>
      <c r="M61" s="458"/>
      <c r="N61" s="878"/>
      <c r="O61" s="878"/>
      <c r="P61" s="1773"/>
      <c r="Q61" s="439"/>
    </row>
    <row r="62" spans="1:29" s="102" customFormat="1" ht="14.4" thickBot="1">
      <c r="A62" s="455"/>
      <c r="B62" s="444"/>
      <c r="C62" s="445">
        <v>100</v>
      </c>
      <c r="D62" s="446">
        <v>105</v>
      </c>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t="s">
        <v>3494</v>
      </c>
      <c r="D65" s="513" t="s">
        <v>3495</v>
      </c>
      <c r="E65" s="513" t="s">
        <v>3496</v>
      </c>
      <c r="F65" s="513" t="s">
        <v>3497</v>
      </c>
      <c r="G65" s="513" t="s">
        <v>3498</v>
      </c>
      <c r="H65" s="513" t="s">
        <v>3499</v>
      </c>
      <c r="I65" s="513" t="s">
        <v>3500</v>
      </c>
      <c r="J65" s="513"/>
      <c r="K65" s="513"/>
      <c r="L65" s="513"/>
      <c r="M65" s="513"/>
      <c r="N65" s="880"/>
      <c r="O65" s="880"/>
      <c r="P65" s="1774"/>
      <c r="Q65" s="439"/>
    </row>
    <row r="66" spans="1:17" ht="14.4" thickBot="1">
      <c r="A66" s="367"/>
      <c r="B66" s="474"/>
      <c r="C66" s="467">
        <f t="shared" ref="C66:G66" si="20">D66-3</f>
        <v>82</v>
      </c>
      <c r="D66" s="467">
        <f t="shared" si="20"/>
        <v>85</v>
      </c>
      <c r="E66" s="467">
        <f t="shared" si="20"/>
        <v>88</v>
      </c>
      <c r="F66" s="467">
        <f t="shared" si="20"/>
        <v>91</v>
      </c>
      <c r="G66" s="467">
        <f t="shared" si="20"/>
        <v>94</v>
      </c>
      <c r="H66" s="467">
        <f>I66-3</f>
        <v>97</v>
      </c>
      <c r="I66" s="467">
        <v>100</v>
      </c>
      <c r="J66" s="467"/>
      <c r="K66" s="467"/>
      <c r="L66" s="467"/>
      <c r="M66" s="468"/>
      <c r="N66" s="880"/>
      <c r="O66" s="880"/>
      <c r="P66" s="1774"/>
      <c r="Q66" s="439"/>
    </row>
    <row r="67" spans="1:17" ht="15" thickTop="1">
      <c r="A67" s="367"/>
      <c r="B67" s="477" t="s">
        <v>1689</v>
      </c>
      <c r="C67" s="478" t="str">
        <f>C68&amp;"（含）"&amp;"-"&amp;D68</f>
        <v>0（含）-3</v>
      </c>
      <c r="D67" s="478" t="str">
        <f t="shared" ref="D67:L67" si="21">D68&amp;"（含）"&amp;"-"&amp;E68</f>
        <v>3（含）-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80"/>
      <c r="O67" s="880"/>
      <c r="P67" s="1774"/>
      <c r="Q67" s="439"/>
    </row>
    <row r="68" spans="1:17">
      <c r="A68" s="367"/>
      <c r="B68" s="479"/>
      <c r="C68" s="480">
        <v>0</v>
      </c>
      <c r="D68" s="480">
        <v>3</v>
      </c>
      <c r="E68" s="480"/>
      <c r="F68" s="480"/>
      <c r="G68" s="480"/>
      <c r="H68" s="480"/>
      <c r="I68" s="480"/>
      <c r="J68" s="480"/>
      <c r="K68" s="481"/>
      <c r="L68" s="482"/>
      <c r="M68" s="483"/>
      <c r="N68" s="879"/>
      <c r="O68" s="879"/>
      <c r="P68" s="1774"/>
      <c r="Q68" s="439"/>
    </row>
    <row r="69" spans="1:17" ht="14.4"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4"/>
      <c r="Q87" s="439"/>
    </row>
    <row r="88" spans="1:17" s="102" customFormat="1" ht="15" thickTop="1">
      <c r="A88" s="370"/>
      <c r="B88" s="469" t="s">
        <v>1735</v>
      </c>
      <c r="C88" s="3190" t="s">
        <v>3511</v>
      </c>
      <c r="D88" s="3190" t="s">
        <v>3512</v>
      </c>
      <c r="E88" s="3190" t="s">
        <v>3513</v>
      </c>
      <c r="F88" s="3192" t="s">
        <v>3514</v>
      </c>
      <c r="G88" s="3190" t="s">
        <v>3515</v>
      </c>
      <c r="H88" s="3190" t="s">
        <v>3516</v>
      </c>
      <c r="I88" s="3190" t="s">
        <v>3517</v>
      </c>
      <c r="J88" s="3190" t="s">
        <v>3518</v>
      </c>
      <c r="K88" s="3190" t="s">
        <v>3519</v>
      </c>
      <c r="L88" s="485"/>
      <c r="M88" s="511"/>
      <c r="N88" s="878"/>
      <c r="O88" s="878"/>
      <c r="P88" s="1774"/>
      <c r="Q88" s="439"/>
    </row>
    <row r="89" spans="1:17" s="102" customFormat="1" ht="14.4" thickBot="1">
      <c r="A89" s="370"/>
      <c r="B89" s="474"/>
      <c r="C89" s="512">
        <v>100</v>
      </c>
      <c r="D89" s="475">
        <f t="shared" ref="D89:M89" si="25">C89-$K26</f>
        <v>99.5</v>
      </c>
      <c r="E89" s="475">
        <f t="shared" si="25"/>
        <v>99</v>
      </c>
      <c r="F89" s="475">
        <f t="shared" si="25"/>
        <v>98.5</v>
      </c>
      <c r="G89" s="475">
        <f t="shared" si="25"/>
        <v>98</v>
      </c>
      <c r="H89" s="475">
        <f t="shared" si="25"/>
        <v>97.5</v>
      </c>
      <c r="I89" s="475">
        <f t="shared" si="25"/>
        <v>97</v>
      </c>
      <c r="J89" s="475">
        <f t="shared" si="25"/>
        <v>96.5</v>
      </c>
      <c r="K89" s="475">
        <f t="shared" si="25"/>
        <v>96</v>
      </c>
      <c r="L89" s="475">
        <f t="shared" si="25"/>
        <v>95.5</v>
      </c>
      <c r="M89" s="475">
        <f t="shared" si="25"/>
        <v>95</v>
      </c>
      <c r="N89" s="880"/>
      <c r="O89" s="880"/>
      <c r="P89" s="1774"/>
      <c r="Q89" s="439"/>
    </row>
    <row r="90" spans="1:17" s="408" customFormat="1" ht="15" thickTop="1">
      <c r="A90" s="484"/>
      <c r="B90" s="469" t="str">
        <f>B27</f>
        <v>楼层</v>
      </c>
      <c r="C90" s="3190" t="s">
        <v>3503</v>
      </c>
      <c r="D90" s="3190" t="s">
        <v>3504</v>
      </c>
      <c r="E90" s="3190" t="s">
        <v>3502</v>
      </c>
      <c r="F90" s="485"/>
      <c r="G90" s="485"/>
      <c r="H90" s="486"/>
      <c r="I90" s="486"/>
      <c r="J90" s="486"/>
      <c r="K90" s="486"/>
      <c r="L90" s="487"/>
      <c r="M90" s="488"/>
      <c r="N90" s="881"/>
      <c r="O90" s="881"/>
      <c r="P90" s="1775"/>
      <c r="Q90" s="490"/>
    </row>
    <row r="91" spans="1:17" s="408" customFormat="1" ht="14.4" thickBot="1">
      <c r="A91" s="484"/>
      <c r="B91" s="474"/>
      <c r="C91" s="491">
        <v>100</v>
      </c>
      <c r="D91" s="491">
        <f>C91-2</f>
        <v>98</v>
      </c>
      <c r="E91" s="491">
        <f>D91-2</f>
        <v>96</v>
      </c>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3201" t="s">
        <v>3532</v>
      </c>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6">C101-$K32</f>
        <v>98</v>
      </c>
      <c r="E101" s="475">
        <f t="shared" si="26"/>
        <v>96</v>
      </c>
      <c r="F101" s="475">
        <f t="shared" si="26"/>
        <v>94</v>
      </c>
      <c r="G101" s="475">
        <f t="shared" si="26"/>
        <v>92</v>
      </c>
      <c r="H101" s="475">
        <f t="shared" si="26"/>
        <v>90</v>
      </c>
      <c r="I101" s="475">
        <f t="shared" si="26"/>
        <v>88</v>
      </c>
      <c r="J101" s="475">
        <f t="shared" si="26"/>
        <v>86</v>
      </c>
      <c r="K101" s="475">
        <f t="shared" si="26"/>
        <v>84</v>
      </c>
      <c r="L101" s="475">
        <f t="shared" si="26"/>
        <v>82</v>
      </c>
      <c r="M101" s="475">
        <f t="shared" si="26"/>
        <v>80</v>
      </c>
      <c r="N101" s="880"/>
      <c r="O101" s="880"/>
      <c r="P101" s="1774"/>
      <c r="Q101" s="439"/>
    </row>
    <row r="102" spans="1:17" ht="15" thickTop="1">
      <c r="A102" s="367"/>
      <c r="B102" s="469" t="s">
        <v>1737</v>
      </c>
      <c r="C102" s="509" t="str">
        <f>C103&amp;"(含)"&amp;"-"&amp;D103</f>
        <v>0(含)-40</v>
      </c>
      <c r="D102" s="509" t="str">
        <f t="shared" ref="D102:L102" si="27">D103&amp;"(含)"&amp;"-"&amp;E103</f>
        <v>40(含)-60</v>
      </c>
      <c r="E102" s="509" t="str">
        <f t="shared" si="27"/>
        <v>60(含)-90</v>
      </c>
      <c r="F102" s="509" t="str">
        <f t="shared" si="27"/>
        <v>90(含)-110</v>
      </c>
      <c r="G102" s="509" t="str">
        <f t="shared" si="27"/>
        <v>110(含)-130</v>
      </c>
      <c r="H102" s="509" t="str">
        <f t="shared" si="27"/>
        <v>130(含)-150</v>
      </c>
      <c r="I102" s="509" t="str">
        <f t="shared" si="27"/>
        <v>150(含)-</v>
      </c>
      <c r="J102" s="509" t="str">
        <f t="shared" si="27"/>
        <v>(含)-</v>
      </c>
      <c r="K102" s="509" t="str">
        <f>K103&amp;"(含)"&amp;"-"&amp;L103</f>
        <v>(含)-</v>
      </c>
      <c r="L102" s="509" t="str">
        <f t="shared" si="27"/>
        <v>(含)-</v>
      </c>
      <c r="M102" s="509" t="str">
        <f>M103&amp;"(含)"&amp;"-"&amp;P103</f>
        <v>(含)-</v>
      </c>
      <c r="N102" s="878"/>
      <c r="O102" s="878"/>
      <c r="P102" s="1774"/>
      <c r="Q102" s="439"/>
    </row>
    <row r="103" spans="1:17" s="408" customFormat="1">
      <c r="A103" s="406"/>
      <c r="B103" s="523"/>
      <c r="C103" s="6">
        <v>0</v>
      </c>
      <c r="D103" s="6">
        <v>40</v>
      </c>
      <c r="E103" s="6">
        <v>60</v>
      </c>
      <c r="F103" s="6">
        <v>90</v>
      </c>
      <c r="G103" s="6">
        <v>110</v>
      </c>
      <c r="H103" s="6">
        <v>130</v>
      </c>
      <c r="I103" s="6">
        <v>150</v>
      </c>
      <c r="J103" s="524"/>
      <c r="K103" s="524"/>
      <c r="L103" s="525"/>
      <c r="M103" s="526"/>
      <c r="N103" s="881"/>
      <c r="O103" s="881"/>
      <c r="P103" s="1775"/>
      <c r="Q103" s="490"/>
    </row>
    <row r="104" spans="1:17" s="408" customFormat="1" ht="14.4" thickBot="1">
      <c r="A104" s="484"/>
      <c r="B104" s="474"/>
      <c r="C104" s="491">
        <v>100</v>
      </c>
      <c r="D104" s="467">
        <f>C104-1</f>
        <v>99</v>
      </c>
      <c r="E104" s="467">
        <f t="shared" ref="E104:I104" si="28">D104-1</f>
        <v>98</v>
      </c>
      <c r="F104" s="467">
        <f t="shared" si="28"/>
        <v>97</v>
      </c>
      <c r="G104" s="467">
        <f t="shared" si="28"/>
        <v>96</v>
      </c>
      <c r="H104" s="467">
        <f t="shared" si="28"/>
        <v>95</v>
      </c>
      <c r="I104" s="467">
        <f t="shared" si="28"/>
        <v>94</v>
      </c>
      <c r="J104" s="467"/>
      <c r="K104" s="467"/>
      <c r="L104" s="467"/>
      <c r="M104" s="467"/>
      <c r="N104" s="880"/>
      <c r="O104" s="880"/>
      <c r="P104" s="1775"/>
      <c r="Q104" s="490"/>
    </row>
    <row r="105" spans="1:17" ht="15" thickTop="1">
      <c r="A105" s="409"/>
      <c r="B105" s="469" t="s">
        <v>1738</v>
      </c>
      <c r="C105" s="3190" t="s">
        <v>3505</v>
      </c>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5">
        <f t="shared" si="29"/>
        <v>80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31">C110-$K36</f>
        <v>98</v>
      </c>
      <c r="E110" s="475">
        <f t="shared" si="31"/>
        <v>96</v>
      </c>
      <c r="F110" s="475">
        <f t="shared" si="31"/>
        <v>94</v>
      </c>
      <c r="G110" s="475">
        <f t="shared" si="31"/>
        <v>92</v>
      </c>
      <c r="H110" s="475">
        <f t="shared" si="31"/>
        <v>90</v>
      </c>
      <c r="I110" s="475">
        <f t="shared" si="31"/>
        <v>88</v>
      </c>
      <c r="J110" s="475">
        <f t="shared" si="31"/>
        <v>86</v>
      </c>
      <c r="K110" s="475">
        <f t="shared" si="31"/>
        <v>84</v>
      </c>
      <c r="L110" s="475">
        <f t="shared" si="31"/>
        <v>82</v>
      </c>
      <c r="M110" s="475">
        <f t="shared" si="31"/>
        <v>80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5"/>
      <c r="Q113" s="490"/>
    </row>
    <row r="114" spans="1:17" ht="15" thickTop="1">
      <c r="A114" s="409"/>
      <c r="B114" s="469" t="s">
        <v>1741</v>
      </c>
      <c r="C114" s="3190" t="s">
        <v>3558</v>
      </c>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2">C115-$K38</f>
        <v>98</v>
      </c>
      <c r="E115" s="475">
        <f t="shared" si="32"/>
        <v>96</v>
      </c>
      <c r="F115" s="475">
        <f t="shared" si="32"/>
        <v>94</v>
      </c>
      <c r="G115" s="475">
        <f t="shared" si="32"/>
        <v>92</v>
      </c>
      <c r="H115" s="475">
        <f t="shared" si="32"/>
        <v>90</v>
      </c>
      <c r="I115" s="475">
        <f t="shared" si="32"/>
        <v>88</v>
      </c>
      <c r="J115" s="475">
        <f t="shared" si="32"/>
        <v>86</v>
      </c>
      <c r="K115" s="475">
        <f t="shared" si="32"/>
        <v>84</v>
      </c>
      <c r="L115" s="475">
        <f t="shared" si="32"/>
        <v>82</v>
      </c>
      <c r="M115" s="475">
        <f t="shared" si="32"/>
        <v>80</v>
      </c>
      <c r="N115" s="880"/>
      <c r="O115" s="880"/>
      <c r="P115" s="1774"/>
      <c r="Q115" s="439"/>
    </row>
    <row r="116" spans="1:17" ht="15" thickTop="1">
      <c r="A116" s="409"/>
      <c r="B116" s="469" t="s">
        <v>1742</v>
      </c>
      <c r="C116" s="3190" t="s">
        <v>3506</v>
      </c>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90" t="s">
        <v>3507</v>
      </c>
      <c r="D122" s="3190" t="s">
        <v>3508</v>
      </c>
      <c r="E122" s="3190" t="s">
        <v>3509</v>
      </c>
      <c r="F122" s="3191" t="s">
        <v>3510</v>
      </c>
      <c r="G122" s="513"/>
      <c r="H122" s="513"/>
      <c r="I122" s="513"/>
      <c r="J122" s="513"/>
      <c r="K122" s="514"/>
      <c r="L122" s="515"/>
      <c r="M122" s="516"/>
      <c r="N122" s="879"/>
      <c r="O122" s="879"/>
      <c r="P122" s="1774"/>
      <c r="Q122" s="439"/>
    </row>
    <row r="123" spans="1:17" ht="14.4"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t="str">
        <f>B44</f>
        <v>是否有露台</v>
      </c>
      <c r="C126" s="3190" t="s">
        <v>3550</v>
      </c>
      <c r="D126" s="3190" t="s">
        <v>3551</v>
      </c>
      <c r="E126" s="485"/>
      <c r="F126" s="485"/>
      <c r="G126" s="485"/>
      <c r="H126" s="486"/>
      <c r="I126" s="486"/>
      <c r="J126" s="486"/>
      <c r="K126" s="486"/>
      <c r="L126" s="487"/>
      <c r="M126" s="488"/>
      <c r="N126" s="881"/>
      <c r="O126" s="881"/>
      <c r="P126" s="1775"/>
      <c r="Q126" s="490"/>
    </row>
    <row r="127" spans="1:17" s="408" customFormat="1" ht="14.4" thickBot="1">
      <c r="A127" s="484"/>
      <c r="B127" s="474"/>
      <c r="C127" s="491">
        <v>100</v>
      </c>
      <c r="D127" s="467">
        <v>95</v>
      </c>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106.32</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47" t="s">
        <v>1775</v>
      </c>
      <c r="Q4" s="3448"/>
      <c r="R4" s="3453" t="s">
        <v>1771</v>
      </c>
      <c r="S4" s="3454"/>
      <c r="T4" s="3453" t="s">
        <v>1772</v>
      </c>
      <c r="U4" s="3454"/>
      <c r="V4" s="3429" t="s">
        <v>1773</v>
      </c>
      <c r="W4" s="3429"/>
      <c r="X4" s="1265"/>
      <c r="Y4" s="3453" t="s">
        <v>1775</v>
      </c>
      <c r="Z4" s="3454"/>
      <c r="AA4" s="3440" t="s">
        <v>1771</v>
      </c>
      <c r="AB4" s="3429" t="s">
        <v>1772</v>
      </c>
      <c r="AC4" s="3440" t="s">
        <v>1773</v>
      </c>
    </row>
    <row r="5" spans="1:29">
      <c r="A5" s="348"/>
      <c r="B5" s="349"/>
      <c r="C5" s="3459" t="s">
        <v>1673</v>
      </c>
      <c r="D5" s="3460"/>
      <c r="E5" s="3467" t="s">
        <v>1674</v>
      </c>
      <c r="F5" s="3468"/>
      <c r="G5" s="3459" t="s">
        <v>1675</v>
      </c>
      <c r="H5" s="3460"/>
      <c r="I5" s="3459" t="s">
        <v>1676</v>
      </c>
      <c r="J5" s="3460"/>
      <c r="K5" s="537"/>
      <c r="L5" s="2483"/>
      <c r="M5" s="2484"/>
      <c r="N5" s="2484"/>
      <c r="O5" s="2484"/>
      <c r="P5" s="3449"/>
      <c r="Q5" s="3450"/>
      <c r="R5" s="3455"/>
      <c r="S5" s="3456"/>
      <c r="T5" s="3455"/>
      <c r="U5" s="3456"/>
      <c r="V5" s="3429"/>
      <c r="W5" s="3429"/>
      <c r="X5" s="1265"/>
      <c r="Y5" s="3455"/>
      <c r="Z5" s="3456"/>
      <c r="AA5" s="3441"/>
      <c r="AB5" s="3429"/>
      <c r="AC5" s="3441"/>
    </row>
    <row r="6" spans="1:29" ht="15" thickBot="1">
      <c r="A6" s="350"/>
      <c r="B6" s="351"/>
      <c r="C6" s="3465" t="s">
        <v>1677</v>
      </c>
      <c r="D6" s="3466"/>
      <c r="E6" s="3469" t="s">
        <v>1677</v>
      </c>
      <c r="F6" s="3470"/>
      <c r="G6" s="3465" t="s">
        <v>1677</v>
      </c>
      <c r="H6" s="3466"/>
      <c r="I6" s="3465" t="s">
        <v>1677</v>
      </c>
      <c r="J6" s="3466"/>
      <c r="K6" s="537" t="s">
        <v>1678</v>
      </c>
      <c r="L6" s="2483"/>
      <c r="M6" s="2484"/>
      <c r="N6" s="2484"/>
      <c r="O6" s="2484"/>
      <c r="P6" s="3451"/>
      <c r="Q6" s="3452"/>
      <c r="R6" s="3455"/>
      <c r="S6" s="3456"/>
      <c r="T6" s="3457"/>
      <c r="U6" s="3458"/>
      <c r="V6" s="3429"/>
      <c r="W6" s="3429"/>
      <c r="X6" s="1265"/>
      <c r="Y6" s="3457"/>
      <c r="Z6" s="3458"/>
      <c r="AA6" s="3442"/>
      <c r="AB6" s="3429"/>
      <c r="AC6" s="3442"/>
    </row>
    <row r="7" spans="1:29" s="102" customFormat="1" ht="15" thickBot="1">
      <c r="A7" s="352" t="s">
        <v>1679</v>
      </c>
      <c r="B7" s="353"/>
      <c r="C7" s="354">
        <f>'数据-取费表'!B2</f>
        <v>45928</v>
      </c>
      <c r="D7" s="355">
        <v>100</v>
      </c>
      <c r="E7" s="356"/>
      <c r="F7" s="357">
        <f>SUMIF(58:58,YEAR(E7)&amp;"-"&amp;MONTH(E7),59:59)</f>
        <v>0</v>
      </c>
      <c r="G7" s="356"/>
      <c r="H7" s="355">
        <f>SUMIF(58:58,YEAR(G7)&amp;"-"&amp;MONTH(G7),59:59)</f>
        <v>0</v>
      </c>
      <c r="I7" s="356"/>
      <c r="J7" s="355">
        <f>SUMIF(58:58,YEAR(I7)&amp;"-"&amp;MONTH(I7),59:59)</f>
        <v>0</v>
      </c>
      <c r="K7" s="38"/>
      <c r="L7" s="2485"/>
      <c r="M7" s="2437"/>
      <c r="N7" s="2437"/>
      <c r="O7" s="2437"/>
      <c r="P7" s="3461" t="s">
        <v>1680</v>
      </c>
      <c r="Q7" s="3463"/>
      <c r="R7" s="664" t="s">
        <v>14</v>
      </c>
      <c r="S7" s="665">
        <f t="shared" ref="S7:S15" si="0">F7</f>
        <v>0</v>
      </c>
      <c r="T7" s="664" t="s">
        <v>14</v>
      </c>
      <c r="U7" s="665">
        <f t="shared" ref="U7:U15" si="1">H7</f>
        <v>0</v>
      </c>
      <c r="V7" s="664" t="s">
        <v>14</v>
      </c>
      <c r="W7" s="665">
        <f t="shared" ref="W7:W15" si="2">J7</f>
        <v>0</v>
      </c>
      <c r="X7" s="666"/>
      <c r="Y7" s="3461" t="s">
        <v>1680</v>
      </c>
      <c r="Z7" s="346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61" t="s">
        <v>1683</v>
      </c>
      <c r="Q8" s="3462"/>
      <c r="R8" s="664" t="s">
        <v>14</v>
      </c>
      <c r="S8" s="665">
        <f t="shared" si="0"/>
        <v>100</v>
      </c>
      <c r="T8" s="664" t="s">
        <v>14</v>
      </c>
      <c r="U8" s="665">
        <f t="shared" si="1"/>
        <v>100</v>
      </c>
      <c r="V8" s="664" t="s">
        <v>14</v>
      </c>
      <c r="W8" s="665">
        <f t="shared" si="2"/>
        <v>100</v>
      </c>
      <c r="X8" s="666"/>
      <c r="Y8" s="3461" t="s">
        <v>1683</v>
      </c>
      <c r="Z8" s="346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3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3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39"/>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3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3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3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37" t="s">
        <v>1691</v>
      </c>
      <c r="Q15" s="1263" t="str">
        <f t="shared" si="6"/>
        <v>商业繁华度</v>
      </c>
      <c r="R15" s="667" t="s">
        <v>14</v>
      </c>
      <c r="S15" s="668">
        <f t="shared" si="0"/>
        <v>100</v>
      </c>
      <c r="T15" s="667" t="s">
        <v>14</v>
      </c>
      <c r="U15" s="668">
        <f t="shared" si="1"/>
        <v>100</v>
      </c>
      <c r="V15" s="667" t="s">
        <v>14</v>
      </c>
      <c r="W15" s="668">
        <f t="shared" si="2"/>
        <v>100</v>
      </c>
      <c r="X15" s="1265"/>
      <c r="Y15" s="343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38"/>
      <c r="Q16" s="1263"/>
      <c r="R16" s="667"/>
      <c r="S16" s="668"/>
      <c r="T16" s="667"/>
      <c r="U16" s="668"/>
      <c r="V16" s="667"/>
      <c r="W16" s="668"/>
      <c r="X16" s="1265"/>
      <c r="Y16" s="343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38"/>
      <c r="Q18" s="1263"/>
      <c r="R18" s="667"/>
      <c r="S18" s="668"/>
      <c r="T18" s="667"/>
      <c r="U18" s="668"/>
      <c r="V18" s="667"/>
      <c r="W18" s="668"/>
      <c r="X18" s="1265"/>
      <c r="Y18" s="343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38"/>
      <c r="Q20" s="1263"/>
      <c r="R20" s="667"/>
      <c r="S20" s="668"/>
      <c r="T20" s="667"/>
      <c r="U20" s="668"/>
      <c r="V20" s="667"/>
      <c r="W20" s="668"/>
      <c r="X20" s="1265"/>
      <c r="Y20" s="343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38"/>
      <c r="Q22" s="1263"/>
      <c r="R22" s="667"/>
      <c r="S22" s="668"/>
      <c r="T22" s="667"/>
      <c r="U22" s="668"/>
      <c r="V22" s="667"/>
      <c r="W22" s="668"/>
      <c r="X22" s="1265"/>
      <c r="Y22" s="3431"/>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38"/>
      <c r="Q24" s="1263"/>
      <c r="R24" s="667"/>
      <c r="S24" s="668"/>
      <c r="T24" s="667"/>
      <c r="U24" s="668"/>
      <c r="V24" s="667"/>
      <c r="W24" s="668"/>
      <c r="X24" s="1265"/>
      <c r="Y24" s="34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32" t="s">
        <v>1696</v>
      </c>
      <c r="Q32" s="1263" t="str">
        <f t="shared" si="11"/>
        <v>商业类型</v>
      </c>
      <c r="R32" s="667" t="s">
        <v>14</v>
      </c>
      <c r="S32" s="668">
        <f t="shared" si="12"/>
        <v>100</v>
      </c>
      <c r="T32" s="667" t="s">
        <v>14</v>
      </c>
      <c r="U32" s="668">
        <f t="shared" si="13"/>
        <v>100</v>
      </c>
      <c r="V32" s="667" t="s">
        <v>14</v>
      </c>
      <c r="W32" s="668">
        <f t="shared" si="14"/>
        <v>100</v>
      </c>
      <c r="X32" s="1265"/>
      <c r="Y32" s="343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33"/>
      <c r="Q33" s="531" t="str">
        <f t="shared" si="11"/>
        <v>项目建筑规模</v>
      </c>
      <c r="R33" s="669" t="s">
        <v>14</v>
      </c>
      <c r="S33" s="670" t="e">
        <f t="shared" si="12"/>
        <v>#N/A</v>
      </c>
      <c r="T33" s="669" t="s">
        <v>14</v>
      </c>
      <c r="U33" s="670" t="e">
        <f t="shared" si="13"/>
        <v>#N/A</v>
      </c>
      <c r="V33" s="669" t="s">
        <v>14</v>
      </c>
      <c r="W33" s="670" t="e">
        <f t="shared" si="14"/>
        <v>#N/A</v>
      </c>
      <c r="X33" s="671"/>
      <c r="Y33" s="343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33"/>
      <c r="Q36" s="1263" t="str">
        <f t="shared" si="11"/>
        <v>成新度</v>
      </c>
      <c r="R36" s="667" t="s">
        <v>14</v>
      </c>
      <c r="S36" s="668" t="e">
        <f t="shared" si="12"/>
        <v>#N/A</v>
      </c>
      <c r="T36" s="667" t="s">
        <v>14</v>
      </c>
      <c r="U36" s="668" t="e">
        <f t="shared" si="13"/>
        <v>#N/A</v>
      </c>
      <c r="V36" s="667" t="s">
        <v>14</v>
      </c>
      <c r="W36" s="668" t="e">
        <f t="shared" si="14"/>
        <v>#N/A</v>
      </c>
      <c r="X36" s="1265"/>
      <c r="Y36" s="343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7"/>
      <c r="N37" s="2437"/>
      <c r="O37" s="2437"/>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33" t="s">
        <v>1696</v>
      </c>
      <c r="Q38" s="1263" t="str">
        <f t="shared" si="11"/>
        <v>业态</v>
      </c>
      <c r="R38" s="667" t="s">
        <v>14</v>
      </c>
      <c r="S38" s="668">
        <f t="shared" si="12"/>
        <v>100</v>
      </c>
      <c r="T38" s="667" t="s">
        <v>14</v>
      </c>
      <c r="U38" s="668">
        <f t="shared" si="13"/>
        <v>100</v>
      </c>
      <c r="V38" s="667" t="s">
        <v>14</v>
      </c>
      <c r="W38" s="668">
        <f t="shared" si="14"/>
        <v>100</v>
      </c>
      <c r="X38" s="1265"/>
      <c r="Y38" s="343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1"/>
      <c r="M47" s="2484"/>
      <c r="N47" s="2484"/>
      <c r="O47" s="2484"/>
      <c r="P47" s="3428" t="str">
        <f>A47</f>
        <v>成交单价（元/平方米）</v>
      </c>
      <c r="Q47" s="3428"/>
      <c r="R47" s="3429">
        <f>E47</f>
        <v>0</v>
      </c>
      <c r="S47" s="3429"/>
      <c r="T47" s="3429">
        <f>G47</f>
        <v>0</v>
      </c>
      <c r="U47" s="3429"/>
      <c r="V47" s="3429">
        <f>I47</f>
        <v>0</v>
      </c>
      <c r="W47" s="3429"/>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1"/>
      <c r="M48" s="2484"/>
      <c r="N48" s="2484"/>
      <c r="O48" s="248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106.32</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77" t="s">
        <v>1775</v>
      </c>
      <c r="Q4" s="3478"/>
      <c r="R4" s="3481" t="s">
        <v>1771</v>
      </c>
      <c r="S4" s="3482"/>
      <c r="T4" s="3481" t="s">
        <v>1772</v>
      </c>
      <c r="U4" s="3482"/>
      <c r="V4" s="3483" t="s">
        <v>1773</v>
      </c>
      <c r="W4" s="3483"/>
      <c r="X4" s="1808"/>
      <c r="Y4" s="3481" t="s">
        <v>1775</v>
      </c>
      <c r="Z4" s="3482"/>
      <c r="AA4" s="3485" t="s">
        <v>1771</v>
      </c>
      <c r="AB4" s="3485" t="s">
        <v>1772</v>
      </c>
      <c r="AC4" s="3474" t="s">
        <v>1773</v>
      </c>
    </row>
    <row r="5" spans="1:29">
      <c r="A5" s="348"/>
      <c r="B5" s="349"/>
      <c r="C5" s="3459" t="s">
        <v>1673</v>
      </c>
      <c r="D5" s="3460"/>
      <c r="E5" s="3467" t="s">
        <v>1674</v>
      </c>
      <c r="F5" s="3468"/>
      <c r="G5" s="3459" t="s">
        <v>1675</v>
      </c>
      <c r="H5" s="3460"/>
      <c r="I5" s="3459" t="s">
        <v>1676</v>
      </c>
      <c r="J5" s="3460"/>
      <c r="K5" s="537"/>
      <c r="L5" s="2483"/>
      <c r="M5" s="2484"/>
      <c r="N5" s="2484"/>
      <c r="O5" s="2484"/>
      <c r="P5" s="3479"/>
      <c r="Q5" s="3450"/>
      <c r="R5" s="3455"/>
      <c r="S5" s="3456"/>
      <c r="T5" s="3455"/>
      <c r="U5" s="3456"/>
      <c r="V5" s="3429"/>
      <c r="W5" s="3429"/>
      <c r="X5" s="1265"/>
      <c r="Y5" s="3455"/>
      <c r="Z5" s="3456"/>
      <c r="AA5" s="3441"/>
      <c r="AB5" s="3441"/>
      <c r="AC5" s="3475"/>
    </row>
    <row r="6" spans="1:29" ht="15" thickBot="1">
      <c r="A6" s="350"/>
      <c r="B6" s="351"/>
      <c r="C6" s="3465" t="s">
        <v>1677</v>
      </c>
      <c r="D6" s="3466"/>
      <c r="E6" s="3469" t="s">
        <v>1677</v>
      </c>
      <c r="F6" s="3470"/>
      <c r="G6" s="3465" t="s">
        <v>1677</v>
      </c>
      <c r="H6" s="3466"/>
      <c r="I6" s="3465" t="s">
        <v>1677</v>
      </c>
      <c r="J6" s="3466"/>
      <c r="K6" s="537" t="s">
        <v>1678</v>
      </c>
      <c r="L6" s="2483"/>
      <c r="M6" s="2484"/>
      <c r="N6" s="2484"/>
      <c r="O6" s="2484"/>
      <c r="P6" s="3480"/>
      <c r="Q6" s="3452"/>
      <c r="R6" s="3455"/>
      <c r="S6" s="3456"/>
      <c r="T6" s="3457"/>
      <c r="U6" s="3458"/>
      <c r="V6" s="3429"/>
      <c r="W6" s="3429"/>
      <c r="X6" s="1265"/>
      <c r="Y6" s="3457"/>
      <c r="Z6" s="3458"/>
      <c r="AA6" s="3442"/>
      <c r="AB6" s="3442"/>
      <c r="AC6" s="3476"/>
    </row>
    <row r="7" spans="1:29" s="102" customFormat="1" ht="15" thickBot="1">
      <c r="A7" s="352" t="s">
        <v>1679</v>
      </c>
      <c r="B7" s="353"/>
      <c r="C7" s="354">
        <f>'数据-取费表'!B2</f>
        <v>45928</v>
      </c>
      <c r="D7" s="355">
        <v>100</v>
      </c>
      <c r="E7" s="356"/>
      <c r="F7" s="357">
        <f>SUMIF(59:59,YEAR(E7)&amp;"-"&amp;MONTH(E7),60:60)</f>
        <v>0</v>
      </c>
      <c r="G7" s="356"/>
      <c r="H7" s="355">
        <f>SUMIF(59:59,YEAR(G7)&amp;"-"&amp;MONTH(G7),60:60)</f>
        <v>0</v>
      </c>
      <c r="I7" s="356"/>
      <c r="J7" s="355">
        <f>SUMIF(59:59,YEAR(I7)&amp;"-"&amp;MONTH(I7),60:60)</f>
        <v>0</v>
      </c>
      <c r="K7" s="38"/>
      <c r="L7" s="2485"/>
      <c r="M7" s="2437"/>
      <c r="N7" s="2437"/>
      <c r="O7" s="2437"/>
      <c r="P7" s="3484" t="s">
        <v>1680</v>
      </c>
      <c r="Q7" s="3463"/>
      <c r="R7" s="664" t="s">
        <v>14</v>
      </c>
      <c r="S7" s="665">
        <f t="shared" ref="S7:S15" si="0">F7</f>
        <v>0</v>
      </c>
      <c r="T7" s="664" t="s">
        <v>14</v>
      </c>
      <c r="U7" s="665">
        <f t="shared" ref="U7:U15" si="1">H7</f>
        <v>0</v>
      </c>
      <c r="V7" s="664" t="s">
        <v>14</v>
      </c>
      <c r="W7" s="665">
        <f t="shared" ref="W7:W15" si="2">J7</f>
        <v>0</v>
      </c>
      <c r="X7" s="666"/>
      <c r="Y7" s="3461" t="s">
        <v>1680</v>
      </c>
      <c r="Z7" s="346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84" t="s">
        <v>1683</v>
      </c>
      <c r="Q8" s="3462"/>
      <c r="R8" s="664" t="s">
        <v>14</v>
      </c>
      <c r="S8" s="665">
        <f t="shared" si="0"/>
        <v>100</v>
      </c>
      <c r="T8" s="664" t="s">
        <v>14</v>
      </c>
      <c r="U8" s="665">
        <f t="shared" si="1"/>
        <v>100</v>
      </c>
      <c r="V8" s="664" t="s">
        <v>14</v>
      </c>
      <c r="W8" s="665">
        <f t="shared" si="2"/>
        <v>100</v>
      </c>
      <c r="X8" s="666"/>
      <c r="Y8" s="3461" t="s">
        <v>1683</v>
      </c>
      <c r="Z8" s="346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39"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39"/>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39"/>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39"/>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39"/>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39"/>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7" t="s">
        <v>1691</v>
      </c>
      <c r="Q15" s="1263" t="str">
        <f t="shared" si="6"/>
        <v>办公集聚程度</v>
      </c>
      <c r="R15" s="667" t="s">
        <v>14</v>
      </c>
      <c r="S15" s="668">
        <f t="shared" si="0"/>
        <v>100</v>
      </c>
      <c r="T15" s="667" t="s">
        <v>14</v>
      </c>
      <c r="U15" s="668">
        <f t="shared" si="1"/>
        <v>100</v>
      </c>
      <c r="V15" s="667" t="s">
        <v>14</v>
      </c>
      <c r="W15" s="668">
        <f t="shared" si="2"/>
        <v>100</v>
      </c>
      <c r="X15" s="1265"/>
      <c r="Y15" s="3430"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89"/>
      <c r="M16" s="2484"/>
      <c r="N16" s="2484"/>
      <c r="O16" s="2484"/>
      <c r="P16" s="3438"/>
      <c r="Q16" s="1263"/>
      <c r="R16" s="667"/>
      <c r="S16" s="668"/>
      <c r="T16" s="667"/>
      <c r="U16" s="668"/>
      <c r="V16" s="667"/>
      <c r="W16" s="668"/>
      <c r="X16" s="1265"/>
      <c r="Y16" s="3431"/>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89"/>
      <c r="M18" s="2484"/>
      <c r="N18" s="2484"/>
      <c r="O18" s="2484"/>
      <c r="P18" s="3438"/>
      <c r="Q18" s="1263"/>
      <c r="R18" s="667"/>
      <c r="S18" s="668"/>
      <c r="T18" s="667"/>
      <c r="U18" s="668"/>
      <c r="V18" s="667"/>
      <c r="W18" s="668"/>
      <c r="X18" s="1265"/>
      <c r="Y18" s="3431"/>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89"/>
      <c r="M20" s="2484"/>
      <c r="N20" s="2484"/>
      <c r="O20" s="2484"/>
      <c r="P20" s="3438"/>
      <c r="Q20" s="1263"/>
      <c r="R20" s="667"/>
      <c r="S20" s="668"/>
      <c r="T20" s="667"/>
      <c r="U20" s="668"/>
      <c r="V20" s="667"/>
      <c r="W20" s="668"/>
      <c r="X20" s="1265"/>
      <c r="Y20" s="3431"/>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89"/>
      <c r="M22" s="2484"/>
      <c r="N22" s="2484"/>
      <c r="O22" s="2484"/>
      <c r="P22" s="3438"/>
      <c r="Q22" s="1263"/>
      <c r="R22" s="667"/>
      <c r="S22" s="668"/>
      <c r="T22" s="667"/>
      <c r="U22" s="668"/>
      <c r="V22" s="667"/>
      <c r="W22" s="668"/>
      <c r="X22" s="1265"/>
      <c r="Y22" s="3431"/>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89"/>
      <c r="M24" s="2484"/>
      <c r="N24" s="2484"/>
      <c r="O24" s="2484"/>
      <c r="P24" s="3438"/>
      <c r="Q24" s="1263"/>
      <c r="R24" s="667"/>
      <c r="S24" s="668"/>
      <c r="T24" s="667"/>
      <c r="U24" s="668"/>
      <c r="V24" s="667"/>
      <c r="W24" s="668"/>
      <c r="X24" s="1265"/>
      <c r="Y24" s="3431"/>
      <c r="Z24" s="1264"/>
      <c r="AA24" s="1264">
        <v>1</v>
      </c>
      <c r="AB24" s="1264">
        <v>1</v>
      </c>
      <c r="AC24" s="1811">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38"/>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89"/>
      <c r="M26" s="2484"/>
      <c r="N26" s="2484"/>
      <c r="O26" s="2484"/>
      <c r="P26" s="3438"/>
      <c r="Q26" s="1263"/>
      <c r="R26" s="667"/>
      <c r="S26" s="668"/>
      <c r="T26" s="667"/>
      <c r="U26" s="668"/>
      <c r="V26" s="667"/>
      <c r="W26" s="668"/>
      <c r="X26" s="1265"/>
      <c r="Y26" s="3431"/>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1">
        <f t="shared" si="5"/>
        <v>1</v>
      </c>
    </row>
    <row r="32" spans="1:29" ht="15.6"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32" t="s">
        <v>1696</v>
      </c>
      <c r="Q33" s="1263" t="str">
        <f t="shared" si="11"/>
        <v>建筑类型</v>
      </c>
      <c r="R33" s="667" t="s">
        <v>14</v>
      </c>
      <c r="S33" s="668">
        <f t="shared" si="12"/>
        <v>100</v>
      </c>
      <c r="T33" s="667" t="s">
        <v>14</v>
      </c>
      <c r="U33" s="668">
        <f t="shared" si="13"/>
        <v>100</v>
      </c>
      <c r="V33" s="667" t="s">
        <v>14</v>
      </c>
      <c r="W33" s="668">
        <f t="shared" si="14"/>
        <v>100</v>
      </c>
      <c r="X33" s="1265"/>
      <c r="Y33" s="3435"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3"/>
      <c r="Q34" s="531" t="str">
        <f t="shared" si="11"/>
        <v>项目建筑规模</v>
      </c>
      <c r="R34" s="669" t="s">
        <v>14</v>
      </c>
      <c r="S34" s="670" t="e">
        <f t="shared" si="12"/>
        <v>#N/A</v>
      </c>
      <c r="T34" s="669" t="s">
        <v>14</v>
      </c>
      <c r="U34" s="670" t="e">
        <f t="shared" si="13"/>
        <v>#N/A</v>
      </c>
      <c r="V34" s="669" t="s">
        <v>14</v>
      </c>
      <c r="W34" s="670" t="e">
        <f t="shared" si="14"/>
        <v>#N/A</v>
      </c>
      <c r="X34" s="671"/>
      <c r="Y34" s="3435"/>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3"/>
      <c r="Q37" s="1263" t="str">
        <f t="shared" si="11"/>
        <v>成新度</v>
      </c>
      <c r="R37" s="667" t="s">
        <v>14</v>
      </c>
      <c r="S37" s="668" t="e">
        <f t="shared" si="12"/>
        <v>#N/A</v>
      </c>
      <c r="T37" s="667" t="s">
        <v>14</v>
      </c>
      <c r="U37" s="668" t="e">
        <f t="shared" si="13"/>
        <v>#N/A</v>
      </c>
      <c r="V37" s="667" t="s">
        <v>14</v>
      </c>
      <c r="W37" s="668" t="e">
        <f t="shared" si="14"/>
        <v>#N/A</v>
      </c>
      <c r="X37" s="1265"/>
      <c r="Y37" s="3435"/>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3" t="s">
        <v>1696</v>
      </c>
      <c r="Q39" s="1263" t="str">
        <f t="shared" si="11"/>
        <v>物业管理</v>
      </c>
      <c r="R39" s="667" t="s">
        <v>14</v>
      </c>
      <c r="S39" s="668">
        <f t="shared" si="12"/>
        <v>100</v>
      </c>
      <c r="T39" s="667" t="s">
        <v>14</v>
      </c>
      <c r="U39" s="668">
        <f t="shared" si="13"/>
        <v>100</v>
      </c>
      <c r="V39" s="667" t="s">
        <v>14</v>
      </c>
      <c r="W39" s="668">
        <f t="shared" si="14"/>
        <v>100</v>
      </c>
      <c r="X39" s="1265"/>
      <c r="Y39" s="3435"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3"/>
      <c r="Q43" s="1263" t="str">
        <f t="shared" si="11"/>
        <v>内部装修</v>
      </c>
      <c r="R43" s="667" t="s">
        <v>14</v>
      </c>
      <c r="S43" s="668">
        <f t="shared" si="12"/>
        <v>100</v>
      </c>
      <c r="T43" s="667" t="s">
        <v>14</v>
      </c>
      <c r="U43" s="668">
        <f t="shared" si="13"/>
        <v>100</v>
      </c>
      <c r="V43" s="667" t="s">
        <v>14</v>
      </c>
      <c r="W43" s="668">
        <f t="shared" si="14"/>
        <v>100</v>
      </c>
      <c r="X43" s="1265"/>
      <c r="Y43" s="3435"/>
      <c r="Z43" s="1264" t="str">
        <f t="shared" si="15"/>
        <v>内部装修</v>
      </c>
      <c r="AA43" s="1264">
        <f t="shared" si="3"/>
        <v>1</v>
      </c>
      <c r="AB43" s="1264">
        <f t="shared" si="4"/>
        <v>1</v>
      </c>
      <c r="AC43" s="1811">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3"/>
      <c r="Q45" s="530">
        <f t="shared" si="11"/>
        <v>111</v>
      </c>
      <c r="R45" s="664" t="s">
        <v>14</v>
      </c>
      <c r="S45" s="665">
        <f t="shared" si="12"/>
        <v>100</v>
      </c>
      <c r="T45" s="664" t="s">
        <v>14</v>
      </c>
      <c r="U45" s="665">
        <f t="shared" si="13"/>
        <v>100</v>
      </c>
      <c r="V45" s="664" t="s">
        <v>14</v>
      </c>
      <c r="W45" s="665">
        <f t="shared" si="14"/>
        <v>100</v>
      </c>
      <c r="X45" s="666"/>
      <c r="Y45" s="34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11">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91"/>
      <c r="M48" s="2484"/>
      <c r="N48" s="2484"/>
      <c r="O48" s="2484"/>
      <c r="P48" s="3439" t="str">
        <f>A48</f>
        <v>成交单价（元/平方米）</v>
      </c>
      <c r="Q48" s="3428"/>
      <c r="R48" s="3429">
        <f>E48</f>
        <v>0</v>
      </c>
      <c r="S48" s="3429"/>
      <c r="T48" s="3429">
        <f>G48</f>
        <v>0</v>
      </c>
      <c r="U48" s="3429"/>
      <c r="V48" s="3429">
        <f>I48</f>
        <v>0</v>
      </c>
      <c r="W48" s="3429"/>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1"/>
      <c r="M49" s="2484"/>
      <c r="N49" s="2484"/>
      <c r="O49" s="2484"/>
      <c r="P49" s="3439"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43" t="s">
        <v>1770</v>
      </c>
      <c r="D4" s="3444"/>
      <c r="E4" s="3445" t="s">
        <v>1771</v>
      </c>
      <c r="F4" s="3446"/>
      <c r="G4" s="3443" t="s">
        <v>1772</v>
      </c>
      <c r="H4" s="3444"/>
      <c r="I4" s="3443" t="s">
        <v>1773</v>
      </c>
      <c r="J4" s="3444"/>
      <c r="K4" s="537" t="s">
        <v>1774</v>
      </c>
      <c r="L4" s="860"/>
      <c r="M4" s="861"/>
      <c r="N4" s="861"/>
      <c r="O4" s="861"/>
      <c r="P4" s="3447" t="s">
        <v>1775</v>
      </c>
      <c r="Q4" s="3448"/>
      <c r="R4" s="3453" t="s">
        <v>1771</v>
      </c>
      <c r="S4" s="3454"/>
      <c r="T4" s="3453" t="s">
        <v>1772</v>
      </c>
      <c r="U4" s="3454"/>
      <c r="V4" s="3429" t="s">
        <v>1773</v>
      </c>
      <c r="W4" s="3429"/>
      <c r="X4" s="1265"/>
      <c r="Y4" s="3453" t="s">
        <v>1775</v>
      </c>
      <c r="Z4" s="3454"/>
      <c r="AA4" s="3440" t="s">
        <v>1771</v>
      </c>
      <c r="AB4" s="3441" t="s">
        <v>1772</v>
      </c>
      <c r="AC4" s="3440" t="s">
        <v>1773</v>
      </c>
    </row>
    <row r="5" spans="1:29">
      <c r="A5" s="348"/>
      <c r="B5" s="349"/>
      <c r="C5" s="3459" t="s">
        <v>1673</v>
      </c>
      <c r="D5" s="3460"/>
      <c r="E5" s="3467" t="s">
        <v>1674</v>
      </c>
      <c r="F5" s="3468"/>
      <c r="G5" s="3459" t="s">
        <v>1675</v>
      </c>
      <c r="H5" s="3460"/>
      <c r="I5" s="3459" t="s">
        <v>1676</v>
      </c>
      <c r="J5" s="3460"/>
      <c r="K5" s="537"/>
      <c r="L5" s="860"/>
      <c r="M5" s="861"/>
      <c r="N5" s="861"/>
      <c r="O5" s="861"/>
      <c r="P5" s="3449"/>
      <c r="Q5" s="3450"/>
      <c r="R5" s="3455"/>
      <c r="S5" s="3456"/>
      <c r="T5" s="3455"/>
      <c r="U5" s="3456"/>
      <c r="V5" s="3429"/>
      <c r="W5" s="3429"/>
      <c r="X5" s="1265"/>
      <c r="Y5" s="3455"/>
      <c r="Z5" s="3456"/>
      <c r="AA5" s="3441"/>
      <c r="AB5" s="3441"/>
      <c r="AC5" s="3441"/>
    </row>
    <row r="6" spans="1:29" ht="15" thickBot="1">
      <c r="A6" s="350"/>
      <c r="B6" s="351"/>
      <c r="C6" s="3465" t="s">
        <v>1677</v>
      </c>
      <c r="D6" s="3466"/>
      <c r="E6" s="3469" t="s">
        <v>1677</v>
      </c>
      <c r="F6" s="3470"/>
      <c r="G6" s="3465" t="s">
        <v>1677</v>
      </c>
      <c r="H6" s="3466"/>
      <c r="I6" s="3465" t="s">
        <v>1677</v>
      </c>
      <c r="J6" s="3466"/>
      <c r="K6" s="537" t="s">
        <v>1678</v>
      </c>
      <c r="L6" s="860"/>
      <c r="M6" s="861"/>
      <c r="N6" s="861"/>
      <c r="O6" s="861"/>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c r="F7" s="357">
        <f>SUMIF(52:52,YEAR(E7)&amp;"-"&amp;MONTH(E7),53:53)</f>
        <v>0</v>
      </c>
      <c r="G7" s="356"/>
      <c r="H7" s="355">
        <f>SUMIF(52:52,YEAR(G7)&amp;"-"&amp;MONTH(G7),53:53)</f>
        <v>0</v>
      </c>
      <c r="I7" s="356"/>
      <c r="J7" s="355">
        <f>SUMIF(52:52,YEAR(I7)&amp;"-"&amp;MONTH(I7),53:53)</f>
        <v>0</v>
      </c>
      <c r="K7" s="38"/>
      <c r="L7" s="862"/>
      <c r="M7" s="863"/>
      <c r="N7" s="863"/>
      <c r="O7" s="863"/>
      <c r="P7" s="3461" t="s">
        <v>1680</v>
      </c>
      <c r="Q7" s="3463"/>
      <c r="R7" s="664" t="s">
        <v>14</v>
      </c>
      <c r="S7" s="665">
        <f t="shared" ref="S7:S15" si="0">F7</f>
        <v>0</v>
      </c>
      <c r="T7" s="664" t="s">
        <v>14</v>
      </c>
      <c r="U7" s="665">
        <f t="shared" ref="U7:U15" si="1">H7</f>
        <v>0</v>
      </c>
      <c r="V7" s="664" t="s">
        <v>14</v>
      </c>
      <c r="W7" s="665">
        <f t="shared" ref="W7:W15" si="2">J7</f>
        <v>0</v>
      </c>
      <c r="X7" s="666"/>
      <c r="Y7" s="3461" t="s">
        <v>1680</v>
      </c>
      <c r="Z7" s="346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1" t="s">
        <v>1683</v>
      </c>
      <c r="Q8" s="3462"/>
      <c r="R8" s="664" t="s">
        <v>14</v>
      </c>
      <c r="S8" s="665">
        <f t="shared" si="0"/>
        <v>100</v>
      </c>
      <c r="T8" s="664" t="s">
        <v>14</v>
      </c>
      <c r="U8" s="665">
        <f t="shared" si="1"/>
        <v>100</v>
      </c>
      <c r="V8" s="664" t="s">
        <v>14</v>
      </c>
      <c r="W8" s="665">
        <f t="shared" si="2"/>
        <v>100</v>
      </c>
      <c r="X8" s="666"/>
      <c r="Y8" s="3461" t="s">
        <v>1683</v>
      </c>
      <c r="Z8" s="346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6" t="s">
        <v>1696</v>
      </c>
      <c r="Q29" s="1263" t="str">
        <f t="shared" si="11"/>
        <v>建筑类型</v>
      </c>
      <c r="R29" s="667" t="s">
        <v>14</v>
      </c>
      <c r="S29" s="668">
        <f t="shared" si="12"/>
        <v>100</v>
      </c>
      <c r="T29" s="667" t="s">
        <v>14</v>
      </c>
      <c r="U29" s="668">
        <f t="shared" si="13"/>
        <v>100</v>
      </c>
      <c r="V29" s="667" t="s">
        <v>14</v>
      </c>
      <c r="W29" s="668">
        <f t="shared" si="14"/>
        <v>100</v>
      </c>
      <c r="X29" s="1265"/>
      <c r="Y29" s="34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1696</v>
      </c>
      <c r="Q35" s="1263" t="str">
        <f t="shared" si="11"/>
        <v>市政基础设施</v>
      </c>
      <c r="R35" s="667" t="s">
        <v>14</v>
      </c>
      <c r="S35" s="668">
        <f t="shared" si="12"/>
        <v>100</v>
      </c>
      <c r="T35" s="667" t="s">
        <v>14</v>
      </c>
      <c r="U35" s="668">
        <f t="shared" si="13"/>
        <v>100</v>
      </c>
      <c r="V35" s="667" t="s">
        <v>14</v>
      </c>
      <c r="W35" s="668">
        <f t="shared" si="14"/>
        <v>100</v>
      </c>
      <c r="X35" s="1265"/>
      <c r="Y35" s="34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9">
        <f>E41</f>
        <v>0</v>
      </c>
      <c r="S41" s="3429"/>
      <c r="T41" s="3429">
        <f>G41</f>
        <v>0</v>
      </c>
      <c r="U41" s="3429"/>
      <c r="V41" s="3429">
        <f>I41</f>
        <v>0</v>
      </c>
      <c r="W41" s="3429"/>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47" t="s">
        <v>1775</v>
      </c>
      <c r="Q4" s="3448"/>
      <c r="R4" s="3453" t="s">
        <v>1771</v>
      </c>
      <c r="S4" s="3454"/>
      <c r="T4" s="3453" t="s">
        <v>1772</v>
      </c>
      <c r="U4" s="3454"/>
      <c r="V4" s="3429" t="s">
        <v>1773</v>
      </c>
      <c r="W4" s="3429"/>
      <c r="X4" s="1265"/>
      <c r="Y4" s="3453" t="s">
        <v>1775</v>
      </c>
      <c r="Z4" s="3454"/>
      <c r="AA4" s="3440" t="s">
        <v>1771</v>
      </c>
      <c r="AB4" s="3441" t="s">
        <v>1772</v>
      </c>
      <c r="AC4" s="3440" t="s">
        <v>1773</v>
      </c>
    </row>
    <row r="5" spans="1:29">
      <c r="A5" s="348"/>
      <c r="B5" s="349"/>
      <c r="C5" s="3459" t="s">
        <v>1673</v>
      </c>
      <c r="D5" s="3460"/>
      <c r="E5" s="3467" t="s">
        <v>1674</v>
      </c>
      <c r="F5" s="3468"/>
      <c r="G5" s="3459" t="s">
        <v>1675</v>
      </c>
      <c r="H5" s="3460"/>
      <c r="I5" s="3459" t="s">
        <v>1676</v>
      </c>
      <c r="J5" s="3460"/>
      <c r="K5" s="537"/>
      <c r="L5" s="2483"/>
      <c r="M5" s="2484"/>
      <c r="N5" s="2484"/>
      <c r="O5" s="2484"/>
      <c r="P5" s="3449"/>
      <c r="Q5" s="3450"/>
      <c r="R5" s="3455"/>
      <c r="S5" s="3456"/>
      <c r="T5" s="3455"/>
      <c r="U5" s="3456"/>
      <c r="V5" s="3429"/>
      <c r="W5" s="3429"/>
      <c r="X5" s="1265"/>
      <c r="Y5" s="3455"/>
      <c r="Z5" s="3456"/>
      <c r="AA5" s="3441"/>
      <c r="AB5" s="3441"/>
      <c r="AC5" s="3441"/>
    </row>
    <row r="6" spans="1:29" ht="15" thickBot="1">
      <c r="A6" s="350"/>
      <c r="B6" s="351"/>
      <c r="C6" s="3465" t="s">
        <v>1677</v>
      </c>
      <c r="D6" s="3466"/>
      <c r="E6" s="3469" t="s">
        <v>1677</v>
      </c>
      <c r="F6" s="3470"/>
      <c r="G6" s="3465" t="s">
        <v>1677</v>
      </c>
      <c r="H6" s="3466"/>
      <c r="I6" s="3465" t="s">
        <v>1677</v>
      </c>
      <c r="J6" s="3466"/>
      <c r="K6" s="537" t="s">
        <v>1678</v>
      </c>
      <c r="L6" s="2483"/>
      <c r="M6" s="2484"/>
      <c r="N6" s="2484"/>
      <c r="O6" s="2484"/>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c r="F7" s="357">
        <f>SUMIF(48:48,YEAR(E7)&amp;"-"&amp;MONTH(E7),49:49)</f>
        <v>0</v>
      </c>
      <c r="G7" s="356"/>
      <c r="H7" s="355">
        <f>SUMIF(48:48,YEAR(G7)&amp;"-"&amp;MONTH(G7),49:49)</f>
        <v>0</v>
      </c>
      <c r="I7" s="356"/>
      <c r="J7" s="355">
        <f>SUMIF(48:48,YEAR(I7)&amp;"-"&amp;MONTH(I7),49:49)</f>
        <v>0</v>
      </c>
      <c r="K7" s="38"/>
      <c r="L7" s="2485"/>
      <c r="M7" s="2437"/>
      <c r="N7" s="2437"/>
      <c r="O7" s="2437"/>
      <c r="P7" s="3461" t="s">
        <v>1680</v>
      </c>
      <c r="Q7" s="3463"/>
      <c r="R7" s="664" t="s">
        <v>14</v>
      </c>
      <c r="S7" s="665">
        <f t="shared" ref="S7:S14" si="0">F7</f>
        <v>0</v>
      </c>
      <c r="T7" s="664" t="s">
        <v>14</v>
      </c>
      <c r="U7" s="665">
        <f t="shared" ref="U7:U14" si="1">H7</f>
        <v>0</v>
      </c>
      <c r="V7" s="664" t="s">
        <v>14</v>
      </c>
      <c r="W7" s="665">
        <f t="shared" ref="W7:W14" si="2">J7</f>
        <v>0</v>
      </c>
      <c r="X7" s="666"/>
      <c r="Y7" s="3461" t="s">
        <v>1680</v>
      </c>
      <c r="Z7" s="346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61" t="s">
        <v>1683</v>
      </c>
      <c r="Q8" s="3462"/>
      <c r="R8" s="664" t="s">
        <v>14</v>
      </c>
      <c r="S8" s="665">
        <f t="shared" si="0"/>
        <v>100</v>
      </c>
      <c r="T8" s="664" t="s">
        <v>14</v>
      </c>
      <c r="U8" s="665">
        <f t="shared" si="1"/>
        <v>100</v>
      </c>
      <c r="V8" s="664" t="s">
        <v>14</v>
      </c>
      <c r="W8" s="665">
        <f t="shared" si="2"/>
        <v>100</v>
      </c>
      <c r="X8" s="666"/>
      <c r="Y8" s="3461" t="s">
        <v>1683</v>
      </c>
      <c r="Z8" s="346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28"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8"/>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8"/>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31"/>
      <c r="Q15" s="1263"/>
      <c r="R15" s="667"/>
      <c r="S15" s="668"/>
      <c r="T15" s="667"/>
      <c r="U15" s="668"/>
      <c r="V15" s="667"/>
      <c r="W15" s="668"/>
      <c r="X15" s="1265"/>
      <c r="Y15" s="343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31"/>
      <c r="Q17" s="1263"/>
      <c r="R17" s="667"/>
      <c r="S17" s="668"/>
      <c r="T17" s="667"/>
      <c r="U17" s="668"/>
      <c r="V17" s="667"/>
      <c r="W17" s="668"/>
      <c r="X17" s="1265"/>
      <c r="Y17" s="343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31"/>
      <c r="Q19" s="1263"/>
      <c r="R19" s="667"/>
      <c r="S19" s="668"/>
      <c r="T19" s="667"/>
      <c r="U19" s="668"/>
      <c r="V19" s="667"/>
      <c r="W19" s="668"/>
      <c r="X19" s="1265"/>
      <c r="Y19" s="343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31"/>
      <c r="Q21" s="1263"/>
      <c r="R21" s="667"/>
      <c r="S21" s="668"/>
      <c r="T21" s="667"/>
      <c r="U21" s="668"/>
      <c r="V21" s="667"/>
      <c r="W21" s="668"/>
      <c r="X21" s="1265"/>
      <c r="Y21" s="34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8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5" t="s">
        <v>1696</v>
      </c>
      <c r="Q32" s="1263" t="str">
        <f t="shared" si="11"/>
        <v>车位类型</v>
      </c>
      <c r="R32" s="667" t="s">
        <v>14</v>
      </c>
      <c r="S32" s="668">
        <f t="shared" si="12"/>
        <v>100</v>
      </c>
      <c r="T32" s="667" t="s">
        <v>14</v>
      </c>
      <c r="U32" s="668">
        <f t="shared" si="13"/>
        <v>100</v>
      </c>
      <c r="V32" s="667" t="s">
        <v>14</v>
      </c>
      <c r="W32" s="668">
        <f t="shared" si="14"/>
        <v>100</v>
      </c>
      <c r="X32" s="1265"/>
      <c r="Y32" s="34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4.4">
      <c r="A37" s="416" t="s">
        <v>1844</v>
      </c>
      <c r="B37" s="1820" t="s">
        <v>3352</v>
      </c>
      <c r="C37" s="1081" t="s">
        <v>0</v>
      </c>
      <c r="D37" s="418"/>
      <c r="E37" s="419"/>
      <c r="F37" s="420"/>
      <c r="G37" s="421"/>
      <c r="H37" s="422"/>
      <c r="I37" s="419"/>
      <c r="J37" s="422"/>
      <c r="K37" s="545"/>
      <c r="L37" s="2491"/>
      <c r="M37" s="2484"/>
      <c r="N37" s="2484"/>
      <c r="O37" s="2484"/>
      <c r="P37" s="3428" t="str">
        <f>A37</f>
        <v>成交单价</v>
      </c>
      <c r="Q37" s="3428"/>
      <c r="R37" s="3429">
        <f>E37</f>
        <v>0</v>
      </c>
      <c r="S37" s="3429"/>
      <c r="T37" s="3429">
        <f>G37</f>
        <v>0</v>
      </c>
      <c r="U37" s="3429"/>
      <c r="V37" s="3429">
        <f>I37</f>
        <v>0</v>
      </c>
      <c r="W37" s="3429"/>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1"/>
      <c r="M38" s="2484"/>
      <c r="N38" s="2484"/>
      <c r="O38" s="2484"/>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25" t="str">
        <f>A39</f>
        <v>估价对象XX用房的比较价值（楼面单价，元/平方米）</v>
      </c>
      <c r="Q39" s="3426"/>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受贵公司委托，我公司对福建省宁德市霞浦县松港街道赤岸大道33号中茵外滩1号（二期）11号楼201室房地产抵押价值进行了预评估。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2025年9月28日（评估专业人员实地查勘之日）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47" t="s">
        <v>1775</v>
      </c>
      <c r="Q4" s="3448"/>
      <c r="R4" s="3453" t="s">
        <v>1771</v>
      </c>
      <c r="S4" s="3454"/>
      <c r="T4" s="3453" t="s">
        <v>1772</v>
      </c>
      <c r="U4" s="3454"/>
      <c r="V4" s="3429" t="s">
        <v>1773</v>
      </c>
      <c r="W4" s="3429"/>
      <c r="X4" s="1265"/>
      <c r="Y4" s="3453" t="s">
        <v>1775</v>
      </c>
      <c r="Z4" s="3454"/>
      <c r="AA4" s="3440" t="s">
        <v>1771</v>
      </c>
      <c r="AB4" s="3441" t="s">
        <v>1772</v>
      </c>
      <c r="AC4" s="3440" t="s">
        <v>1773</v>
      </c>
    </row>
    <row r="5" spans="1:29">
      <c r="A5" s="348"/>
      <c r="B5" s="349"/>
      <c r="C5" s="3459" t="s">
        <v>1673</v>
      </c>
      <c r="D5" s="3460"/>
      <c r="E5" s="3467" t="s">
        <v>1674</v>
      </c>
      <c r="F5" s="3468"/>
      <c r="G5" s="3459" t="s">
        <v>1675</v>
      </c>
      <c r="H5" s="3460"/>
      <c r="I5" s="3459" t="s">
        <v>1676</v>
      </c>
      <c r="J5" s="3460"/>
      <c r="K5" s="537"/>
      <c r="L5" s="2483"/>
      <c r="M5" s="2484"/>
      <c r="N5" s="2484"/>
      <c r="O5" s="2484"/>
      <c r="P5" s="3449"/>
      <c r="Q5" s="3450"/>
      <c r="R5" s="3455"/>
      <c r="S5" s="3456"/>
      <c r="T5" s="3455"/>
      <c r="U5" s="3456"/>
      <c r="V5" s="3429"/>
      <c r="W5" s="3429"/>
      <c r="X5" s="1265"/>
      <c r="Y5" s="3455"/>
      <c r="Z5" s="3456"/>
      <c r="AA5" s="3441"/>
      <c r="AB5" s="3441"/>
      <c r="AC5" s="3441"/>
    </row>
    <row r="6" spans="1:29" ht="15" thickBot="1">
      <c r="A6" s="350"/>
      <c r="B6" s="351"/>
      <c r="C6" s="3465" t="s">
        <v>1677</v>
      </c>
      <c r="D6" s="3466"/>
      <c r="E6" s="3469" t="s">
        <v>1677</v>
      </c>
      <c r="F6" s="3470"/>
      <c r="G6" s="3465" t="s">
        <v>1677</v>
      </c>
      <c r="H6" s="3466"/>
      <c r="I6" s="3465" t="s">
        <v>1677</v>
      </c>
      <c r="J6" s="3466"/>
      <c r="K6" s="537" t="s">
        <v>1678</v>
      </c>
      <c r="L6" s="2483"/>
      <c r="M6" s="2484"/>
      <c r="N6" s="2484"/>
      <c r="O6" s="2484"/>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c r="F7" s="357">
        <f>SUMIF(46:46,YEAR(E7)&amp;"-"&amp;MONTH(E7),47:47)</f>
        <v>0</v>
      </c>
      <c r="G7" s="1821"/>
      <c r="H7" s="355">
        <f>SUMIF(46:46,YEAR(G7)&amp;"-"&amp;MONTH(G7),47:47)</f>
        <v>0</v>
      </c>
      <c r="I7" s="356"/>
      <c r="J7" s="355">
        <f>SUMIF(46:46,YEAR(I7)&amp;"-"&amp;MONTH(I7),47:47)</f>
        <v>0</v>
      </c>
      <c r="K7" s="38"/>
      <c r="L7" s="2485"/>
      <c r="M7" s="2437"/>
      <c r="N7" s="2437"/>
      <c r="O7" s="2437"/>
      <c r="P7" s="3461" t="s">
        <v>1680</v>
      </c>
      <c r="Q7" s="3463"/>
      <c r="R7" s="664" t="s">
        <v>14</v>
      </c>
      <c r="S7" s="665">
        <f t="shared" ref="S7:S14" si="0">F7</f>
        <v>0</v>
      </c>
      <c r="T7" s="664" t="s">
        <v>14</v>
      </c>
      <c r="U7" s="665">
        <f t="shared" ref="U7:U14" si="1">H7</f>
        <v>0</v>
      </c>
      <c r="V7" s="664" t="s">
        <v>14</v>
      </c>
      <c r="W7" s="665">
        <f t="shared" ref="W7:W14" si="2">J7</f>
        <v>0</v>
      </c>
      <c r="X7" s="666"/>
      <c r="Y7" s="3461" t="s">
        <v>1680</v>
      </c>
      <c r="Z7" s="346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61" t="s">
        <v>1683</v>
      </c>
      <c r="Q8" s="3462"/>
      <c r="R8" s="664" t="s">
        <v>14</v>
      </c>
      <c r="S8" s="665">
        <f t="shared" si="0"/>
        <v>100</v>
      </c>
      <c r="T8" s="664" t="s">
        <v>14</v>
      </c>
      <c r="U8" s="665">
        <f t="shared" si="1"/>
        <v>100</v>
      </c>
      <c r="V8" s="664" t="s">
        <v>14</v>
      </c>
      <c r="W8" s="665">
        <f t="shared" si="2"/>
        <v>100</v>
      </c>
      <c r="X8" s="666"/>
      <c r="Y8" s="3461" t="s">
        <v>1683</v>
      </c>
      <c r="Z8" s="346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8"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8"/>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8"/>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2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31"/>
      <c r="Q15" s="1263"/>
      <c r="R15" s="667"/>
      <c r="S15" s="668"/>
      <c r="T15" s="667"/>
      <c r="U15" s="668"/>
      <c r="V15" s="667"/>
      <c r="W15" s="668"/>
      <c r="X15" s="1265"/>
      <c r="Y15" s="343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31"/>
      <c r="Q17" s="1263"/>
      <c r="R17" s="667"/>
      <c r="S17" s="668"/>
      <c r="T17" s="667"/>
      <c r="U17" s="668"/>
      <c r="V17" s="667"/>
      <c r="W17" s="668"/>
      <c r="X17" s="1265"/>
      <c r="Y17" s="343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31"/>
      <c r="Q19" s="1263"/>
      <c r="R19" s="667"/>
      <c r="S19" s="668"/>
      <c r="T19" s="667"/>
      <c r="U19" s="668"/>
      <c r="V19" s="667"/>
      <c r="W19" s="668"/>
      <c r="X19" s="1265"/>
      <c r="Y19" s="343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31"/>
      <c r="Q21" s="1263"/>
      <c r="R21" s="667"/>
      <c r="S21" s="668"/>
      <c r="T21" s="667"/>
      <c r="U21" s="668"/>
      <c r="V21" s="667"/>
      <c r="W21" s="668"/>
      <c r="X21" s="1265"/>
      <c r="Y21" s="34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8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5" t="s">
        <v>1696</v>
      </c>
      <c r="Q32" s="1263">
        <f t="shared" si="11"/>
        <v>111</v>
      </c>
      <c r="R32" s="667" t="s">
        <v>14</v>
      </c>
      <c r="S32" s="668">
        <f t="shared" si="12"/>
        <v>100</v>
      </c>
      <c r="T32" s="667" t="s">
        <v>14</v>
      </c>
      <c r="U32" s="668">
        <f t="shared" si="13"/>
        <v>100</v>
      </c>
      <c r="V32" s="667" t="s">
        <v>14</v>
      </c>
      <c r="W32" s="668">
        <f t="shared" si="14"/>
        <v>100</v>
      </c>
      <c r="X32" s="1265"/>
      <c r="Y32" s="34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6"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28" t="str">
        <f>A35</f>
        <v>成交单价（元/平方米）</v>
      </c>
      <c r="Q35" s="3428"/>
      <c r="R35" s="3429">
        <f>E35</f>
        <v>0</v>
      </c>
      <c r="S35" s="3429"/>
      <c r="T35" s="3429">
        <f>G35</f>
        <v>0</v>
      </c>
      <c r="U35" s="3429"/>
      <c r="V35" s="3429">
        <f>I35</f>
        <v>0</v>
      </c>
      <c r="W35" s="3429"/>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1"/>
      <c r="M36" s="2484"/>
      <c r="N36" s="2484"/>
      <c r="O36" s="2484"/>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25" t="str">
        <f>A37</f>
        <v>估价对象XX用房的比较价值（楼面单价，元/平方米）</v>
      </c>
      <c r="Q37" s="3426"/>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47" t="s">
        <v>1775</v>
      </c>
      <c r="Q4" s="3448"/>
      <c r="R4" s="3453" t="s">
        <v>1771</v>
      </c>
      <c r="S4" s="3454"/>
      <c r="T4" s="3453" t="s">
        <v>1772</v>
      </c>
      <c r="U4" s="3454"/>
      <c r="V4" s="3429" t="s">
        <v>1773</v>
      </c>
      <c r="W4" s="3429"/>
      <c r="X4" s="1265"/>
      <c r="Y4" s="3453" t="s">
        <v>1775</v>
      </c>
      <c r="Z4" s="3454"/>
      <c r="AA4" s="3440" t="s">
        <v>1771</v>
      </c>
      <c r="AB4" s="3441" t="s">
        <v>1772</v>
      </c>
      <c r="AC4" s="3440" t="s">
        <v>1773</v>
      </c>
    </row>
    <row r="5" spans="1:29">
      <c r="A5" s="348"/>
      <c r="B5" s="349"/>
      <c r="C5" s="3459" t="s">
        <v>1673</v>
      </c>
      <c r="D5" s="3460"/>
      <c r="E5" s="3467" t="s">
        <v>1674</v>
      </c>
      <c r="F5" s="3468"/>
      <c r="G5" s="3459" t="s">
        <v>1675</v>
      </c>
      <c r="H5" s="3460"/>
      <c r="I5" s="3459" t="s">
        <v>1676</v>
      </c>
      <c r="J5" s="3460"/>
      <c r="K5" s="537"/>
      <c r="L5" s="2483"/>
      <c r="M5" s="2484"/>
      <c r="N5" s="2484"/>
      <c r="O5" s="2484"/>
      <c r="P5" s="3449"/>
      <c r="Q5" s="3450"/>
      <c r="R5" s="3455"/>
      <c r="S5" s="3456"/>
      <c r="T5" s="3455"/>
      <c r="U5" s="3456"/>
      <c r="V5" s="3429"/>
      <c r="W5" s="3429"/>
      <c r="X5" s="1265"/>
      <c r="Y5" s="3455"/>
      <c r="Z5" s="3456"/>
      <c r="AA5" s="3441"/>
      <c r="AB5" s="3441"/>
      <c r="AC5" s="3441"/>
    </row>
    <row r="6" spans="1:29" ht="15" thickBot="1">
      <c r="A6" s="350"/>
      <c r="B6" s="351"/>
      <c r="C6" s="3465" t="s">
        <v>1677</v>
      </c>
      <c r="D6" s="3466"/>
      <c r="E6" s="3469" t="s">
        <v>1677</v>
      </c>
      <c r="F6" s="3470"/>
      <c r="G6" s="3465" t="s">
        <v>1677</v>
      </c>
      <c r="H6" s="3466"/>
      <c r="I6" s="3465" t="s">
        <v>1677</v>
      </c>
      <c r="J6" s="3466"/>
      <c r="K6" s="537" t="s">
        <v>1678</v>
      </c>
      <c r="L6" s="2483"/>
      <c r="M6" s="2484"/>
      <c r="N6" s="2484"/>
      <c r="O6" s="2484"/>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461" t="s">
        <v>1680</v>
      </c>
      <c r="Q7" s="3463"/>
      <c r="R7" s="664" t="s">
        <v>14</v>
      </c>
      <c r="S7" s="665">
        <f t="shared" ref="S7:S15" si="0">F7</f>
        <v>0</v>
      </c>
      <c r="T7" s="664" t="s">
        <v>14</v>
      </c>
      <c r="U7" s="665">
        <f t="shared" ref="U7:U15" si="1">H7</f>
        <v>0</v>
      </c>
      <c r="V7" s="664" t="s">
        <v>14</v>
      </c>
      <c r="W7" s="665">
        <f t="shared" ref="W7:W15" si="2">J7</f>
        <v>0</v>
      </c>
      <c r="X7" s="666"/>
      <c r="Y7" s="3461" t="s">
        <v>1680</v>
      </c>
      <c r="Z7" s="346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61" t="s">
        <v>1683</v>
      </c>
      <c r="Q8" s="3462"/>
      <c r="R8" s="664" t="s">
        <v>14</v>
      </c>
      <c r="S8" s="665">
        <f t="shared" si="0"/>
        <v>0</v>
      </c>
      <c r="T8" s="664" t="s">
        <v>14</v>
      </c>
      <c r="U8" s="665">
        <f t="shared" si="1"/>
        <v>0</v>
      </c>
      <c r="V8" s="664" t="s">
        <v>14</v>
      </c>
      <c r="W8" s="665">
        <f t="shared" si="2"/>
        <v>0</v>
      </c>
      <c r="X8" s="666"/>
      <c r="Y8" s="3461" t="s">
        <v>1683</v>
      </c>
      <c r="Z8" s="346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28"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102</v>
      </c>
      <c r="G10" s="402"/>
      <c r="H10" s="119">
        <f>ROUND(100/'数据-取费表'!G16,0)</f>
        <v>102</v>
      </c>
      <c r="I10" s="402"/>
      <c r="J10" s="119">
        <f>ROUND(100/'数据-取费表'!G16,0)</f>
        <v>102</v>
      </c>
      <c r="K10" s="592"/>
      <c r="L10" s="2486"/>
      <c r="M10" s="2487"/>
      <c r="N10" s="2487"/>
      <c r="O10" s="2538"/>
      <c r="P10" s="3428"/>
      <c r="Q10" s="530" t="str">
        <f t="shared" si="6"/>
        <v>土地使用年限（年）</v>
      </c>
      <c r="R10" s="664" t="s">
        <v>14</v>
      </c>
      <c r="S10" s="665">
        <f t="shared" si="0"/>
        <v>102</v>
      </c>
      <c r="T10" s="664" t="s">
        <v>14</v>
      </c>
      <c r="U10" s="665">
        <f t="shared" si="1"/>
        <v>102</v>
      </c>
      <c r="V10" s="664" t="s">
        <v>14</v>
      </c>
      <c r="W10" s="665">
        <f t="shared" si="2"/>
        <v>102</v>
      </c>
      <c r="X10" s="666"/>
      <c r="Y10" s="330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28"/>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28"/>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28"/>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28"/>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30"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31"/>
      <c r="Q16" s="1263"/>
      <c r="R16" s="667"/>
      <c r="S16" s="668"/>
      <c r="T16" s="667"/>
      <c r="U16" s="668"/>
      <c r="V16" s="667"/>
      <c r="W16" s="668"/>
      <c r="X16" s="1265"/>
      <c r="Y16" s="3431"/>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31"/>
      <c r="Q18" s="1263"/>
      <c r="R18" s="667"/>
      <c r="S18" s="668"/>
      <c r="T18" s="667"/>
      <c r="U18" s="668"/>
      <c r="V18" s="667"/>
      <c r="W18" s="668"/>
      <c r="X18" s="1265"/>
      <c r="Y18" s="3431"/>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31"/>
      <c r="Q20" s="1263"/>
      <c r="R20" s="667"/>
      <c r="S20" s="668"/>
      <c r="T20" s="667"/>
      <c r="U20" s="668"/>
      <c r="V20" s="667"/>
      <c r="W20" s="668"/>
      <c r="X20" s="1265"/>
      <c r="Y20" s="343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31"/>
      <c r="Q22" s="1263"/>
      <c r="R22" s="667"/>
      <c r="S22" s="668"/>
      <c r="T22" s="667"/>
      <c r="U22" s="668"/>
      <c r="V22" s="667"/>
      <c r="W22" s="668"/>
      <c r="X22" s="1265"/>
      <c r="Y22" s="343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31"/>
      <c r="Q24" s="1263"/>
      <c r="R24" s="667"/>
      <c r="S24" s="668"/>
      <c r="T24" s="667"/>
      <c r="U24" s="668"/>
      <c r="V24" s="667"/>
      <c r="W24" s="668"/>
      <c r="X24" s="1265"/>
      <c r="Y24" s="3431"/>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31"/>
      <c r="Q26" s="1263"/>
      <c r="R26" s="667"/>
      <c r="S26" s="668"/>
      <c r="T26" s="667"/>
      <c r="U26" s="668"/>
      <c r="V26" s="667"/>
      <c r="W26" s="668"/>
      <c r="X26" s="1265"/>
      <c r="Y26" s="343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5"/>
      <c r="M28" s="2437"/>
      <c r="N28" s="2437"/>
      <c r="O28" s="2537"/>
      <c r="P28" s="3431"/>
      <c r="Q28" s="530"/>
      <c r="R28" s="664"/>
      <c r="S28" s="665"/>
      <c r="T28" s="664"/>
      <c r="U28" s="665"/>
      <c r="V28" s="664"/>
      <c r="W28" s="665"/>
      <c r="X28" s="666"/>
      <c r="Y28" s="343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5"/>
      <c r="M30" s="2437"/>
      <c r="N30" s="2437"/>
      <c r="O30" s="2537"/>
      <c r="P30" s="3431"/>
      <c r="Q30" s="530"/>
      <c r="R30" s="664"/>
      <c r="S30" s="665"/>
      <c r="T30" s="664"/>
      <c r="U30" s="665"/>
      <c r="V30" s="664"/>
      <c r="W30" s="665"/>
      <c r="X30" s="666"/>
      <c r="Y30" s="34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31"/>
      <c r="Q33" s="1263"/>
      <c r="R33" s="667"/>
      <c r="S33" s="668"/>
      <c r="T33" s="667"/>
      <c r="U33" s="668"/>
      <c r="V33" s="667"/>
      <c r="W33" s="668"/>
      <c r="X33" s="1265"/>
      <c r="Y33" s="34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86" t="s">
        <v>1696</v>
      </c>
      <c r="Q36" s="1263">
        <f t="shared" si="8"/>
        <v>111</v>
      </c>
      <c r="R36" s="667" t="s">
        <v>14</v>
      </c>
      <c r="S36" s="668">
        <f t="shared" si="10"/>
        <v>100</v>
      </c>
      <c r="T36" s="667" t="s">
        <v>14</v>
      </c>
      <c r="U36" s="668">
        <f t="shared" si="11"/>
        <v>100</v>
      </c>
      <c r="V36" s="667" t="s">
        <v>14</v>
      </c>
      <c r="W36" s="668">
        <f t="shared" si="12"/>
        <v>100</v>
      </c>
      <c r="X36" s="1265"/>
      <c r="Y36" s="343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35" t="s">
        <v>1696</v>
      </c>
      <c r="Q42" s="1263" t="str">
        <f t="shared" si="14"/>
        <v>工程地质条件</v>
      </c>
      <c r="R42" s="667" t="s">
        <v>14</v>
      </c>
      <c r="S42" s="668">
        <f t="shared" si="10"/>
        <v>100</v>
      </c>
      <c r="T42" s="667" t="s">
        <v>14</v>
      </c>
      <c r="U42" s="668">
        <f t="shared" si="11"/>
        <v>100</v>
      </c>
      <c r="V42" s="667" t="s">
        <v>14</v>
      </c>
      <c r="W42" s="668">
        <f t="shared" si="12"/>
        <v>100</v>
      </c>
      <c r="X42" s="1265"/>
      <c r="Y42" s="34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1"/>
      <c r="M46" s="2484"/>
      <c r="N46" s="2484"/>
      <c r="O46" s="2484"/>
      <c r="P46" s="3428" t="str">
        <f>A46</f>
        <v>成交单价</v>
      </c>
      <c r="Q46" s="3428"/>
      <c r="R46" s="3429">
        <f>E46</f>
        <v>0</v>
      </c>
      <c r="S46" s="3429"/>
      <c r="T46" s="3429">
        <f>G46</f>
        <v>0</v>
      </c>
      <c r="U46" s="3429"/>
      <c r="V46" s="3429">
        <f>I46</f>
        <v>0</v>
      </c>
      <c r="W46" s="3429"/>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28" t="str">
        <f>A47</f>
        <v>比较价值（元/平方米）</v>
      </c>
      <c r="Q47" s="3428"/>
      <c r="R47" s="3488" t="e">
        <f>ROUND(PRODUCT(R46,AA7:AA45),0)</f>
        <v>#DIV/0!</v>
      </c>
      <c r="S47" s="3488"/>
      <c r="T47" s="3488" t="e">
        <f>ROUND(PRODUCT(T46,AB7:AB45),0)</f>
        <v>#DIV/0!</v>
      </c>
      <c r="U47" s="3488"/>
      <c r="V47" s="3488" t="e">
        <f>ROUND(PRODUCT(V46,AC7:AC45),0)</f>
        <v>#DIV/0!</v>
      </c>
      <c r="W47" s="348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25" t="str">
        <f>A48</f>
        <v>估价对象XX用房的比较价值（楼面单价，元/平方米）</v>
      </c>
      <c r="Q48" s="3426"/>
      <c r="R48" s="3489" t="e">
        <f>ROUND(IF(D47="简单平均",AVERAGE(R47:W47),R47*F47+T47*H47+V47*J47),0)</f>
        <v>#DIV/0!</v>
      </c>
      <c r="S48" s="3489"/>
      <c r="T48" s="3489"/>
      <c r="U48" s="3489"/>
      <c r="V48" s="3489"/>
      <c r="W48" s="348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43" t="s">
        <v>1887</v>
      </c>
      <c r="H55" s="3490"/>
      <c r="I55" s="127" t="s">
        <v>1888</v>
      </c>
      <c r="J55" s="1832" t="str">
        <f>项目基本情况!F35</f>
        <v>福建省宁德市</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106.32</v>
      </c>
      <c r="F56" s="833" t="e">
        <f t="shared" ref="F56:F64" si="15">ROUND(B56*E56/10000,0)</f>
        <v>#DIV/0!</v>
      </c>
      <c r="G56" s="3439"/>
      <c r="H56" s="3428"/>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SUMIF(修正!A59:A70,H57,修正!B59:B70)</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SUMIF(修正!A59:A70,H58,修正!C59:C70)</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SUMIF(修正!A59:A70,H59,修正!D59:D70)</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106.32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43" t="s">
        <v>1770</v>
      </c>
      <c r="D4" s="3444"/>
      <c r="E4" s="3445" t="s">
        <v>1771</v>
      </c>
      <c r="F4" s="3446"/>
      <c r="G4" s="3443" t="s">
        <v>1772</v>
      </c>
      <c r="H4" s="3444"/>
      <c r="I4" s="3443" t="s">
        <v>1773</v>
      </c>
      <c r="J4" s="3444"/>
      <c r="K4" s="537" t="s">
        <v>1774</v>
      </c>
      <c r="L4" s="2483"/>
      <c r="M4" s="2484"/>
      <c r="N4" s="2484"/>
      <c r="O4" s="2484"/>
      <c r="P4" s="3447" t="s">
        <v>1775</v>
      </c>
      <c r="Q4" s="3448"/>
      <c r="R4" s="3453" t="s">
        <v>1771</v>
      </c>
      <c r="S4" s="3454"/>
      <c r="T4" s="3453" t="s">
        <v>1772</v>
      </c>
      <c r="U4" s="3454"/>
      <c r="V4" s="3429" t="s">
        <v>1773</v>
      </c>
      <c r="W4" s="3429"/>
      <c r="X4" s="1265"/>
      <c r="Y4" s="3453" t="s">
        <v>1775</v>
      </c>
      <c r="Z4" s="3454"/>
      <c r="AA4" s="3440" t="s">
        <v>1771</v>
      </c>
      <c r="AB4" s="3441" t="s">
        <v>1772</v>
      </c>
      <c r="AC4" s="3440" t="s">
        <v>1773</v>
      </c>
    </row>
    <row r="5" spans="1:29">
      <c r="A5" s="348"/>
      <c r="B5" s="349"/>
      <c r="C5" s="3459" t="s">
        <v>1673</v>
      </c>
      <c r="D5" s="3460"/>
      <c r="E5" s="3467" t="s">
        <v>1674</v>
      </c>
      <c r="F5" s="3468"/>
      <c r="G5" s="3459" t="s">
        <v>1675</v>
      </c>
      <c r="H5" s="3460"/>
      <c r="I5" s="3459" t="s">
        <v>1676</v>
      </c>
      <c r="J5" s="3460"/>
      <c r="K5" s="537"/>
      <c r="L5" s="2483"/>
      <c r="M5" s="2484"/>
      <c r="N5" s="2484"/>
      <c r="O5" s="2484"/>
      <c r="P5" s="3449"/>
      <c r="Q5" s="3450"/>
      <c r="R5" s="3455"/>
      <c r="S5" s="3456"/>
      <c r="T5" s="3455"/>
      <c r="U5" s="3456"/>
      <c r="V5" s="3429"/>
      <c r="W5" s="3429"/>
      <c r="X5" s="1265"/>
      <c r="Y5" s="3455"/>
      <c r="Z5" s="3456"/>
      <c r="AA5" s="3441"/>
      <c r="AB5" s="3441"/>
      <c r="AC5" s="3441"/>
    </row>
    <row r="6" spans="1:29" ht="15" thickBot="1">
      <c r="A6" s="350"/>
      <c r="B6" s="351"/>
      <c r="C6" s="3491" t="s">
        <v>1919</v>
      </c>
      <c r="D6" s="3492"/>
      <c r="E6" s="3493" t="s">
        <v>1919</v>
      </c>
      <c r="F6" s="3494"/>
      <c r="G6" s="3491" t="s">
        <v>1919</v>
      </c>
      <c r="H6" s="3492"/>
      <c r="I6" s="3491" t="s">
        <v>1919</v>
      </c>
      <c r="J6" s="3492"/>
      <c r="K6" s="537" t="s">
        <v>1678</v>
      </c>
      <c r="L6" s="2483"/>
      <c r="M6" s="2484"/>
      <c r="N6" s="2484"/>
      <c r="O6" s="2484"/>
      <c r="P6" s="3451"/>
      <c r="Q6" s="3452"/>
      <c r="R6" s="3455"/>
      <c r="S6" s="3456"/>
      <c r="T6" s="3457"/>
      <c r="U6" s="3458"/>
      <c r="V6" s="3429"/>
      <c r="W6" s="3429"/>
      <c r="X6" s="1265"/>
      <c r="Y6" s="3457"/>
      <c r="Z6" s="3458"/>
      <c r="AA6" s="3442"/>
      <c r="AB6" s="3442"/>
      <c r="AC6" s="3442"/>
    </row>
    <row r="7" spans="1:29" s="102" customFormat="1" ht="15" thickBot="1">
      <c r="A7" s="352" t="s">
        <v>1679</v>
      </c>
      <c r="B7" s="353"/>
      <c r="C7" s="354">
        <f>'数据-取费表'!B2</f>
        <v>45928</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461" t="s">
        <v>1680</v>
      </c>
      <c r="Q7" s="3463"/>
      <c r="R7" s="664" t="s">
        <v>14</v>
      </c>
      <c r="S7" s="665">
        <f t="shared" ref="S7:S15" si="0">F7</f>
        <v>0</v>
      </c>
      <c r="T7" s="664" t="s">
        <v>14</v>
      </c>
      <c r="U7" s="665">
        <f t="shared" ref="U7:U15" si="1">H7</f>
        <v>0</v>
      </c>
      <c r="V7" s="664" t="s">
        <v>14</v>
      </c>
      <c r="W7" s="665">
        <f t="shared" ref="W7:W15" si="2">J7</f>
        <v>0</v>
      </c>
      <c r="X7" s="666"/>
      <c r="Y7" s="3461" t="s">
        <v>1680</v>
      </c>
      <c r="Z7" s="346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61" t="s">
        <v>1683</v>
      </c>
      <c r="Q8" s="3462"/>
      <c r="R8" s="664" t="s">
        <v>14</v>
      </c>
      <c r="S8" s="665">
        <f t="shared" si="0"/>
        <v>0</v>
      </c>
      <c r="T8" s="664" t="s">
        <v>14</v>
      </c>
      <c r="U8" s="665">
        <f t="shared" si="1"/>
        <v>0</v>
      </c>
      <c r="V8" s="664" t="s">
        <v>14</v>
      </c>
      <c r="W8" s="665">
        <f t="shared" si="2"/>
        <v>0</v>
      </c>
      <c r="X8" s="666"/>
      <c r="Y8" s="3461" t="s">
        <v>1683</v>
      </c>
      <c r="Z8" s="346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28"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102</v>
      </c>
      <c r="G10" s="371"/>
      <c r="H10" s="119">
        <f>ROUND(100/'数据-取费表'!G16,0)</f>
        <v>102</v>
      </c>
      <c r="I10" s="371"/>
      <c r="J10" s="119">
        <f>ROUND(100/'数据-取费表'!G16,0)</f>
        <v>102</v>
      </c>
      <c r="K10" s="592"/>
      <c r="L10" s="2486"/>
      <c r="M10" s="2487"/>
      <c r="N10" s="2487"/>
      <c r="O10" s="2538"/>
      <c r="P10" s="3428"/>
      <c r="Q10" s="530" t="str">
        <f t="shared" si="6"/>
        <v>土地使用年限（年）</v>
      </c>
      <c r="R10" s="664" t="s">
        <v>14</v>
      </c>
      <c r="S10" s="665">
        <f t="shared" si="0"/>
        <v>102</v>
      </c>
      <c r="T10" s="664" t="s">
        <v>14</v>
      </c>
      <c r="U10" s="665">
        <f t="shared" si="1"/>
        <v>102</v>
      </c>
      <c r="V10" s="664" t="s">
        <v>14</v>
      </c>
      <c r="W10" s="665">
        <f t="shared" si="2"/>
        <v>102</v>
      </c>
      <c r="X10" s="666"/>
      <c r="Y10" s="330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28"/>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28"/>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28"/>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28"/>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31"/>
      <c r="Q16" s="1263"/>
      <c r="R16" s="667"/>
      <c r="S16" s="668"/>
      <c r="T16" s="667"/>
      <c r="U16" s="668"/>
      <c r="V16" s="667"/>
      <c r="W16" s="668"/>
      <c r="X16" s="1265"/>
      <c r="Y16" s="343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31"/>
      <c r="Q18" s="1263"/>
      <c r="R18" s="667"/>
      <c r="S18" s="668"/>
      <c r="T18" s="667"/>
      <c r="U18" s="668"/>
      <c r="V18" s="667"/>
      <c r="W18" s="668"/>
      <c r="X18" s="1265"/>
      <c r="Y18" s="343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31"/>
      <c r="Q20" s="1263"/>
      <c r="R20" s="667"/>
      <c r="S20" s="668"/>
      <c r="T20" s="667"/>
      <c r="U20" s="668"/>
      <c r="V20" s="667"/>
      <c r="W20" s="668"/>
      <c r="X20" s="1265"/>
      <c r="Y20" s="343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31"/>
      <c r="Q22" s="1263"/>
      <c r="R22" s="667"/>
      <c r="S22" s="668"/>
      <c r="T22" s="667"/>
      <c r="U22" s="668"/>
      <c r="V22" s="667"/>
      <c r="W22" s="668"/>
      <c r="X22" s="1265"/>
      <c r="Y22" s="343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5"/>
      <c r="M24" s="2437"/>
      <c r="N24" s="2437"/>
      <c r="O24" s="2537"/>
      <c r="P24" s="3431"/>
      <c r="Q24" s="530"/>
      <c r="R24" s="664"/>
      <c r="S24" s="665"/>
      <c r="T24" s="664"/>
      <c r="U24" s="665"/>
      <c r="V24" s="664"/>
      <c r="W24" s="665"/>
      <c r="X24" s="666"/>
      <c r="Y24" s="343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5"/>
      <c r="M26" s="2437"/>
      <c r="N26" s="2437"/>
      <c r="O26" s="2537"/>
      <c r="P26" s="3431"/>
      <c r="Q26" s="530"/>
      <c r="R26" s="664"/>
      <c r="S26" s="665"/>
      <c r="T26" s="664"/>
      <c r="U26" s="665"/>
      <c r="V26" s="664"/>
      <c r="W26" s="665"/>
      <c r="X26" s="666"/>
      <c r="Y26" s="34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31"/>
      <c r="Q29" s="1263"/>
      <c r="R29" s="667"/>
      <c r="S29" s="668"/>
      <c r="T29" s="667"/>
      <c r="U29" s="668"/>
      <c r="V29" s="667"/>
      <c r="W29" s="668"/>
      <c r="X29" s="1265"/>
      <c r="Y29" s="34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86" t="s">
        <v>1696</v>
      </c>
      <c r="Q32" s="1263">
        <f t="shared" si="8"/>
        <v>111</v>
      </c>
      <c r="R32" s="667" t="s">
        <v>14</v>
      </c>
      <c r="S32" s="668">
        <f t="shared" si="10"/>
        <v>100</v>
      </c>
      <c r="T32" s="667" t="s">
        <v>14</v>
      </c>
      <c r="U32" s="668">
        <f t="shared" si="11"/>
        <v>100</v>
      </c>
      <c r="V32" s="667" t="s">
        <v>14</v>
      </c>
      <c r="W32" s="668">
        <f t="shared" si="12"/>
        <v>100</v>
      </c>
      <c r="X32" s="1265"/>
      <c r="Y32" s="3435"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35" t="s">
        <v>1696</v>
      </c>
      <c r="Q37" s="1263" t="str">
        <f t="shared" si="14"/>
        <v>工程地质条件</v>
      </c>
      <c r="R37" s="667" t="s">
        <v>14</v>
      </c>
      <c r="S37" s="668">
        <f t="shared" si="10"/>
        <v>100</v>
      </c>
      <c r="T37" s="667" t="s">
        <v>14</v>
      </c>
      <c r="U37" s="668">
        <f t="shared" si="11"/>
        <v>100</v>
      </c>
      <c r="V37" s="667" t="s">
        <v>14</v>
      </c>
      <c r="W37" s="668">
        <f t="shared" si="12"/>
        <v>100</v>
      </c>
      <c r="X37" s="1265"/>
      <c r="Y37" s="34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1"/>
      <c r="M41" s="2484"/>
      <c r="N41" s="2484"/>
      <c r="O41" s="2484"/>
      <c r="P41" s="3428" t="str">
        <f>A41</f>
        <v>成交单价</v>
      </c>
      <c r="Q41" s="3428"/>
      <c r="R41" s="3429">
        <f>E41</f>
        <v>0</v>
      </c>
      <c r="S41" s="3429"/>
      <c r="T41" s="3429">
        <f>G41</f>
        <v>0</v>
      </c>
      <c r="U41" s="3429"/>
      <c r="V41" s="3429">
        <f>I41</f>
        <v>0</v>
      </c>
      <c r="W41" s="3429"/>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28" t="str">
        <f>A42</f>
        <v>比较价值（元/平方米）</v>
      </c>
      <c r="Q42" s="3428"/>
      <c r="R42" s="3488" t="e">
        <f>ROUND(PRODUCT(R41,AA7:AA40),0)</f>
        <v>#DIV/0!</v>
      </c>
      <c r="S42" s="3488"/>
      <c r="T42" s="3488" t="e">
        <f>ROUND(PRODUCT(T41,AB7:AB40),0)</f>
        <v>#DIV/0!</v>
      </c>
      <c r="U42" s="3488"/>
      <c r="V42" s="3488" t="e">
        <f>ROUND(PRODUCT(V41,AC7:AC40),0)</f>
        <v>#DIV/0!</v>
      </c>
      <c r="W42" s="348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25" t="str">
        <f>A43</f>
        <v>估价对象XX用房的比较价值（楼面单价，元/平方米）</v>
      </c>
      <c r="Q43" s="3426"/>
      <c r="R43" s="3489" t="e">
        <f>ROUND(IF(D42="简单平均",AVERAGE(R42:W42),R42*F42+T42*H42+V42*J42),0)</f>
        <v>#DIV/0!</v>
      </c>
      <c r="S43" s="3489"/>
      <c r="T43" s="3489"/>
      <c r="U43" s="3489"/>
      <c r="V43" s="3489"/>
      <c r="W43" s="348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43" t="s">
        <v>1887</v>
      </c>
      <c r="H50" s="3490"/>
      <c r="I50" s="1264" t="s">
        <v>1923</v>
      </c>
      <c r="J50" s="1264" t="str">
        <f>项目基本情况!F35</f>
        <v>福建省宁德市</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106.32</v>
      </c>
      <c r="F51" s="611" t="e">
        <f t="shared" ref="F51:F60" si="15">ROUND(B51*E51/10000,0)</f>
        <v>#DIV/0!</v>
      </c>
      <c r="G51" s="3439"/>
      <c r="H51" s="3428"/>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SUMIF(修正!A59:A70,H52,修正!B59:B70)</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SUMIF(修正!A59:A70,H53,修正!C59:C70)</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SUMIF(修正!A59:A70,H54,修正!D59:D70)</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19.66</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8" t="s">
        <v>2084</v>
      </c>
      <c r="D1" s="3499"/>
      <c r="E1" s="3499"/>
      <c r="F1" s="3499"/>
      <c r="G1" s="3499"/>
      <c r="H1" s="3499"/>
      <c r="I1" s="3499"/>
      <c r="J1" s="3499"/>
      <c r="K1" s="3499"/>
      <c r="L1" s="3499"/>
      <c r="M1" s="3499"/>
      <c r="N1" s="3499"/>
      <c r="O1" s="3499"/>
      <c r="P1" s="3499"/>
      <c r="Q1" s="3499"/>
      <c r="R1" s="3499"/>
      <c r="S1" s="350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5" t="s">
        <v>27</v>
      </c>
      <c r="D22" s="3496"/>
      <c r="E22" s="3496"/>
      <c r="F22" s="3496"/>
      <c r="G22" s="3496"/>
      <c r="H22" s="3496"/>
      <c r="I22" s="3496"/>
      <c r="J22" s="3496"/>
      <c r="K22" s="3496"/>
      <c r="L22" s="3496"/>
      <c r="M22" s="3496"/>
      <c r="N22" s="3496"/>
      <c r="O22" s="3496"/>
      <c r="P22" s="3496"/>
      <c r="Q22" s="349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3" t="s">
        <v>2073</v>
      </c>
      <c r="B2" s="2385" t="e">
        <f ca="1">SUMIF(B6:B13,"&lt;&gt;#ref!",B6:B13)</f>
        <v>#DIV/0!</v>
      </c>
      <c r="C2" s="1983" t="s">
        <v>2074</v>
      </c>
      <c r="D2" s="1983" t="s">
        <v>2075</v>
      </c>
      <c r="E2" s="2395">
        <f ca="1">SUMIF(E6:E13,"&lt;&gt;#ref!",E6:E13)</f>
        <v>0</v>
      </c>
      <c r="F2" s="2541"/>
      <c r="G2" s="2541"/>
      <c r="H2" s="2541"/>
      <c r="I2" s="2541"/>
      <c r="J2" s="2541"/>
      <c r="K2" s="2541"/>
      <c r="L2" s="2541"/>
      <c r="M2" s="2541"/>
      <c r="N2" s="2541"/>
      <c r="O2" s="2541"/>
      <c r="P2" s="2541"/>
    </row>
    <row r="3" spans="1:16" ht="15.6">
      <c r="A3" s="1983" t="s">
        <v>2076</v>
      </c>
      <c r="B3" s="2385" t="e">
        <f ca="1">ROUND(B2*10000/E2,0)</f>
        <v>#DIV/0!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5"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5" t="s">
        <v>1941</v>
      </c>
      <c r="D3" s="162" t="s">
        <v>1942</v>
      </c>
      <c r="E3" s="3115"/>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6">
      <c r="A4" s="3508"/>
      <c r="B4" s="3509"/>
      <c r="C4" s="3509"/>
      <c r="D4" s="3510"/>
      <c r="E4" s="3510"/>
      <c r="F4" s="3510"/>
      <c r="G4" s="3510"/>
      <c r="H4" s="3510"/>
      <c r="I4" s="3510"/>
      <c r="J4" s="3511"/>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4"/>
      <c r="AD6" s="1855"/>
      <c r="AE6" s="1855"/>
      <c r="AF6" s="1855"/>
      <c r="AG6" s="1855"/>
      <c r="AH6" s="1855"/>
      <c r="AI6" s="1855"/>
      <c r="AJ6" s="1856"/>
    </row>
    <row r="7" spans="1:36" ht="24.6" thickBot="1">
      <c r="A7" s="3009"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6"/>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505" t="s">
        <v>1960</v>
      </c>
      <c r="X8" s="350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SUMIF(修正!C73:C140,C8,修正!E73:E140)</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507"/>
      <c r="X9" s="3061" t="s">
        <v>3266</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SUMIF(修正!C73:C140,C8,修正!F73:F140)</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50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8" thickBot="1">
      <c r="A12" s="3009" t="s">
        <v>3238</v>
      </c>
      <c r="B12" s="3010" t="s">
        <v>3239</v>
      </c>
      <c r="C12" s="3011"/>
      <c r="D12" s="3012" t="s">
        <v>3240</v>
      </c>
      <c r="E12" s="3013" t="s">
        <v>3241</v>
      </c>
      <c r="F12" s="3014"/>
      <c r="G12" s="3015"/>
      <c r="H12" s="3015"/>
      <c r="I12" s="3015"/>
      <c r="J12" s="3016"/>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24.6" thickBot="1">
      <c r="A13" s="3009" t="s">
        <v>3242</v>
      </c>
      <c r="B13" s="1877" t="s">
        <v>1982</v>
      </c>
      <c r="C13" s="711">
        <f>ROUND(C16*D16*E16*F16*G16*H16*I16*J16,4)</f>
        <v>0</v>
      </c>
      <c r="D13" s="1878" t="s">
        <v>1983</v>
      </c>
      <c r="E13" s="1879"/>
      <c r="F13" s="1879"/>
      <c r="G13" s="1880"/>
      <c r="H13" s="1880"/>
      <c r="I13" s="1880"/>
      <c r="J13" s="1881"/>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24">
      <c r="A14" s="3005"/>
      <c r="B14" s="1882" t="s">
        <v>1985</v>
      </c>
      <c r="C14" s="1883" t="s">
        <v>1986</v>
      </c>
      <c r="D14" s="1261" t="s">
        <v>1987</v>
      </c>
      <c r="E14" s="27" t="s">
        <v>1988</v>
      </c>
      <c r="F14" s="3017" t="s">
        <v>3243</v>
      </c>
      <c r="G14" s="3017" t="s">
        <v>3243</v>
      </c>
      <c r="H14" s="3017" t="s">
        <v>3243</v>
      </c>
      <c r="I14" s="3017" t="s">
        <v>3243</v>
      </c>
      <c r="J14" s="3017" t="s">
        <v>3243</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4"/>
      <c r="C15" s="1885"/>
      <c r="D15" s="1886"/>
      <c r="E15" s="1887"/>
      <c r="F15" s="1470" t="s">
        <v>3244</v>
      </c>
      <c r="G15" s="1927"/>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3"/>
      <c r="M16" s="1843"/>
      <c r="N16" s="1843"/>
      <c r="O16" s="1843"/>
      <c r="P16" s="1843"/>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ht="24">
      <c r="A17" s="3032" t="s">
        <v>3245</v>
      </c>
      <c r="B17" s="3024" t="s">
        <v>3246</v>
      </c>
      <c r="C17" s="3033">
        <f>ROUND(IF(OR(E2="工业",E2="公共服务"),1,IF(AND(E18=0,E19=0),1,IF(AND(E18=J24,E19=G19),0.8,IF(E19=0,1+E17*(-0.2),1+E17*G17*(-0.2))))),4)</f>
        <v>1</v>
      </c>
      <c r="D17" s="3025" t="s">
        <v>3247</v>
      </c>
      <c r="E17" s="3033" t="e">
        <f>ROUND(G18/I18,2)</f>
        <v>#DIV/0!</v>
      </c>
      <c r="F17" s="3025" t="s">
        <v>3250</v>
      </c>
      <c r="G17" s="3033" t="e">
        <f>ROUND(E19/G19,2)</f>
        <v>#DIV/0!</v>
      </c>
      <c r="H17" s="3033"/>
      <c r="I17" s="3033"/>
      <c r="J17" s="3034"/>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5"/>
      <c r="B18" s="2307"/>
      <c r="C18" s="3031"/>
      <c r="D18" s="3026" t="s">
        <v>3248</v>
      </c>
      <c r="E18" s="2354"/>
      <c r="F18" s="3027" t="s">
        <v>3251</v>
      </c>
      <c r="G18" s="3031">
        <f>ROUND(1-(1/(POWER(1+G24,E18))),4)</f>
        <v>0</v>
      </c>
      <c r="H18" s="3027" t="s">
        <v>3253</v>
      </c>
      <c r="I18" s="3031">
        <f>ROUND(1-(1/(POWER(1+G24,J24))),4)</f>
        <v>0</v>
      </c>
      <c r="J18" s="3036"/>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9"/>
    </row>
    <row r="19" spans="1:37" s="1857" customFormat="1" ht="14.4" thickBot="1">
      <c r="A19" s="3037"/>
      <c r="B19" s="3038"/>
      <c r="C19" s="3039"/>
      <c r="D19" s="3039" t="s">
        <v>3249</v>
      </c>
      <c r="E19" s="3040"/>
      <c r="F19" s="3041" t="s">
        <v>3252</v>
      </c>
      <c r="G19" s="3040"/>
      <c r="H19" s="3039"/>
      <c r="I19" s="3039"/>
      <c r="J19" s="3042"/>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2"/>
      <c r="AH19" s="1979"/>
      <c r="AI19" s="561"/>
      <c r="AJ19" s="561"/>
      <c r="AK19" s="1898"/>
    </row>
    <row r="20" spans="1:37" s="1857" customFormat="1" ht="13.8">
      <c r="A20" s="3512" t="s">
        <v>3254</v>
      </c>
      <c r="B20" s="159" t="s">
        <v>1994</v>
      </c>
      <c r="C20" s="3028" t="e">
        <f>ROUND(IF(F21="与级别开发程度一致",0,(G21-E21)/C21),0)</f>
        <v>#DIV/0!</v>
      </c>
      <c r="D20" s="3043" t="s">
        <v>1998</v>
      </c>
      <c r="E20" s="3044"/>
      <c r="F20" s="3518" t="s">
        <v>1995</v>
      </c>
      <c r="G20" s="3519"/>
      <c r="H20" s="3029"/>
      <c r="I20" s="3029"/>
      <c r="J20" s="3030"/>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7" customFormat="1" ht="14.4" thickBot="1">
      <c r="A21" s="3513"/>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7" customFormat="1" ht="15" thickBot="1">
      <c r="A22" s="1995" t="s">
        <v>363</v>
      </c>
      <c r="B22" s="1996" t="s">
        <v>2000</v>
      </c>
      <c r="C22" s="1997">
        <f>SUMIF(修正!C20:C53,E3,修正!E20:E53)</f>
        <v>0</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4.6"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7">
        <v>44197</v>
      </c>
      <c r="F23" s="1895" t="s">
        <v>2003</v>
      </c>
      <c r="G23" s="718">
        <f>'数据-取费表'!B2</f>
        <v>45928</v>
      </c>
      <c r="H23" s="3045"/>
      <c r="I23" s="3046" t="str">
        <f>IF(H23="季度增幅（自定义）",SUMIF(N25:N28,E2,O25:O28),"")</f>
        <v/>
      </c>
      <c r="J23" s="3138"/>
      <c r="K23" s="1061"/>
      <c r="L23" s="1896" t="s">
        <v>2004</v>
      </c>
      <c r="M23" s="1241">
        <f>ROUND(SUMIF(地价!B2:G2,E2,地价!B16:G16),0)</f>
        <v>0</v>
      </c>
      <c r="N23" s="1897" t="s">
        <v>2005</v>
      </c>
      <c r="O23" s="719">
        <f>ROUNDDOWN(DATEDIF(E23,G23,"M")/3,0)</f>
        <v>18</v>
      </c>
      <c r="P23" s="1057"/>
      <c r="Q23" s="2549"/>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8">
        <f>存贷款利率!E28/100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6" t="s">
        <v>366</v>
      </c>
      <c r="B25" s="1907" t="s">
        <v>3333</v>
      </c>
      <c r="C25" s="461">
        <f>IF(B25="容积率修正",IF(G3&lt;10,D26,J26),C27)</f>
        <v>0</v>
      </c>
      <c r="D25" s="1908"/>
      <c r="E25" s="1908"/>
      <c r="F25" s="1908"/>
      <c r="G25" s="1908"/>
      <c r="H25" s="1908"/>
      <c r="I25" s="1908"/>
      <c r="J25" s="1909"/>
      <c r="K25" s="1061"/>
      <c r="L25" s="2549"/>
      <c r="M25" s="2549"/>
      <c r="N25" s="1910"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3256</v>
      </c>
      <c r="J26" s="374" t="str">
        <f>IF(G3&gt;=10,D115,"——")</f>
        <v>——</v>
      </c>
      <c r="K26" s="1061"/>
      <c r="L26" s="2549"/>
      <c r="M26" s="2549"/>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v>
      </c>
      <c r="D28" s="1893"/>
      <c r="E28" s="1918"/>
      <c r="F28" s="1918"/>
      <c r="G28" s="1918"/>
      <c r="H28" s="1918"/>
      <c r="I28" s="1918"/>
      <c r="J28" s="1919"/>
      <c r="K28" s="1061"/>
      <c r="L28" s="2549"/>
      <c r="M28" s="2549"/>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6"/>
      <c r="L30" s="3052" t="s">
        <v>1936</v>
      </c>
      <c r="M30" s="3053" t="s">
        <v>1990</v>
      </c>
      <c r="N30" s="3053" t="s">
        <v>1991</v>
      </c>
      <c r="O30" s="3053" t="s">
        <v>1992</v>
      </c>
      <c r="P30" s="3053" t="s">
        <v>1993</v>
      </c>
      <c r="Q30" s="3056"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t="e">
        <f>E34+SUM(I37:I42)</f>
        <v>#DIV/0!</v>
      </c>
      <c r="D31" s="1928"/>
      <c r="E31" s="1929"/>
      <c r="F31" s="1930"/>
      <c r="G31" s="1929"/>
      <c r="H31" s="1929"/>
      <c r="I31" s="1929"/>
      <c r="J31" s="1931"/>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t="e">
        <f>ROUND(C5*C22*C23*C24*C25*C28,0)</f>
        <v>#DIV/0!</v>
      </c>
      <c r="D33" s="1939"/>
      <c r="E33" s="727" t="e">
        <f>ROUND(C33*D33/10000,0)</f>
        <v>#DIV/0!</v>
      </c>
      <c r="F33" s="3047" t="s">
        <v>3258</v>
      </c>
      <c r="G33" s="1940"/>
      <c r="H33" s="1940"/>
      <c r="I33" s="1940"/>
      <c r="J33" s="1941"/>
      <c r="K33" s="1056"/>
      <c r="L33" s="3050" t="s">
        <v>3261</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0" t="s">
        <v>3262</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8"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3263</v>
      </c>
      <c r="L36" s="3139">
        <f ca="1">'数据-取费表'!B40</f>
        <v>3.1300000000000001E-2</v>
      </c>
      <c r="M36" s="2363">
        <f ca="1">ROUND($L$36*(1+M31),3)</f>
        <v>3.9E-2</v>
      </c>
      <c r="N36" s="2363">
        <f ca="1">ROUND($L$36*(1+N31),3)</f>
        <v>3.7999999999999999E-2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516"/>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1"/>
      <c r="K37" s="3058" t="s">
        <v>3264</v>
      </c>
      <c r="L37" s="1963">
        <f ca="1">L36+K38</f>
        <v>3.6299999999999999E-2</v>
      </c>
      <c r="M37" s="2363">
        <f ca="1">ROUND($L$37*(1+M31),3)</f>
        <v>4.4999999999999998E-2</v>
      </c>
      <c r="N37" s="2363">
        <f t="shared" ref="N37:Q37" ca="1" si="3">ROUND($L$37*(1+N31),3)</f>
        <v>4.3999999999999997E-2</v>
      </c>
      <c r="O37" s="2363">
        <f t="shared" ca="1" si="3"/>
        <v>4.2000000000000003E-2</v>
      </c>
      <c r="P37" s="2363">
        <f t="shared" ca="1" si="3"/>
        <v>0.04</v>
      </c>
      <c r="Q37" s="2363">
        <f t="shared" ca="1" si="3"/>
        <v>4.2000000000000003E-2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17"/>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0"/>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517"/>
      <c r="B39" s="1883" t="s">
        <v>3257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9"/>
      <c r="L41" s="3059" t="s">
        <v>3265</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t="e">
        <f>ROUND(D5*C22*C23*C44*C28*F42,0)</f>
        <v>#DIV/0!</v>
      </c>
      <c r="D42" s="1944"/>
      <c r="E42" s="179" t="e">
        <f t="shared" si="4"/>
        <v>#DIV/0!</v>
      </c>
      <c r="F42" s="723">
        <f>SUMIF(修正!A59:A70,G2,修正!G59:G70)</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7" t="s">
        <v>3267</v>
      </c>
      <c r="B52" s="1262">
        <f>估价对象房地状况!C19</f>
        <v>0</v>
      </c>
      <c r="C52" s="1886"/>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3267</v>
      </c>
      <c r="B63" s="1262">
        <f>估价对象房地状况!C19</f>
        <v>0</v>
      </c>
      <c r="C63" s="1886"/>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7" t="s">
        <v>3267</v>
      </c>
      <c r="B74" s="1262">
        <f>估价对象房地状况!C19</f>
        <v>0</v>
      </c>
      <c r="C74" s="1886"/>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4"/>
      <c r="AA84" s="1894"/>
      <c r="AG84" s="1058"/>
      <c r="AK84" s="1894"/>
    </row>
    <row r="85" spans="1:37" ht="48">
      <c r="A85" s="3067" t="s">
        <v>3268</v>
      </c>
      <c r="B85" s="1262">
        <f>估价对象房地状况!G17</f>
        <v>0</v>
      </c>
      <c r="C85" s="1886"/>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2612</v>
      </c>
      <c r="B91" s="3076">
        <f>1+E93</f>
        <v>1</v>
      </c>
      <c r="C91" s="3069"/>
      <c r="D91" s="3070"/>
      <c r="E91" s="1675"/>
      <c r="F91" s="1675"/>
      <c r="G91" s="3071"/>
      <c r="H91" s="3072"/>
      <c r="I91" s="3073"/>
      <c r="J91" s="3074"/>
      <c r="K91" s="3074"/>
      <c r="L91" s="3074"/>
      <c r="M91" s="3074"/>
      <c r="N91" s="3074"/>
    </row>
    <row r="92" spans="1:37" ht="25.2">
      <c r="A92" s="3077" t="s">
        <v>3269</v>
      </c>
      <c r="B92" s="2307"/>
      <c r="C92" s="2307" t="s">
        <v>3278</v>
      </c>
      <c r="D92" s="2307" t="s">
        <v>3279</v>
      </c>
      <c r="E92" s="3049" t="s">
        <v>3280</v>
      </c>
      <c r="F92" s="3079" t="s">
        <v>3281</v>
      </c>
      <c r="G92" s="2307" t="s">
        <v>3282</v>
      </c>
      <c r="H92" s="3086" t="s">
        <v>3285</v>
      </c>
      <c r="I92" s="2307" t="s">
        <v>3286</v>
      </c>
      <c r="J92" s="2149" t="s">
        <v>3287</v>
      </c>
      <c r="K92" s="2149" t="s">
        <v>3288</v>
      </c>
      <c r="L92" s="2149" t="s">
        <v>3289</v>
      </c>
      <c r="M92" s="2149" t="s">
        <v>3290</v>
      </c>
      <c r="N92" s="2149" t="s">
        <v>3291</v>
      </c>
    </row>
    <row r="93" spans="1:37" ht="24">
      <c r="A93" s="3067" t="s">
        <v>3270</v>
      </c>
      <c r="B93" s="1221"/>
      <c r="C93" s="1886"/>
      <c r="D93" s="2307">
        <f>SUMIF($J$92:$N$92,C93,J93:N93)</f>
        <v>0</v>
      </c>
      <c r="E93" s="3080">
        <f>ROUND(SUM(D93:D101),4)</f>
        <v>0</v>
      </c>
      <c r="F93" s="1675"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3271</v>
      </c>
      <c r="B94" s="3068" t="str">
        <f>估价对象房地状况!C18</f>
        <v>估价对象周边道路状况、公共交通通达情况、停车便捷程度，综合评价交通便捷度较好</v>
      </c>
      <c r="C94" s="1886"/>
      <c r="D94" s="2307">
        <f t="shared" ref="D94:D101" si="30">SUMIF($J$60:$N$60,C94,J94:N94)</f>
        <v>0</v>
      </c>
      <c r="E94" s="3081"/>
      <c r="F94" s="1675"/>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3267</v>
      </c>
      <c r="B95" s="3068">
        <f>估价对象房地状况!C19</f>
        <v>0</v>
      </c>
      <c r="C95" s="1886"/>
      <c r="D95" s="2307">
        <f t="shared" si="30"/>
        <v>0</v>
      </c>
      <c r="E95" s="3081"/>
      <c r="F95" s="1675"/>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3272</v>
      </c>
      <c r="B96" s="3083" t="s">
        <v>3283</v>
      </c>
      <c r="C96" s="1886"/>
      <c r="D96" s="2307">
        <f t="shared" si="30"/>
        <v>0</v>
      </c>
      <c r="E96" s="3081"/>
      <c r="F96" s="1675"/>
      <c r="G96" s="3071"/>
      <c r="H96" s="3116" t="str">
        <f t="shared" si="31"/>
        <v>——</v>
      </c>
      <c r="I96" s="3065">
        <v>0.05</v>
      </c>
      <c r="J96" s="1911">
        <f t="shared" si="27"/>
        <v>0</v>
      </c>
      <c r="K96" s="1911">
        <f t="shared" si="28"/>
        <v>0</v>
      </c>
      <c r="L96" s="1911">
        <v>0</v>
      </c>
      <c r="M96" s="1911">
        <f t="shared" si="29"/>
        <v>0</v>
      </c>
      <c r="N96" s="1911">
        <f t="shared" si="29"/>
        <v>0</v>
      </c>
    </row>
    <row r="97" spans="1:14" ht="24">
      <c r="A97" s="3077" t="s">
        <v>3273</v>
      </c>
      <c r="B97" s="3068">
        <f>估价对象房地状况!C24</f>
        <v>0</v>
      </c>
      <c r="C97" s="1886"/>
      <c r="D97" s="2307">
        <f t="shared" si="30"/>
        <v>0</v>
      </c>
      <c r="E97" s="3081"/>
      <c r="F97" s="1675"/>
      <c r="G97" s="3071"/>
      <c r="H97" s="3116" t="str">
        <f t="shared" si="31"/>
        <v>——</v>
      </c>
      <c r="I97" s="3065">
        <v>0.05</v>
      </c>
      <c r="J97" s="1911">
        <f t="shared" si="27"/>
        <v>0</v>
      </c>
      <c r="K97" s="1911">
        <f t="shared" si="28"/>
        <v>0</v>
      </c>
      <c r="L97" s="1911">
        <v>0</v>
      </c>
      <c r="M97" s="1911">
        <f t="shared" si="29"/>
        <v>0</v>
      </c>
      <c r="N97" s="1911">
        <f t="shared" si="29"/>
        <v>0</v>
      </c>
    </row>
    <row r="98" spans="1:14" ht="36">
      <c r="A98" s="3077" t="s">
        <v>3274</v>
      </c>
      <c r="B98" s="3084" t="s">
        <v>3284</v>
      </c>
      <c r="C98" s="1886"/>
      <c r="D98" s="2307">
        <f t="shared" si="30"/>
        <v>0</v>
      </c>
      <c r="E98" s="3081"/>
      <c r="F98" s="1675"/>
      <c r="G98" s="3071"/>
      <c r="H98" s="3116" t="str">
        <f t="shared" si="31"/>
        <v>——</v>
      </c>
      <c r="I98" s="3065">
        <v>0.06</v>
      </c>
      <c r="J98" s="1911">
        <f t="shared" si="27"/>
        <v>0</v>
      </c>
      <c r="K98" s="1911">
        <f t="shared" si="28"/>
        <v>0</v>
      </c>
      <c r="L98" s="1911">
        <v>0</v>
      </c>
      <c r="M98" s="1911">
        <f t="shared" si="29"/>
        <v>0</v>
      </c>
      <c r="N98" s="1911">
        <f t="shared" si="29"/>
        <v>0</v>
      </c>
    </row>
    <row r="99" spans="1:14" ht="26.4">
      <c r="A99" s="3077" t="s">
        <v>3275</v>
      </c>
      <c r="B99" s="3068" t="str">
        <f>估价对象房地状况!C21</f>
        <v>估价对象所在区域公共配套设施齐备情况</v>
      </c>
      <c r="C99" s="1886"/>
      <c r="D99" s="2307">
        <f t="shared" si="30"/>
        <v>0</v>
      </c>
      <c r="E99" s="3081"/>
      <c r="F99" s="1675"/>
      <c r="G99" s="3071"/>
      <c r="H99" s="3116" t="str">
        <f t="shared" si="31"/>
        <v>——</v>
      </c>
      <c r="I99" s="3065">
        <v>0.06</v>
      </c>
      <c r="J99" s="1911">
        <f t="shared" si="27"/>
        <v>0</v>
      </c>
      <c r="K99" s="1911">
        <f t="shared" si="28"/>
        <v>0</v>
      </c>
      <c r="L99" s="1911">
        <v>0</v>
      </c>
      <c r="M99" s="1911">
        <f t="shared" si="29"/>
        <v>0</v>
      </c>
      <c r="N99" s="1911">
        <f t="shared" si="29"/>
        <v>0</v>
      </c>
    </row>
    <row r="100" spans="1:14" ht="26.4">
      <c r="A100" s="3077" t="s">
        <v>3276</v>
      </c>
      <c r="B100" s="3068" t="str">
        <f>估价对象房地状况!C22</f>
        <v>估价对象所在区域基础设施水平</v>
      </c>
      <c r="C100" s="1886"/>
      <c r="D100" s="2307">
        <f t="shared" si="30"/>
        <v>0</v>
      </c>
      <c r="E100" s="3081"/>
      <c r="F100" s="1675"/>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3277</v>
      </c>
      <c r="B101" s="3085" t="str">
        <f>估价对象房地状况!C20</f>
        <v>区域自然环境：；人文环境；综合评价环境状况一般</v>
      </c>
      <c r="C101" s="1886"/>
      <c r="D101" s="2307">
        <f t="shared" si="30"/>
        <v>0</v>
      </c>
      <c r="E101" s="3082"/>
      <c r="F101" s="1675"/>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514" t="s">
        <v>3292</v>
      </c>
      <c r="B103" s="3514"/>
      <c r="C103" s="3514"/>
      <c r="D103" s="3514"/>
      <c r="E103" s="3514"/>
      <c r="F103" s="3514"/>
      <c r="G103" s="3514"/>
      <c r="H103" s="3514"/>
      <c r="I103" s="3514"/>
      <c r="J103" s="3514"/>
      <c r="K103" s="1667"/>
      <c r="L103" s="1667"/>
      <c r="M103" s="1667"/>
      <c r="N103" s="1667"/>
    </row>
    <row r="104" spans="1:14">
      <c r="A104" s="3515" t="s">
        <v>3293</v>
      </c>
      <c r="B104" s="3515" t="s">
        <v>3294</v>
      </c>
      <c r="C104" s="3087" t="s">
        <v>3295</v>
      </c>
      <c r="D104" s="3088"/>
      <c r="E104" s="3088"/>
      <c r="F104" s="3088"/>
      <c r="G104" s="3088"/>
      <c r="H104" s="3088"/>
      <c r="I104" s="3088"/>
      <c r="J104" s="3089"/>
      <c r="K104" s="3090"/>
      <c r="L104" s="3090"/>
      <c r="M104" s="3090"/>
      <c r="N104" s="3090"/>
    </row>
    <row r="105" spans="1:14">
      <c r="A105" s="3515"/>
      <c r="B105" s="3515"/>
      <c r="C105" s="3091" t="s">
        <v>3296</v>
      </c>
      <c r="D105" s="3091" t="s">
        <v>3297</v>
      </c>
      <c r="E105" s="3091" t="s">
        <v>3298</v>
      </c>
      <c r="F105" s="3091" t="s">
        <v>3299</v>
      </c>
      <c r="G105" s="3091" t="s">
        <v>3300</v>
      </c>
      <c r="H105" s="3091" t="s">
        <v>3301</v>
      </c>
      <c r="I105" s="3091" t="s">
        <v>3302</v>
      </c>
      <c r="J105" s="3091" t="s">
        <v>3303</v>
      </c>
      <c r="K105" s="3091" t="s">
        <v>3304</v>
      </c>
      <c r="L105" s="3091" t="s">
        <v>3305</v>
      </c>
      <c r="M105" s="3091" t="s">
        <v>3306</v>
      </c>
      <c r="N105" s="3091" t="s">
        <v>3307</v>
      </c>
    </row>
    <row r="106" spans="1:14">
      <c r="A106" s="3501" t="s">
        <v>3308</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50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50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50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50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502"/>
      <c r="B111" s="3091" t="s">
        <v>3266</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50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504" t="s">
        <v>3309</v>
      </c>
      <c r="B113" s="3504"/>
      <c r="C113" s="3504"/>
      <c r="D113" s="3504"/>
      <c r="E113" s="3504"/>
      <c r="F113" s="3504"/>
      <c r="G113" s="3504"/>
      <c r="H113" s="3504"/>
      <c r="I113" s="3504"/>
      <c r="J113" s="3504"/>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3310</v>
      </c>
      <c r="B116" s="3111">
        <f>G3</f>
        <v>0</v>
      </c>
      <c r="C116" s="3096" t="s">
        <v>3311</v>
      </c>
      <c r="D116" s="3097">
        <f>SUMPRODUCT((A118:A122=F116)*(B117:M117=H116)*B118:M122)</f>
        <v>0</v>
      </c>
      <c r="E116" s="162" t="s">
        <v>3312</v>
      </c>
      <c r="F116" s="3098">
        <f>E2</f>
        <v>0</v>
      </c>
      <c r="G116" s="162" t="s">
        <v>3313</v>
      </c>
      <c r="H116" s="3098">
        <f>G2</f>
        <v>0</v>
      </c>
      <c r="I116" s="162"/>
      <c r="J116" s="3099"/>
      <c r="K116" s="3099"/>
      <c r="L116" s="3099"/>
      <c r="M116" s="3099"/>
      <c r="N116" s="3094"/>
    </row>
    <row r="117" spans="1:14">
      <c r="A117" s="3100"/>
      <c r="B117" s="3101" t="s">
        <v>3314</v>
      </c>
      <c r="C117" s="3101" t="s">
        <v>3315</v>
      </c>
      <c r="D117" s="3101" t="s">
        <v>3316</v>
      </c>
      <c r="E117" s="3102" t="s">
        <v>3317</v>
      </c>
      <c r="F117" s="3102" t="s">
        <v>3318</v>
      </c>
      <c r="G117" s="3102" t="s">
        <v>3319</v>
      </c>
      <c r="H117" s="3103" t="s">
        <v>3320</v>
      </c>
      <c r="I117" s="3103" t="s">
        <v>3321</v>
      </c>
      <c r="J117" s="3104" t="s">
        <v>3322</v>
      </c>
      <c r="K117" s="3104" t="s">
        <v>3323</v>
      </c>
      <c r="L117" s="3104" t="s">
        <v>3324</v>
      </c>
      <c r="M117" s="3105" t="s">
        <v>3325</v>
      </c>
      <c r="N117" s="3094"/>
    </row>
    <row r="118" spans="1:14">
      <c r="A118" s="3054" t="s">
        <v>3326</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3327</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3328</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3329</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2612</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F3" xr:uid="{00000000-0002-0000-2200-000004000000}">
      <formula1>"宗地容积率,估价对象容积率,自定义容积率"</formula1>
    </dataValidation>
    <dataValidation type="list" allowBlank="1" showInputMessage="1" showErrorMessage="1" sqref="C8" xr:uid="{00000000-0002-0000-2200-000005000000}">
      <formula1>商业街名称</formula1>
    </dataValidation>
    <dataValidation type="list" allowBlank="1" showInputMessage="1" showErrorMessage="1" sqref="E3" xr:uid="{00000000-0002-0000-2200-000006000000}">
      <formula1>INDIRECT(E2)</formula1>
    </dataValidation>
    <dataValidation type="list" allowBlank="1" showInputMessage="1" showErrorMessage="1" sqref="C61:C69 C72:C80 C50:C58 C83:C91 C93:C101" xr:uid="{00000000-0002-0000-2200-000007000000}">
      <formula1>五等判定</formula1>
    </dataValidation>
    <dataValidation type="list" allowBlank="1" showInputMessage="1" showErrorMessage="1" sqref="H23" xr:uid="{00000000-0002-0000-2200-000008000000}">
      <formula1>"地价指数,季度增幅（自定义）,按公示增长率计算"</formula1>
    </dataValidation>
    <dataValidation type="list" allowBlank="1" showInputMessage="1" showErrorMessage="1" sqref="H20:O20" xr:uid="{00000000-0002-0000-2200-000009000000}">
      <formula1>七通一平</formula1>
    </dataValidation>
    <dataValidation type="list" allowBlank="1" showInputMessage="1" showErrorMessage="1" sqref="J23" xr:uid="{00000000-0002-0000-22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531" t="s">
        <v>2607</v>
      </c>
      <c r="B20" s="3524" t="s">
        <v>2628</v>
      </c>
      <c r="C20" s="3165" t="s">
        <v>2439</v>
      </c>
      <c r="D20" s="3165"/>
      <c r="E20" s="2841">
        <v>1</v>
      </c>
      <c r="F20" s="2842" t="s">
        <v>2440</v>
      </c>
      <c r="G20" s="2842"/>
    </row>
    <row r="21" spans="1:13" ht="19.5" customHeight="1">
      <c r="A21" s="3532"/>
      <c r="B21" s="3520"/>
      <c r="C21" s="2854" t="s">
        <v>2441</v>
      </c>
      <c r="D21" s="2854"/>
      <c r="E21" s="2845">
        <v>1</v>
      </c>
      <c r="F21" s="2842" t="s">
        <v>2442</v>
      </c>
      <c r="G21" s="2842"/>
    </row>
    <row r="22" spans="1:13" ht="19.5" customHeight="1">
      <c r="A22" s="3532"/>
      <c r="B22" s="3520"/>
      <c r="C22" s="2854" t="s">
        <v>2443</v>
      </c>
      <c r="D22" s="2854"/>
      <c r="E22" s="2845">
        <v>0.9</v>
      </c>
      <c r="F22" s="2842" t="s">
        <v>2444</v>
      </c>
      <c r="G22" s="2842"/>
    </row>
    <row r="23" spans="1:13" ht="19.5" customHeight="1">
      <c r="A23" s="3532"/>
      <c r="B23" s="3520"/>
      <c r="C23" s="2854" t="s">
        <v>2445</v>
      </c>
      <c r="D23" s="2854"/>
      <c r="E23" s="2845">
        <v>0.9</v>
      </c>
      <c r="F23" s="2842" t="s">
        <v>2446</v>
      </c>
      <c r="G23" s="2842"/>
    </row>
    <row r="24" spans="1:13" ht="19.5" customHeight="1">
      <c r="A24" s="3532"/>
      <c r="B24" s="3520"/>
      <c r="C24" s="2854" t="s">
        <v>2447</v>
      </c>
      <c r="D24" s="2854"/>
      <c r="E24" s="2845">
        <v>0.8</v>
      </c>
      <c r="F24" s="2842" t="s">
        <v>2448</v>
      </c>
      <c r="G24" s="2842"/>
    </row>
    <row r="25" spans="1:13" ht="19.5" customHeight="1">
      <c r="A25" s="3532"/>
      <c r="B25" s="3520"/>
      <c r="C25" s="2854" t="s">
        <v>2449</v>
      </c>
      <c r="D25" s="2854"/>
      <c r="E25" s="2845">
        <v>0.8</v>
      </c>
      <c r="F25" s="2842"/>
      <c r="G25" s="2842"/>
    </row>
    <row r="26" spans="1:13" ht="19.5" customHeight="1">
      <c r="A26" s="3532"/>
      <c r="B26" s="3520"/>
      <c r="C26" s="2854" t="s">
        <v>3410</v>
      </c>
      <c r="D26" s="2854"/>
      <c r="E26" s="2845">
        <v>0.43</v>
      </c>
      <c r="F26" s="2842"/>
      <c r="G26" s="2842"/>
    </row>
    <row r="27" spans="1:13" ht="19.5" customHeight="1" thickBot="1">
      <c r="A27" s="3533"/>
      <c r="B27" s="3525"/>
      <c r="C27" s="3161" t="s">
        <v>3411</v>
      </c>
      <c r="D27" s="3161"/>
      <c r="E27" s="2848">
        <f>E26*0.9</f>
        <v>0.38700000000000001</v>
      </c>
      <c r="F27" s="2842" t="s">
        <v>2450</v>
      </c>
      <c r="G27" s="2842"/>
    </row>
    <row r="28" spans="1:13" ht="19.5" customHeight="1" thickBot="1">
      <c r="A28" s="3160" t="s">
        <v>2629</v>
      </c>
      <c r="B28" s="3159" t="s">
        <v>2628</v>
      </c>
      <c r="C28" s="3162" t="s">
        <v>2630</v>
      </c>
      <c r="D28" s="3163"/>
      <c r="E28" s="3164">
        <v>1</v>
      </c>
      <c r="F28" s="2842" t="s">
        <v>2451</v>
      </c>
      <c r="G28" s="2842"/>
    </row>
    <row r="29" spans="1:13" ht="19.5" customHeight="1">
      <c r="A29" s="3526" t="s">
        <v>2631</v>
      </c>
      <c r="B29" s="3529" t="s">
        <v>2612</v>
      </c>
      <c r="C29" s="2839" t="s">
        <v>2452</v>
      </c>
      <c r="D29" s="2840"/>
      <c r="E29" s="2841">
        <v>1</v>
      </c>
      <c r="F29" s="2842" t="s">
        <v>2453</v>
      </c>
      <c r="G29" s="2842"/>
    </row>
    <row r="30" spans="1:13" ht="19.5" customHeight="1">
      <c r="A30" s="3527"/>
      <c r="B30" s="3523"/>
      <c r="C30" s="2843" t="s">
        <v>2454</v>
      </c>
      <c r="D30" s="2844"/>
      <c r="E30" s="2845">
        <v>1</v>
      </c>
      <c r="F30" s="2842" t="s">
        <v>2455</v>
      </c>
      <c r="G30" s="2842"/>
    </row>
    <row r="31" spans="1:13" ht="19.5" customHeight="1">
      <c r="A31" s="3527"/>
      <c r="B31" s="3523"/>
      <c r="C31" s="2843" t="s">
        <v>2456</v>
      </c>
      <c r="D31" s="2844"/>
      <c r="E31" s="2845">
        <v>0.8</v>
      </c>
      <c r="F31" s="2842" t="s">
        <v>2457</v>
      </c>
      <c r="G31" s="2842"/>
    </row>
    <row r="32" spans="1:13" ht="19.5" customHeight="1">
      <c r="A32" s="3527"/>
      <c r="B32" s="3523"/>
      <c r="C32" s="2843" t="s">
        <v>2458</v>
      </c>
      <c r="D32" s="2844"/>
      <c r="E32" s="2845">
        <v>0.8</v>
      </c>
      <c r="F32" s="2842" t="s">
        <v>2459</v>
      </c>
      <c r="G32" s="2842"/>
    </row>
    <row r="33" spans="1:7" ht="19.5" customHeight="1">
      <c r="A33" s="3527"/>
      <c r="B33" s="3523"/>
      <c r="C33" s="2843" t="s">
        <v>2460</v>
      </c>
      <c r="D33" s="2844"/>
      <c r="E33" s="2845">
        <v>0.8</v>
      </c>
      <c r="F33" s="2842" t="s">
        <v>2461</v>
      </c>
      <c r="G33" s="2842"/>
    </row>
    <row r="34" spans="1:7" ht="19.5" customHeight="1">
      <c r="A34" s="3527"/>
      <c r="B34" s="3523"/>
      <c r="C34" s="2843" t="s">
        <v>2462</v>
      </c>
      <c r="D34" s="2844"/>
      <c r="E34" s="2845">
        <v>0.7</v>
      </c>
      <c r="F34" s="2842" t="s">
        <v>2463</v>
      </c>
      <c r="G34" s="2842"/>
    </row>
    <row r="35" spans="1:7" ht="19.5" customHeight="1">
      <c r="A35" s="3527"/>
      <c r="B35" s="3523"/>
      <c r="C35" s="2843" t="s">
        <v>2464</v>
      </c>
      <c r="D35" s="2844"/>
      <c r="E35" s="2845">
        <v>0.8</v>
      </c>
      <c r="F35" s="2842" t="s">
        <v>2465</v>
      </c>
      <c r="G35" s="2842"/>
    </row>
    <row r="36" spans="1:7" ht="19.5" customHeight="1">
      <c r="A36" s="3527"/>
      <c r="B36" s="3523"/>
      <c r="C36" s="2843" t="s">
        <v>2466</v>
      </c>
      <c r="D36" s="2844"/>
      <c r="E36" s="2845">
        <v>0.6</v>
      </c>
      <c r="F36" s="2842" t="s">
        <v>2467</v>
      </c>
      <c r="G36" s="2842"/>
    </row>
    <row r="37" spans="1:7" ht="19.5" customHeight="1">
      <c r="A37" s="3527"/>
      <c r="B37" s="3523"/>
      <c r="C37" s="2843" t="s">
        <v>2468</v>
      </c>
      <c r="D37" s="2844"/>
      <c r="E37" s="2845">
        <v>0.2</v>
      </c>
      <c r="F37" s="2842" t="s">
        <v>2469</v>
      </c>
      <c r="G37" s="2842"/>
    </row>
    <row r="38" spans="1:7" ht="19.5" customHeight="1">
      <c r="A38" s="3527"/>
      <c r="B38" s="3523"/>
      <c r="C38" s="2843" t="s">
        <v>2470</v>
      </c>
      <c r="D38" s="2844"/>
      <c r="E38" s="2845">
        <v>0.2</v>
      </c>
      <c r="F38" s="2842" t="s">
        <v>2471</v>
      </c>
      <c r="G38" s="2842"/>
    </row>
    <row r="39" spans="1:7" ht="19.5" customHeight="1">
      <c r="A39" s="3527"/>
      <c r="B39" s="3521" t="s">
        <v>2632</v>
      </c>
      <c r="C39" s="2843" t="s">
        <v>2472</v>
      </c>
      <c r="D39" s="2844"/>
      <c r="E39" s="2845">
        <v>0.6</v>
      </c>
      <c r="F39" s="2842" t="s">
        <v>2473</v>
      </c>
      <c r="G39" s="2842"/>
    </row>
    <row r="40" spans="1:7" ht="19.5" customHeight="1">
      <c r="A40" s="3527"/>
      <c r="B40" s="3523"/>
      <c r="C40" s="2843" t="s">
        <v>2474</v>
      </c>
      <c r="D40" s="2844"/>
      <c r="E40" s="2845">
        <v>0.6</v>
      </c>
      <c r="F40" s="2842" t="s">
        <v>2475</v>
      </c>
      <c r="G40" s="2842"/>
    </row>
    <row r="41" spans="1:7" ht="19.5" customHeight="1" thickBot="1">
      <c r="A41" s="3528"/>
      <c r="B41" s="3530"/>
      <c r="C41" s="2846" t="s">
        <v>2476</v>
      </c>
      <c r="D41" s="2847"/>
      <c r="E41" s="2848">
        <v>0.6</v>
      </c>
      <c r="F41" s="2842" t="s">
        <v>2477</v>
      </c>
      <c r="G41" s="2842"/>
    </row>
    <row r="42" spans="1:7" ht="19.5" customHeight="1" thickBot="1">
      <c r="A42" s="2849" t="s">
        <v>2609</v>
      </c>
      <c r="B42" s="2850" t="s">
        <v>2609</v>
      </c>
      <c r="C42" s="2851" t="s">
        <v>2633</v>
      </c>
      <c r="D42" s="2852"/>
      <c r="E42" s="2853">
        <v>1</v>
      </c>
      <c r="F42" s="2842" t="s">
        <v>2478</v>
      </c>
      <c r="G42" s="2842"/>
    </row>
    <row r="43" spans="1:7" ht="19.5" customHeight="1">
      <c r="A43" s="3531" t="s">
        <v>2610</v>
      </c>
      <c r="B43" s="3529" t="s">
        <v>2634</v>
      </c>
      <c r="C43" s="2839" t="s">
        <v>2479</v>
      </c>
      <c r="D43" s="2840"/>
      <c r="E43" s="2841">
        <v>1</v>
      </c>
      <c r="F43" s="2842" t="s">
        <v>2480</v>
      </c>
      <c r="G43" s="2842"/>
    </row>
    <row r="44" spans="1:7" ht="19.5" customHeight="1">
      <c r="A44" s="3532"/>
      <c r="B44" s="3523"/>
      <c r="C44" s="2843" t="s">
        <v>2481</v>
      </c>
      <c r="D44" s="2844"/>
      <c r="E44" s="2845">
        <v>1</v>
      </c>
      <c r="F44" s="2842" t="s">
        <v>2482</v>
      </c>
      <c r="G44" s="2842"/>
    </row>
    <row r="45" spans="1:7" ht="19.5" customHeight="1">
      <c r="A45" s="3532"/>
      <c r="B45" s="3522"/>
      <c r="C45" s="2843" t="s">
        <v>2483</v>
      </c>
      <c r="D45" s="2844"/>
      <c r="E45" s="2845">
        <v>1.5</v>
      </c>
      <c r="F45" s="2842" t="s">
        <v>2484</v>
      </c>
      <c r="G45" s="2842"/>
    </row>
    <row r="46" spans="1:7" ht="19.5" customHeight="1">
      <c r="A46" s="3532"/>
      <c r="B46" s="2854" t="s">
        <v>2635</v>
      </c>
      <c r="C46" s="2843" t="s">
        <v>2636</v>
      </c>
      <c r="D46" s="2844"/>
      <c r="E46" s="2845">
        <v>2</v>
      </c>
      <c r="F46" s="2842" t="s">
        <v>2485</v>
      </c>
      <c r="G46" s="2842"/>
    </row>
    <row r="47" spans="1:7" ht="19.5" customHeight="1">
      <c r="A47" s="3532"/>
      <c r="B47" s="3521" t="s">
        <v>2637</v>
      </c>
      <c r="C47" s="2843" t="s">
        <v>2486</v>
      </c>
      <c r="D47" s="2844"/>
      <c r="E47" s="2845">
        <v>1</v>
      </c>
      <c r="F47" s="2842" t="s">
        <v>2487</v>
      </c>
      <c r="G47" s="2842"/>
    </row>
    <row r="48" spans="1:7" ht="19.5" customHeight="1">
      <c r="A48" s="3532"/>
      <c r="B48" s="3523"/>
      <c r="C48" s="2843" t="s">
        <v>2488</v>
      </c>
      <c r="D48" s="2844"/>
      <c r="E48" s="2845">
        <v>1</v>
      </c>
      <c r="F48" s="2842" t="s">
        <v>2489</v>
      </c>
      <c r="G48" s="2842"/>
    </row>
    <row r="49" spans="1:7" ht="19.5" customHeight="1">
      <c r="A49" s="3532"/>
      <c r="B49" s="3523"/>
      <c r="C49" s="2843" t="s">
        <v>2490</v>
      </c>
      <c r="D49" s="2844"/>
      <c r="E49" s="2845">
        <v>1</v>
      </c>
      <c r="F49" s="2842" t="s">
        <v>2491</v>
      </c>
      <c r="G49" s="2842"/>
    </row>
    <row r="50" spans="1:7" ht="19.5" customHeight="1">
      <c r="A50" s="3532"/>
      <c r="B50" s="3523"/>
      <c r="C50" s="2843" t="s">
        <v>2492</v>
      </c>
      <c r="D50" s="2844"/>
      <c r="E50" s="2845">
        <v>1</v>
      </c>
      <c r="F50" s="2842" t="s">
        <v>2493</v>
      </c>
      <c r="G50" s="2842"/>
    </row>
    <row r="51" spans="1:7" ht="19.5" customHeight="1">
      <c r="A51" s="3532"/>
      <c r="B51" s="3523"/>
      <c r="C51" s="2843" t="s">
        <v>2494</v>
      </c>
      <c r="D51" s="2844"/>
      <c r="E51" s="2845">
        <v>1</v>
      </c>
      <c r="F51" s="2842" t="s">
        <v>2495</v>
      </c>
      <c r="G51" s="2842"/>
    </row>
    <row r="52" spans="1:7" ht="19.5" customHeight="1">
      <c r="A52" s="3532"/>
      <c r="B52" s="3523"/>
      <c r="C52" s="2843" t="s">
        <v>2496</v>
      </c>
      <c r="D52" s="2844"/>
      <c r="E52" s="2845">
        <v>1</v>
      </c>
      <c r="F52" s="2842" t="s">
        <v>2497</v>
      </c>
      <c r="G52" s="2842"/>
    </row>
    <row r="53" spans="1:7" ht="19.5" customHeight="1" thickBot="1">
      <c r="A53" s="3533"/>
      <c r="B53" s="3530"/>
      <c r="C53" s="2846" t="s">
        <v>2498</v>
      </c>
      <c r="D53" s="2847"/>
      <c r="E53" s="2848">
        <v>1</v>
      </c>
      <c r="F53" s="2842" t="s">
        <v>2499</v>
      </c>
      <c r="G53" s="2842"/>
    </row>
    <row r="54" spans="1:7" ht="19.5" customHeight="1">
      <c r="A54" s="2855"/>
      <c r="B54" s="2855"/>
      <c r="C54" s="2855"/>
      <c r="D54" s="2855"/>
      <c r="E54" s="2855"/>
      <c r="F54" s="2855"/>
      <c r="G54" s="2855"/>
    </row>
    <row r="56" spans="1:7" ht="19.5" customHeight="1">
      <c r="A56" s="2856"/>
      <c r="B56" s="2828" t="s">
        <v>2638</v>
      </c>
      <c r="C56" s="2828" t="s">
        <v>2638</v>
      </c>
      <c r="D56" s="2828" t="s">
        <v>2638</v>
      </c>
      <c r="E56" s="2831" t="s">
        <v>2638</v>
      </c>
      <c r="F56" s="2831" t="s">
        <v>2639</v>
      </c>
      <c r="G56" s="2831" t="s">
        <v>2640</v>
      </c>
    </row>
    <row r="57" spans="1:7" ht="19.5" customHeight="1">
      <c r="A57" s="2857"/>
      <c r="B57" s="2831" t="s">
        <v>2607</v>
      </c>
      <c r="C57" s="2831" t="s">
        <v>2607</v>
      </c>
      <c r="D57" s="2831" t="s">
        <v>2607</v>
      </c>
      <c r="E57" s="2828" t="s">
        <v>2608</v>
      </c>
      <c r="F57" s="2828" t="s">
        <v>2610</v>
      </c>
      <c r="G57" s="2828" t="s">
        <v>2641</v>
      </c>
    </row>
    <row r="58" spans="1:7" ht="19.5" customHeight="1">
      <c r="A58" s="2858"/>
      <c r="B58" s="2828">
        <v>1</v>
      </c>
      <c r="C58" s="2828">
        <v>2</v>
      </c>
      <c r="D58" s="2828">
        <v>3</v>
      </c>
      <c r="E58" s="2859" t="s">
        <v>2642</v>
      </c>
      <c r="F58" s="2859" t="s">
        <v>2642</v>
      </c>
      <c r="G58" s="2859" t="s">
        <v>2642</v>
      </c>
    </row>
    <row r="59" spans="1:7" ht="19.5" customHeight="1">
      <c r="A59" s="2860" t="s">
        <v>2595</v>
      </c>
      <c r="B59" s="2828">
        <v>0.7</v>
      </c>
      <c r="C59" s="2828">
        <v>0.4</v>
      </c>
      <c r="D59" s="2828">
        <v>0.3</v>
      </c>
      <c r="E59" s="2859">
        <v>0.3</v>
      </c>
      <c r="F59" s="2828">
        <v>0.3</v>
      </c>
      <c r="G59" s="2828">
        <v>0.2</v>
      </c>
    </row>
    <row r="60" spans="1:7" ht="19.5" customHeight="1">
      <c r="A60" s="2860" t="s">
        <v>2596</v>
      </c>
      <c r="B60" s="2828">
        <v>0.7</v>
      </c>
      <c r="C60" s="2828">
        <v>0.4</v>
      </c>
      <c r="D60" s="2828">
        <v>0.3</v>
      </c>
      <c r="E60" s="2828">
        <v>0.3</v>
      </c>
      <c r="F60" s="2828">
        <v>0.3</v>
      </c>
      <c r="G60" s="2828">
        <v>0.2</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0.6</v>
      </c>
      <c r="C64" s="2828">
        <v>0.3</v>
      </c>
      <c r="D64" s="2828">
        <v>0.25</v>
      </c>
      <c r="E64" s="2828">
        <v>0.25</v>
      </c>
      <c r="F64" s="2828">
        <v>0.25</v>
      </c>
      <c r="G64" s="2828">
        <v>0.15</v>
      </c>
    </row>
    <row r="65" spans="1:7" ht="19.5" customHeight="1">
      <c r="A65" s="2860" t="s">
        <v>2601</v>
      </c>
      <c r="B65" s="2828">
        <v>0.6</v>
      </c>
      <c r="C65" s="2828">
        <v>0.3</v>
      </c>
      <c r="D65" s="2828">
        <v>0.25</v>
      </c>
      <c r="E65" s="2828">
        <v>0.25</v>
      </c>
      <c r="F65" s="2828">
        <v>0.25</v>
      </c>
      <c r="G65" s="2828">
        <v>0.15</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69" spans="1:7" ht="19.5" customHeight="1">
      <c r="A69" s="2860" t="s">
        <v>2605</v>
      </c>
      <c r="B69" s="2828">
        <v>0.5</v>
      </c>
      <c r="C69" s="2828">
        <v>0.2</v>
      </c>
      <c r="D69" s="2828">
        <v>0.2</v>
      </c>
      <c r="E69" s="2828">
        <v>0.2</v>
      </c>
      <c r="F69" s="2828">
        <v>0.2</v>
      </c>
      <c r="G69" s="2828">
        <v>0.1</v>
      </c>
    </row>
    <row r="70" spans="1:7" ht="19.5" customHeight="1">
      <c r="A70" s="2860" t="s">
        <v>2606</v>
      </c>
      <c r="B70" s="2828">
        <v>0.5</v>
      </c>
      <c r="C70" s="2828">
        <v>0.2</v>
      </c>
      <c r="D70" s="2828">
        <v>0.2</v>
      </c>
      <c r="E70" s="2828">
        <v>0.2</v>
      </c>
      <c r="F70" s="2828">
        <v>0.2</v>
      </c>
      <c r="G70" s="2828">
        <v>0.1</v>
      </c>
    </row>
    <row r="72" spans="1:7" ht="19.5" customHeight="1">
      <c r="A72" s="2842"/>
      <c r="B72" s="2861"/>
      <c r="C72" s="2861"/>
      <c r="D72" s="2861" t="s">
        <v>2643</v>
      </c>
      <c r="E72" s="2861"/>
      <c r="F72" s="2861"/>
    </row>
    <row r="73" spans="1:7" ht="19.5" customHeight="1">
      <c r="A73" s="2854" t="s">
        <v>2644</v>
      </c>
      <c r="B73" s="2854" t="s">
        <v>2645</v>
      </c>
      <c r="C73" s="2854" t="s">
        <v>2646</v>
      </c>
      <c r="D73" s="2854" t="s">
        <v>2647</v>
      </c>
      <c r="E73" s="2854" t="s">
        <v>2648</v>
      </c>
      <c r="F73" s="2854" t="s">
        <v>2649</v>
      </c>
    </row>
    <row r="74" spans="1:7" ht="14.4">
      <c r="A74" s="2854"/>
      <c r="B74" s="2854"/>
      <c r="C74" s="2854" t="s">
        <v>2650</v>
      </c>
      <c r="D74" s="2854"/>
      <c r="E74" s="2854" t="s">
        <v>2621</v>
      </c>
      <c r="F74" s="2854" t="s">
        <v>2621</v>
      </c>
    </row>
    <row r="75" spans="1:7" ht="14.4">
      <c r="A75" s="2854">
        <v>1</v>
      </c>
      <c r="B75" s="3521" t="s">
        <v>2651</v>
      </c>
      <c r="C75" s="2828" t="s">
        <v>2652</v>
      </c>
      <c r="D75" s="2828" t="s">
        <v>2653</v>
      </c>
      <c r="E75" s="2854">
        <v>0.2</v>
      </c>
      <c r="F75" s="2854">
        <v>25</v>
      </c>
    </row>
    <row r="76" spans="1:7" ht="24">
      <c r="A76" s="2854">
        <v>2</v>
      </c>
      <c r="B76" s="3523"/>
      <c r="C76" s="2828" t="s">
        <v>2654</v>
      </c>
      <c r="D76" s="2828" t="s">
        <v>2655</v>
      </c>
      <c r="E76" s="2854">
        <v>0.2</v>
      </c>
      <c r="F76" s="2854">
        <v>25</v>
      </c>
    </row>
    <row r="77" spans="1:7" ht="24">
      <c r="A77" s="2854">
        <v>3</v>
      </c>
      <c r="B77" s="3523"/>
      <c r="C77" s="2828" t="s">
        <v>2656</v>
      </c>
      <c r="D77" s="2828" t="s">
        <v>2657</v>
      </c>
      <c r="E77" s="2854">
        <v>0.2</v>
      </c>
      <c r="F77" s="2854">
        <v>25</v>
      </c>
    </row>
    <row r="78" spans="1:7" ht="14.4">
      <c r="A78" s="2854">
        <v>4</v>
      </c>
      <c r="B78" s="3523"/>
      <c r="C78" s="2828" t="s">
        <v>2658</v>
      </c>
      <c r="D78" s="2828" t="s">
        <v>2659</v>
      </c>
      <c r="E78" s="2854">
        <v>0.15</v>
      </c>
      <c r="F78" s="2854">
        <v>20</v>
      </c>
    </row>
    <row r="79" spans="1:7" ht="24">
      <c r="A79" s="2854">
        <v>5</v>
      </c>
      <c r="B79" s="3523"/>
      <c r="C79" s="2828" t="s">
        <v>2660</v>
      </c>
      <c r="D79" s="2828" t="s">
        <v>2661</v>
      </c>
      <c r="E79" s="2854">
        <v>0.15</v>
      </c>
      <c r="F79" s="2854">
        <v>20</v>
      </c>
    </row>
    <row r="80" spans="1:7" ht="24">
      <c r="A80" s="2854">
        <v>6</v>
      </c>
      <c r="B80" s="3523"/>
      <c r="C80" s="2828" t="s">
        <v>2662</v>
      </c>
      <c r="D80" s="2828" t="s">
        <v>2663</v>
      </c>
      <c r="E80" s="2854">
        <v>0.15</v>
      </c>
      <c r="F80" s="2854">
        <v>20</v>
      </c>
    </row>
    <row r="81" spans="1:6" ht="24">
      <c r="A81" s="2854">
        <v>7</v>
      </c>
      <c r="B81" s="3523"/>
      <c r="C81" s="2828" t="s">
        <v>2664</v>
      </c>
      <c r="D81" s="2828" t="s">
        <v>2665</v>
      </c>
      <c r="E81" s="2854">
        <v>0.15</v>
      </c>
      <c r="F81" s="2854">
        <v>20</v>
      </c>
    </row>
    <row r="82" spans="1:6" ht="24">
      <c r="A82" s="2854">
        <v>8</v>
      </c>
      <c r="B82" s="3523"/>
      <c r="C82" s="2828" t="s">
        <v>2666</v>
      </c>
      <c r="D82" s="2828" t="s">
        <v>2667</v>
      </c>
      <c r="E82" s="2854">
        <v>0.1</v>
      </c>
      <c r="F82" s="2854">
        <v>15</v>
      </c>
    </row>
    <row r="83" spans="1:6" ht="24">
      <c r="A83" s="2854">
        <v>9</v>
      </c>
      <c r="B83" s="3523"/>
      <c r="C83" s="2828" t="s">
        <v>2668</v>
      </c>
      <c r="D83" s="2828" t="s">
        <v>2669</v>
      </c>
      <c r="E83" s="2854">
        <v>0.1</v>
      </c>
      <c r="F83" s="2854">
        <v>15</v>
      </c>
    </row>
    <row r="84" spans="1:6" ht="24">
      <c r="A84" s="2854">
        <v>10</v>
      </c>
      <c r="B84" s="3523"/>
      <c r="C84" s="2828" t="s">
        <v>2670</v>
      </c>
      <c r="D84" s="2828" t="s">
        <v>2671</v>
      </c>
      <c r="E84" s="2854">
        <v>0.1</v>
      </c>
      <c r="F84" s="2854">
        <v>15</v>
      </c>
    </row>
    <row r="85" spans="1:6" ht="24">
      <c r="A85" s="2854">
        <v>11</v>
      </c>
      <c r="B85" s="3523"/>
      <c r="C85" s="2828" t="s">
        <v>2672</v>
      </c>
      <c r="D85" s="2828" t="s">
        <v>2673</v>
      </c>
      <c r="E85" s="2854">
        <v>0.1</v>
      </c>
      <c r="F85" s="2854">
        <v>15</v>
      </c>
    </row>
    <row r="86" spans="1:6" ht="24">
      <c r="A86" s="2854">
        <v>12</v>
      </c>
      <c r="B86" s="3523"/>
      <c r="C86" s="2828" t="s">
        <v>2674</v>
      </c>
      <c r="D86" s="2828" t="s">
        <v>2675</v>
      </c>
      <c r="E86" s="2854">
        <v>0.1</v>
      </c>
      <c r="F86" s="2854">
        <v>15</v>
      </c>
    </row>
    <row r="87" spans="1:6" ht="24">
      <c r="A87" s="2854">
        <v>13</v>
      </c>
      <c r="B87" s="3523"/>
      <c r="C87" s="2828" t="s">
        <v>2676</v>
      </c>
      <c r="D87" s="2828" t="s">
        <v>2677</v>
      </c>
      <c r="E87" s="2854">
        <v>0.1</v>
      </c>
      <c r="F87" s="2854">
        <v>15</v>
      </c>
    </row>
    <row r="88" spans="1:6" ht="24">
      <c r="A88" s="2854">
        <v>14</v>
      </c>
      <c r="B88" s="3523"/>
      <c r="C88" s="2828" t="s">
        <v>2678</v>
      </c>
      <c r="D88" s="2828" t="s">
        <v>2679</v>
      </c>
      <c r="E88" s="2854">
        <v>0.1</v>
      </c>
      <c r="F88" s="2854">
        <v>15</v>
      </c>
    </row>
    <row r="89" spans="1:6" ht="24">
      <c r="A89" s="2854">
        <v>15</v>
      </c>
      <c r="B89" s="3523"/>
      <c r="C89" s="2828" t="s">
        <v>2680</v>
      </c>
      <c r="D89" s="2828" t="s">
        <v>2681</v>
      </c>
      <c r="E89" s="2854">
        <v>0.1</v>
      </c>
      <c r="F89" s="2854">
        <v>15</v>
      </c>
    </row>
    <row r="90" spans="1:6" ht="24">
      <c r="A90" s="2854">
        <v>16</v>
      </c>
      <c r="B90" s="3523"/>
      <c r="C90" s="2828" t="s">
        <v>2682</v>
      </c>
      <c r="D90" s="2828" t="s">
        <v>2683</v>
      </c>
      <c r="E90" s="2854">
        <v>0.1</v>
      </c>
      <c r="F90" s="2854">
        <v>15</v>
      </c>
    </row>
    <row r="91" spans="1:6" ht="24">
      <c r="A91" s="2854">
        <v>17</v>
      </c>
      <c r="B91" s="3522"/>
      <c r="C91" s="2828" t="s">
        <v>2684</v>
      </c>
      <c r="D91" s="2828" t="s">
        <v>2685</v>
      </c>
      <c r="E91" s="2854">
        <v>0.1</v>
      </c>
      <c r="F91" s="2854">
        <v>15</v>
      </c>
    </row>
    <row r="92" spans="1:6" ht="14.4">
      <c r="A92" s="2854">
        <v>18</v>
      </c>
      <c r="B92" s="3521" t="s">
        <v>2686</v>
      </c>
      <c r="C92" s="2828" t="s">
        <v>2687</v>
      </c>
      <c r="D92" s="2828" t="s">
        <v>2688</v>
      </c>
      <c r="E92" s="2854">
        <v>0.2</v>
      </c>
      <c r="F92" s="2854">
        <v>25</v>
      </c>
    </row>
    <row r="93" spans="1:6" ht="24">
      <c r="A93" s="2854">
        <v>19</v>
      </c>
      <c r="B93" s="3523"/>
      <c r="C93" s="2828" t="s">
        <v>2689</v>
      </c>
      <c r="D93" s="2828" t="s">
        <v>2690</v>
      </c>
      <c r="E93" s="2854">
        <v>0.2</v>
      </c>
      <c r="F93" s="2854">
        <v>25</v>
      </c>
    </row>
    <row r="94" spans="1:6" ht="14.4">
      <c r="A94" s="2854">
        <v>20</v>
      </c>
      <c r="B94" s="3523"/>
      <c r="C94" s="2828" t="s">
        <v>2691</v>
      </c>
      <c r="D94" s="2828" t="s">
        <v>2692</v>
      </c>
      <c r="E94" s="2854">
        <v>0.15</v>
      </c>
      <c r="F94" s="2854">
        <v>20</v>
      </c>
    </row>
    <row r="95" spans="1:6" ht="24">
      <c r="A95" s="2854">
        <v>21</v>
      </c>
      <c r="B95" s="3523"/>
      <c r="C95" s="2828" t="s">
        <v>2693</v>
      </c>
      <c r="D95" s="2828" t="s">
        <v>2694</v>
      </c>
      <c r="E95" s="2854">
        <v>0.15</v>
      </c>
      <c r="F95" s="2854">
        <v>20</v>
      </c>
    </row>
    <row r="96" spans="1:6" ht="24">
      <c r="A96" s="2854">
        <v>22</v>
      </c>
      <c r="B96" s="3523"/>
      <c r="C96" s="2828" t="s">
        <v>2695</v>
      </c>
      <c r="D96" s="2828" t="s">
        <v>2696</v>
      </c>
      <c r="E96" s="2854">
        <v>0.15</v>
      </c>
      <c r="F96" s="2854">
        <v>20</v>
      </c>
    </row>
    <row r="97" spans="1:6" ht="36">
      <c r="A97" s="2854">
        <v>23</v>
      </c>
      <c r="B97" s="3523"/>
      <c r="C97" s="2828" t="s">
        <v>2697</v>
      </c>
      <c r="D97" s="2828" t="s">
        <v>2698</v>
      </c>
      <c r="E97" s="2854">
        <v>0.15</v>
      </c>
      <c r="F97" s="2854">
        <v>20</v>
      </c>
    </row>
    <row r="98" spans="1:6" ht="24">
      <c r="A98" s="2854">
        <v>24</v>
      </c>
      <c r="B98" s="3523"/>
      <c r="C98" s="2828" t="s">
        <v>2699</v>
      </c>
      <c r="D98" s="2828" t="s">
        <v>2700</v>
      </c>
      <c r="E98" s="2854">
        <v>0.1</v>
      </c>
      <c r="F98" s="2854">
        <v>15</v>
      </c>
    </row>
    <row r="99" spans="1:6" ht="24">
      <c r="A99" s="2854">
        <v>25</v>
      </c>
      <c r="B99" s="3523"/>
      <c r="C99" s="2828" t="s">
        <v>2701</v>
      </c>
      <c r="D99" s="2828" t="s">
        <v>2702</v>
      </c>
      <c r="E99" s="2854">
        <v>0.1</v>
      </c>
      <c r="F99" s="2854">
        <v>15</v>
      </c>
    </row>
    <row r="100" spans="1:6" ht="24">
      <c r="A100" s="2854">
        <v>26</v>
      </c>
      <c r="B100" s="3523"/>
      <c r="C100" s="2828" t="s">
        <v>2703</v>
      </c>
      <c r="D100" s="2828" t="s">
        <v>2704</v>
      </c>
      <c r="E100" s="2854">
        <v>0.1</v>
      </c>
      <c r="F100" s="2854">
        <v>15</v>
      </c>
    </row>
    <row r="101" spans="1:6" ht="24">
      <c r="A101" s="2854">
        <v>27</v>
      </c>
      <c r="B101" s="3523"/>
      <c r="C101" s="2828" t="s">
        <v>2705</v>
      </c>
      <c r="D101" s="2828" t="s">
        <v>2706</v>
      </c>
      <c r="E101" s="2854">
        <v>0.1</v>
      </c>
      <c r="F101" s="2854">
        <v>15</v>
      </c>
    </row>
    <row r="102" spans="1:6" ht="24">
      <c r="A102" s="2854">
        <v>28</v>
      </c>
      <c r="B102" s="3523"/>
      <c r="C102" s="2828" t="s">
        <v>2707</v>
      </c>
      <c r="D102" s="2828" t="s">
        <v>2708</v>
      </c>
      <c r="E102" s="2854">
        <v>0.1</v>
      </c>
      <c r="F102" s="2854">
        <v>15</v>
      </c>
    </row>
    <row r="103" spans="1:6" ht="24">
      <c r="A103" s="2854">
        <v>29</v>
      </c>
      <c r="B103" s="3523"/>
      <c r="C103" s="2828" t="s">
        <v>2709</v>
      </c>
      <c r="D103" s="2828" t="s">
        <v>2710</v>
      </c>
      <c r="E103" s="2854">
        <v>0.1</v>
      </c>
      <c r="F103" s="2854">
        <v>15</v>
      </c>
    </row>
    <row r="104" spans="1:6" ht="24">
      <c r="A104" s="2854">
        <v>30</v>
      </c>
      <c r="B104" s="3523"/>
      <c r="C104" s="2828" t="s">
        <v>2711</v>
      </c>
      <c r="D104" s="2828" t="s">
        <v>2712</v>
      </c>
      <c r="E104" s="2854">
        <v>0.1</v>
      </c>
      <c r="F104" s="2854">
        <v>15</v>
      </c>
    </row>
    <row r="105" spans="1:6" ht="24">
      <c r="A105" s="2854">
        <v>31</v>
      </c>
      <c r="B105" s="3523"/>
      <c r="C105" s="2828" t="s">
        <v>2713</v>
      </c>
      <c r="D105" s="2828" t="s">
        <v>2714</v>
      </c>
      <c r="E105" s="2854">
        <v>0.1</v>
      </c>
      <c r="F105" s="2854">
        <v>15</v>
      </c>
    </row>
    <row r="106" spans="1:6" ht="24">
      <c r="A106" s="2854">
        <v>32</v>
      </c>
      <c r="B106" s="3523"/>
      <c r="C106" s="2828" t="s">
        <v>2715</v>
      </c>
      <c r="D106" s="2828" t="s">
        <v>2716</v>
      </c>
      <c r="E106" s="2854">
        <v>0.1</v>
      </c>
      <c r="F106" s="2854">
        <v>15</v>
      </c>
    </row>
    <row r="107" spans="1:6" ht="24">
      <c r="A107" s="2854">
        <v>33</v>
      </c>
      <c r="B107" s="3523"/>
      <c r="C107" s="2828" t="s">
        <v>2717</v>
      </c>
      <c r="D107" s="2828" t="s">
        <v>2718</v>
      </c>
      <c r="E107" s="2854">
        <v>0.1</v>
      </c>
      <c r="F107" s="2854">
        <v>15</v>
      </c>
    </row>
    <row r="108" spans="1:6" ht="24">
      <c r="A108" s="2854">
        <v>34</v>
      </c>
      <c r="B108" s="3522"/>
      <c r="C108" s="2828" t="s">
        <v>2719</v>
      </c>
      <c r="D108" s="2828" t="s">
        <v>2720</v>
      </c>
      <c r="E108" s="2854">
        <v>0.1</v>
      </c>
      <c r="F108" s="2854">
        <v>15</v>
      </c>
    </row>
    <row r="109" spans="1:6" ht="36">
      <c r="A109" s="2854">
        <v>35</v>
      </c>
      <c r="B109" s="3521" t="s">
        <v>2721</v>
      </c>
      <c r="C109" s="2854" t="s">
        <v>2722</v>
      </c>
      <c r="D109" s="2828" t="s">
        <v>2723</v>
      </c>
      <c r="E109" s="2854">
        <v>0.15</v>
      </c>
      <c r="F109" s="2854">
        <v>20</v>
      </c>
    </row>
    <row r="110" spans="1:6" ht="24">
      <c r="A110" s="2854">
        <v>36</v>
      </c>
      <c r="B110" s="3523"/>
      <c r="C110" s="2854" t="s">
        <v>2724</v>
      </c>
      <c r="D110" s="2828" t="s">
        <v>2725</v>
      </c>
      <c r="E110" s="2854">
        <v>0.15</v>
      </c>
      <c r="F110" s="2854">
        <v>20</v>
      </c>
    </row>
    <row r="111" spans="1:6" ht="24">
      <c r="A111" s="2854">
        <v>37</v>
      </c>
      <c r="B111" s="3523"/>
      <c r="C111" s="2854" t="s">
        <v>2726</v>
      </c>
      <c r="D111" s="2828" t="s">
        <v>2727</v>
      </c>
      <c r="E111" s="2854">
        <v>0.15</v>
      </c>
      <c r="F111" s="2854">
        <v>20</v>
      </c>
    </row>
    <row r="112" spans="1:6" ht="24">
      <c r="A112" s="2854">
        <v>38</v>
      </c>
      <c r="B112" s="3523"/>
      <c r="C112" s="2854" t="s">
        <v>2728</v>
      </c>
      <c r="D112" s="2828" t="s">
        <v>2729</v>
      </c>
      <c r="E112" s="2854">
        <v>0.1</v>
      </c>
      <c r="F112" s="2854">
        <v>15</v>
      </c>
    </row>
    <row r="113" spans="1:6" ht="24">
      <c r="A113" s="2854">
        <v>39</v>
      </c>
      <c r="B113" s="3523"/>
      <c r="C113" s="2854" t="s">
        <v>2730</v>
      </c>
      <c r="D113" s="2828" t="s">
        <v>2731</v>
      </c>
      <c r="E113" s="2854">
        <v>0.1</v>
      </c>
      <c r="F113" s="2854">
        <v>15</v>
      </c>
    </row>
    <row r="114" spans="1:6" ht="24">
      <c r="A114" s="2854">
        <v>40</v>
      </c>
      <c r="B114" s="3522"/>
      <c r="C114" s="2854" t="s">
        <v>2732</v>
      </c>
      <c r="D114" s="2828" t="s">
        <v>2733</v>
      </c>
      <c r="E114" s="2854">
        <v>0.1</v>
      </c>
      <c r="F114" s="2854">
        <v>15</v>
      </c>
    </row>
    <row r="115" spans="1:6" ht="24">
      <c r="A115" s="2854">
        <v>41</v>
      </c>
      <c r="B115" s="3520" t="s">
        <v>2734</v>
      </c>
      <c r="C115" s="2854" t="s">
        <v>2735</v>
      </c>
      <c r="D115" s="2828" t="s">
        <v>2736</v>
      </c>
      <c r="E115" s="2854">
        <v>0.1</v>
      </c>
      <c r="F115" s="2854">
        <v>15</v>
      </c>
    </row>
    <row r="116" spans="1:6" ht="24">
      <c r="A116" s="2854">
        <v>42</v>
      </c>
      <c r="B116" s="3520"/>
      <c r="C116" s="2854" t="s">
        <v>2737</v>
      </c>
      <c r="D116" s="2828" t="s">
        <v>2738</v>
      </c>
      <c r="E116" s="2854">
        <v>0.1</v>
      </c>
      <c r="F116" s="2854">
        <v>15</v>
      </c>
    </row>
    <row r="117" spans="1:6" ht="24">
      <c r="A117" s="2854">
        <v>43</v>
      </c>
      <c r="B117" s="3520"/>
      <c r="C117" s="2854" t="s">
        <v>2739</v>
      </c>
      <c r="D117" s="2828" t="s">
        <v>2740</v>
      </c>
      <c r="E117" s="2854">
        <v>0.1</v>
      </c>
      <c r="F117" s="2854">
        <v>15</v>
      </c>
    </row>
    <row r="118" spans="1:6" ht="24">
      <c r="A118" s="2854">
        <v>44</v>
      </c>
      <c r="B118" s="3521" t="s">
        <v>2741</v>
      </c>
      <c r="C118" s="2854" t="s">
        <v>2742</v>
      </c>
      <c r="D118" s="2828" t="s">
        <v>2743</v>
      </c>
      <c r="E118" s="2854">
        <v>0.1</v>
      </c>
      <c r="F118" s="2854">
        <v>15</v>
      </c>
    </row>
    <row r="119" spans="1:6" ht="24">
      <c r="A119" s="2854">
        <v>45</v>
      </c>
      <c r="B119" s="3522"/>
      <c r="C119" s="2828" t="s">
        <v>2744</v>
      </c>
      <c r="D119" s="2828" t="s">
        <v>2745</v>
      </c>
      <c r="E119" s="2854">
        <v>0.1</v>
      </c>
      <c r="F119" s="2854">
        <v>15</v>
      </c>
    </row>
    <row r="120" spans="1:6" ht="24">
      <c r="A120" s="2854">
        <v>46</v>
      </c>
      <c r="B120" s="3521" t="s">
        <v>2746</v>
      </c>
      <c r="C120" s="2854" t="s">
        <v>2747</v>
      </c>
      <c r="D120" s="2828" t="s">
        <v>2748</v>
      </c>
      <c r="E120" s="2854">
        <v>0.1</v>
      </c>
      <c r="F120" s="2854">
        <v>15</v>
      </c>
    </row>
    <row r="121" spans="1:6" ht="24">
      <c r="A121" s="2854">
        <v>47</v>
      </c>
      <c r="B121" s="3522"/>
      <c r="C121" s="2854" t="s">
        <v>2749</v>
      </c>
      <c r="D121" s="2828" t="s">
        <v>2750</v>
      </c>
      <c r="E121" s="2854">
        <v>0.1</v>
      </c>
      <c r="F121" s="2854">
        <v>15</v>
      </c>
    </row>
    <row r="122" spans="1:6" ht="24">
      <c r="A122" s="2854">
        <v>48</v>
      </c>
      <c r="B122" s="3521" t="s">
        <v>2751</v>
      </c>
      <c r="C122" s="2854" t="s">
        <v>2752</v>
      </c>
      <c r="D122" s="2828" t="s">
        <v>2753</v>
      </c>
      <c r="E122" s="2854">
        <v>0.1</v>
      </c>
      <c r="F122" s="2854">
        <v>15</v>
      </c>
    </row>
    <row r="123" spans="1:6" ht="24">
      <c r="A123" s="2854">
        <v>49</v>
      </c>
      <c r="B123" s="3522"/>
      <c r="C123" s="2854" t="s">
        <v>2754</v>
      </c>
      <c r="D123" s="2828" t="s">
        <v>2755</v>
      </c>
      <c r="E123" s="2854">
        <v>0.1</v>
      </c>
      <c r="F123" s="2854">
        <v>15</v>
      </c>
    </row>
    <row r="124" spans="1:6" ht="24">
      <c r="A124" s="2854">
        <v>50</v>
      </c>
      <c r="B124" s="3520" t="s">
        <v>2756</v>
      </c>
      <c r="C124" s="2854" t="s">
        <v>2757</v>
      </c>
      <c r="D124" s="2828" t="s">
        <v>2758</v>
      </c>
      <c r="E124" s="2854">
        <v>0.1</v>
      </c>
      <c r="F124" s="2854">
        <v>15</v>
      </c>
    </row>
    <row r="125" spans="1:6" ht="24">
      <c r="A125" s="2854">
        <v>51</v>
      </c>
      <c r="B125" s="3520"/>
      <c r="C125" s="2854" t="s">
        <v>2759</v>
      </c>
      <c r="D125" s="2828" t="s">
        <v>2760</v>
      </c>
      <c r="E125" s="2854">
        <v>0.1</v>
      </c>
      <c r="F125" s="2854">
        <v>15</v>
      </c>
    </row>
    <row r="126" spans="1:6" ht="24">
      <c r="A126" s="2854">
        <v>52</v>
      </c>
      <c r="B126" s="3520" t="s">
        <v>2761</v>
      </c>
      <c r="C126" s="2854" t="s">
        <v>2762</v>
      </c>
      <c r="D126" s="2828" t="s">
        <v>2763</v>
      </c>
      <c r="E126" s="2854">
        <v>0.1</v>
      </c>
      <c r="F126" s="2854">
        <v>15</v>
      </c>
    </row>
    <row r="127" spans="1:6" ht="24">
      <c r="A127" s="2854">
        <v>53</v>
      </c>
      <c r="B127" s="3520"/>
      <c r="C127" s="2854" t="s">
        <v>2764</v>
      </c>
      <c r="D127" s="2828" t="s">
        <v>2765</v>
      </c>
      <c r="E127" s="2854">
        <v>0.1</v>
      </c>
      <c r="F127" s="2854">
        <v>15</v>
      </c>
    </row>
    <row r="128" spans="1:6" ht="24">
      <c r="A128" s="2854">
        <v>54</v>
      </c>
      <c r="B128" s="2854" t="s">
        <v>2766</v>
      </c>
      <c r="C128" s="2854" t="s">
        <v>2767</v>
      </c>
      <c r="D128" s="2828" t="s">
        <v>2768</v>
      </c>
      <c r="E128" s="2854">
        <v>0.1</v>
      </c>
      <c r="F128" s="2854">
        <v>15</v>
      </c>
    </row>
    <row r="129" spans="1:6" ht="24">
      <c r="A129" s="2854">
        <v>55</v>
      </c>
      <c r="B129" s="3520" t="s">
        <v>2769</v>
      </c>
      <c r="C129" s="2854" t="s">
        <v>2770</v>
      </c>
      <c r="D129" s="2828" t="s">
        <v>2771</v>
      </c>
      <c r="E129" s="2854">
        <v>0.1</v>
      </c>
      <c r="F129" s="2854">
        <v>15</v>
      </c>
    </row>
    <row r="130" spans="1:6" ht="24">
      <c r="A130" s="2854">
        <v>56</v>
      </c>
      <c r="B130" s="3520"/>
      <c r="C130" s="2854" t="s">
        <v>2772</v>
      </c>
      <c r="D130" s="2828" t="s">
        <v>2773</v>
      </c>
      <c r="E130" s="2854">
        <v>0.1</v>
      </c>
      <c r="F130" s="2854">
        <v>15</v>
      </c>
    </row>
    <row r="131" spans="1:6" ht="24">
      <c r="A131" s="2854">
        <v>57</v>
      </c>
      <c r="B131" s="3520"/>
      <c r="C131" s="2854" t="s">
        <v>2774</v>
      </c>
      <c r="D131" s="2828" t="s">
        <v>2775</v>
      </c>
      <c r="E131" s="2854">
        <v>0.1</v>
      </c>
      <c r="F131" s="2854">
        <v>15</v>
      </c>
    </row>
    <row r="132" spans="1:6" ht="24">
      <c r="A132" s="2854">
        <v>58</v>
      </c>
      <c r="B132" s="3520" t="s">
        <v>2776</v>
      </c>
      <c r="C132" s="2854" t="s">
        <v>2777</v>
      </c>
      <c r="D132" s="2828" t="s">
        <v>2778</v>
      </c>
      <c r="E132" s="2854">
        <v>0.1</v>
      </c>
      <c r="F132" s="2854">
        <v>15</v>
      </c>
    </row>
    <row r="133" spans="1:6" ht="24">
      <c r="A133" s="2854">
        <v>59</v>
      </c>
      <c r="B133" s="3520"/>
      <c r="C133" s="2854" t="s">
        <v>2779</v>
      </c>
      <c r="D133" s="2828" t="s">
        <v>2780</v>
      </c>
      <c r="E133" s="2854">
        <v>0.1</v>
      </c>
      <c r="F133" s="2854">
        <v>15</v>
      </c>
    </row>
    <row r="134" spans="1:6" ht="24">
      <c r="A134" s="2854">
        <v>60</v>
      </c>
      <c r="B134" s="3521" t="s">
        <v>2781</v>
      </c>
      <c r="C134" s="2854" t="s">
        <v>2782</v>
      </c>
      <c r="D134" s="2828" t="s">
        <v>2783</v>
      </c>
      <c r="E134" s="2854">
        <v>0.1</v>
      </c>
      <c r="F134" s="2854">
        <v>15</v>
      </c>
    </row>
    <row r="135" spans="1:6" ht="24">
      <c r="A135" s="2854">
        <v>61</v>
      </c>
      <c r="B135" s="3522"/>
      <c r="C135" s="2854" t="s">
        <v>2784</v>
      </c>
      <c r="D135" s="2828" t="s">
        <v>2785</v>
      </c>
      <c r="E135" s="2854">
        <v>0.1</v>
      </c>
      <c r="F135" s="2854">
        <v>15</v>
      </c>
    </row>
    <row r="136" spans="1:6" ht="24">
      <c r="A136" s="2854">
        <v>62</v>
      </c>
      <c r="B136" s="2854" t="s">
        <v>2786</v>
      </c>
      <c r="C136" s="2854" t="s">
        <v>2787</v>
      </c>
      <c r="D136" s="2828" t="s">
        <v>2788</v>
      </c>
      <c r="E136" s="2854">
        <v>0.1</v>
      </c>
      <c r="F136" s="2854">
        <v>15</v>
      </c>
    </row>
    <row r="137" spans="1:6" ht="24">
      <c r="A137" s="2854">
        <v>63</v>
      </c>
      <c r="B137" s="3520" t="s">
        <v>2789</v>
      </c>
      <c r="C137" s="2854" t="s">
        <v>2790</v>
      </c>
      <c r="D137" s="2828" t="s">
        <v>2791</v>
      </c>
      <c r="E137" s="2854">
        <v>0.1</v>
      </c>
      <c r="F137" s="2854">
        <v>15</v>
      </c>
    </row>
    <row r="138" spans="1:6" ht="24">
      <c r="A138" s="2854">
        <v>64</v>
      </c>
      <c r="B138" s="3520"/>
      <c r="C138" s="2854" t="s">
        <v>2792</v>
      </c>
      <c r="D138" s="2828" t="s">
        <v>2793</v>
      </c>
      <c r="E138" s="2854">
        <v>0.1</v>
      </c>
      <c r="F138" s="2854">
        <v>15</v>
      </c>
    </row>
    <row r="139" spans="1:6" ht="24">
      <c r="A139" s="2854">
        <v>65</v>
      </c>
      <c r="B139" s="2854" t="s">
        <v>2794</v>
      </c>
      <c r="C139" s="2854" t="s">
        <v>2795</v>
      </c>
      <c r="D139" s="2828" t="s">
        <v>2796</v>
      </c>
      <c r="E139" s="2854">
        <v>0.1</v>
      </c>
      <c r="F139" s="2854">
        <v>15</v>
      </c>
    </row>
    <row r="140" spans="1:6" ht="14.4">
      <c r="A140" s="2854"/>
      <c r="B140" s="2854"/>
      <c r="C140" s="2854"/>
      <c r="D140" s="2854"/>
      <c r="E140" s="2854" t="s">
        <v>2797</v>
      </c>
      <c r="F140" s="2854"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2798</v>
      </c>
      <c r="B1" s="2862"/>
      <c r="C1" s="2862"/>
      <c r="D1" s="2862"/>
      <c r="E1" s="2862"/>
      <c r="F1" s="2862"/>
      <c r="G1" s="2862"/>
      <c r="H1" s="2862"/>
      <c r="I1" s="2862"/>
      <c r="J1" s="2862"/>
      <c r="K1" s="2862"/>
      <c r="L1" s="2862"/>
      <c r="M1" s="2862"/>
      <c r="N1" s="707"/>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0</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25753</v>
      </c>
      <c r="C2" s="2" t="s">
        <v>106</v>
      </c>
      <c r="D2" s="191"/>
      <c r="E2" s="191"/>
      <c r="F2" s="191"/>
      <c r="G2" s="191"/>
    </row>
    <row r="3" spans="1:7" s="192" customFormat="1" ht="18" customHeight="1" thickBot="1">
      <c r="A3" s="195" t="s">
        <v>58</v>
      </c>
      <c r="B3" s="196">
        <f ca="1">ROUND(B2*10000/'数据-汇总表'!E3,0)</f>
        <v>2422216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106.32</v>
      </c>
      <c r="E9" s="217">
        <f>'数据-取费表'!B27</f>
        <v>20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106.32</v>
      </c>
      <c r="E19" s="203">
        <f>'数据-取费表'!B31</f>
        <v>120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1323</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2102</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1.575E-2</v>
      </c>
      <c r="D30" s="228" t="s">
        <v>100</v>
      </c>
      <c r="E30" s="233"/>
      <c r="F30" s="229">
        <f>'数据-取费表'!B41</f>
        <v>1.575E-2</v>
      </c>
      <c r="G30" s="226" t="s">
        <v>86</v>
      </c>
    </row>
    <row r="31" spans="1:7" ht="16.5" customHeight="1">
      <c r="A31" s="201">
        <v>1</v>
      </c>
      <c r="B31" s="202" t="s">
        <v>101</v>
      </c>
      <c r="C31" s="203">
        <f ca="1">ROUND((C5+C19+C20+C22+C27)/(1-C21-D22-D27-C30/(1+'数据-取费表'!B42)),0)</f>
        <v>25719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106.32</v>
      </c>
      <c r="E37" s="241">
        <f>'数据-取费表'!B35</f>
        <v>120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96" t="s">
        <v>94</v>
      </c>
    </row>
    <row r="43" spans="1:7" ht="13.5" customHeight="1">
      <c r="A43" s="734" t="s">
        <v>347</v>
      </c>
      <c r="B43" s="207" t="s">
        <v>426</v>
      </c>
      <c r="C43" s="230">
        <f ca="1">ROUND(IF('数据-取费表'!B22&lt;=1,C39*F22*'数据-取费表'!B21/2,C39*(POWER((1+F22),'数据-取费表'!B21/2)-1)),0)</f>
        <v>0</v>
      </c>
      <c r="D43" s="230"/>
      <c r="E43" s="230"/>
      <c r="F43" s="231"/>
      <c r="G43" s="3397"/>
    </row>
    <row r="44" spans="1:7" ht="13.5" customHeight="1">
      <c r="A44" s="734" t="s">
        <v>348</v>
      </c>
      <c r="B44" s="207" t="s">
        <v>428</v>
      </c>
      <c r="C44" s="230">
        <f ca="1">ROUND(IF('数据-取费表'!B22&lt;=1,C40*F22*'数据-取费表'!B21/2,C40*(POWER((1+F22),'数据-取费表'!B21/2)-1)),4)</f>
        <v>8.9999999999999998E-4</v>
      </c>
      <c r="D44" s="230"/>
      <c r="E44" s="230"/>
      <c r="F44" s="231"/>
      <c r="G44" s="3398"/>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1.575E-2</v>
      </c>
      <c r="D48" s="228" t="s">
        <v>103</v>
      </c>
      <c r="E48" s="224"/>
      <c r="F48" s="229"/>
      <c r="G48" s="226" t="s">
        <v>96</v>
      </c>
    </row>
    <row r="49" spans="1:7" ht="16.5" customHeight="1">
      <c r="A49" s="731" t="s">
        <v>343</v>
      </c>
      <c r="B49" s="202" t="s">
        <v>104</v>
      </c>
      <c r="C49" s="224">
        <f ca="1">ROUND((C33+C39+C41+C45)/(1-C40-D41-D45-C48/(1+'数据-取费表'!B42)),0)</f>
        <v>37</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34</v>
      </c>
      <c r="D51" s="224"/>
      <c r="E51" s="224"/>
      <c r="F51" s="256"/>
      <c r="G51" s="226" t="s">
        <v>37</v>
      </c>
    </row>
    <row r="52" spans="1:7" s="200" customFormat="1" ht="16.8" thickBot="1">
      <c r="A52" s="257" t="s">
        <v>38</v>
      </c>
      <c r="B52" s="258"/>
      <c r="C52" s="259">
        <f ca="1">C31+C51</f>
        <v>25753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34" t="s">
        <v>3181</v>
      </c>
      <c r="B1" s="3534"/>
    </row>
    <row r="2" spans="1:7" ht="15" thickBot="1">
      <c r="A2" s="2965"/>
      <c r="B2" s="2965"/>
    </row>
    <row r="3" spans="1:7" ht="15" thickBot="1">
      <c r="A3" s="2965"/>
      <c r="B3" s="2965"/>
      <c r="C3" s="2966" t="s">
        <v>2811</v>
      </c>
      <c r="D3" s="2966" t="s">
        <v>2867</v>
      </c>
      <c r="E3" s="2966" t="s">
        <v>2813</v>
      </c>
      <c r="F3" s="2966" t="s">
        <v>2868</v>
      </c>
      <c r="G3" s="2966" t="s">
        <v>2631</v>
      </c>
    </row>
    <row r="4" spans="1:7" ht="1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7.399999999999999">
      <c r="A3" s="3220" t="str">
        <f>IF(项目基本情况!B9="房地产市场价值","估价结果一览表（市场价值不需“结果表-1”）","估价结果一览表")</f>
        <v>估价结果一览表</v>
      </c>
      <c r="B3" s="3220"/>
      <c r="C3" s="3220"/>
      <c r="D3" s="3220"/>
      <c r="E3" s="3220"/>
    </row>
    <row r="4" spans="1:5" ht="18" thickBot="1">
      <c r="A4" s="1391"/>
      <c r="B4" s="3218" t="s">
        <v>917</v>
      </c>
      <c r="C4" s="3218"/>
      <c r="D4" s="3218"/>
      <c r="E4" s="1391"/>
    </row>
    <row r="5" spans="1:5" ht="16.2" thickTop="1">
      <c r="B5" s="3216" t="s">
        <v>909</v>
      </c>
      <c r="C5" s="1392" t="s">
        <v>910</v>
      </c>
      <c r="D5" s="797">
        <f ca="1">结果表!H101</f>
        <v>99.015799999999999</v>
      </c>
    </row>
    <row r="6" spans="1:5" ht="15.6">
      <c r="B6" s="3216"/>
      <c r="C6" s="1392" t="s">
        <v>911</v>
      </c>
      <c r="D6" s="797" t="str">
        <f ca="1">NUMBERSTRING(INT(D5*10000),2)&amp;"元整"</f>
        <v>玖拾玖万零壹佰伍拾捌元整</v>
      </c>
    </row>
    <row r="7" spans="1:5" ht="15.6">
      <c r="B7" s="3221"/>
      <c r="C7" s="1393" t="s">
        <v>912</v>
      </c>
      <c r="D7" s="798">
        <f ca="1">结果表!H102</f>
        <v>9313</v>
      </c>
    </row>
    <row r="8" spans="1:5" ht="15.6">
      <c r="B8" s="3222" t="str">
        <f>结果表!E103</f>
        <v>2.估价师知悉的法定优先受偿款</v>
      </c>
      <c r="C8" s="1394" t="s">
        <v>913</v>
      </c>
      <c r="D8" s="798">
        <f>结果表!H103</f>
        <v>0</v>
      </c>
    </row>
    <row r="9" spans="1:5" ht="15.6">
      <c r="B9" s="322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5" t="str">
        <f>结果表!E107</f>
        <v>3.房地产抵押价值</v>
      </c>
      <c r="C13" s="1397" t="s">
        <v>910</v>
      </c>
      <c r="D13" s="800">
        <f ca="1">结果表!H107</f>
        <v>99.015799999999999</v>
      </c>
    </row>
    <row r="14" spans="1:5" ht="15.6">
      <c r="B14" s="3216"/>
      <c r="C14" s="1392" t="s">
        <v>911</v>
      </c>
      <c r="D14" s="797" t="str">
        <f ca="1">NUMBERSTRING(INT(D13*10000),2)&amp;"元整"</f>
        <v>玖拾玖万零壹佰伍拾捌元整</v>
      </c>
    </row>
    <row r="15" spans="1:5" ht="15.6">
      <c r="B15" s="3221"/>
      <c r="C15" s="1393" t="s">
        <v>921</v>
      </c>
      <c r="D15" s="806">
        <f ca="1">结果表!H108</f>
        <v>9313</v>
      </c>
    </row>
    <row r="16" spans="1:5" ht="15.6">
      <c r="B16" s="3222" t="str">
        <f>结果表!E109</f>
        <v>——</v>
      </c>
      <c r="C16" s="1397" t="s">
        <v>922</v>
      </c>
      <c r="D16" s="1398" t="str">
        <f>结果表!H109</f>
        <v>——</v>
      </c>
    </row>
    <row r="17" spans="1:5" ht="15.6">
      <c r="B17" s="3223"/>
      <c r="C17" s="1392" t="s">
        <v>923</v>
      </c>
      <c r="D17" s="797" t="e">
        <f>NUMBERSTRING(INT(D16*10000),2)&amp;"元整"</f>
        <v>#VALUE!</v>
      </c>
    </row>
    <row r="18" spans="1:5" ht="15.6">
      <c r="B18" s="3224"/>
      <c r="C18" s="1393" t="s">
        <v>912</v>
      </c>
      <c r="D18" s="806" t="str">
        <f>结果表!H110</f>
        <v>——</v>
      </c>
    </row>
    <row r="19" spans="1:5" ht="15.6">
      <c r="B19" s="3215" t="str">
        <f>结果表!E111</f>
        <v>——</v>
      </c>
      <c r="C19" s="1397" t="s">
        <v>910</v>
      </c>
      <c r="D19" s="798" t="str">
        <f>结果表!H111</f>
        <v>——</v>
      </c>
    </row>
    <row r="20" spans="1:5" ht="15.6">
      <c r="B20" s="3216"/>
      <c r="C20" s="1392" t="s">
        <v>923</v>
      </c>
      <c r="D20" s="797" t="e">
        <f>NUMBERSTRING(INT(D19*10000),2)&amp;"元整"</f>
        <v>#VALUE!</v>
      </c>
    </row>
    <row r="21" spans="1:5" ht="16.2" thickBot="1">
      <c r="B21" s="321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2810"/>
  </cols>
  <sheetData>
    <row r="1" spans="1:6">
      <c r="A1" s="3535" t="s">
        <v>3232</v>
      </c>
      <c r="B1" s="3535"/>
      <c r="C1" s="3535"/>
      <c r="D1" s="3535"/>
      <c r="E1" s="3535"/>
      <c r="F1" s="3536"/>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topLeftCell="A28" zoomScale="90" zoomScaleNormal="70" zoomScaleSheetLayoutView="9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3404</v>
      </c>
      <c r="D1" s="1271" t="s">
        <v>43</v>
      </c>
      <c r="E1" s="1272" t="s">
        <v>678</v>
      </c>
      <c r="F1" s="999">
        <f ca="1">J53</f>
        <v>61.49</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54.9345</v>
      </c>
      <c r="C2" s="1289" t="s">
        <v>879</v>
      </c>
      <c r="D2" s="1375">
        <f ca="1">C40+J29+L46</f>
        <v>549345</v>
      </c>
      <c r="E2" s="1295" t="s">
        <v>880</v>
      </c>
      <c r="F2" s="1296"/>
      <c r="G2" s="2475"/>
      <c r="H2" s="2465"/>
      <c r="I2" s="2465"/>
      <c r="J2" s="2465"/>
      <c r="K2" s="2466"/>
      <c r="L2" s="2465"/>
      <c r="M2" s="2465"/>
    </row>
    <row r="3" spans="1:37" ht="18" customHeight="1" thickBot="1">
      <c r="A3" s="1297" t="s">
        <v>881</v>
      </c>
      <c r="B3" s="1298">
        <f ca="1">IF(ISERROR(D2/F43),0,ROUND(D2/F43,0))</f>
        <v>5167</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27034</v>
      </c>
      <c r="D5" s="1273" t="s">
        <v>889</v>
      </c>
      <c r="E5" s="1008"/>
      <c r="F5" s="1009"/>
      <c r="G5" s="1292"/>
      <c r="H5" s="291">
        <v>1</v>
      </c>
      <c r="I5" s="292" t="s">
        <v>888</v>
      </c>
      <c r="J5" s="1007">
        <f ca="1">J6+J10+J12</f>
        <v>0</v>
      </c>
      <c r="K5" s="1273" t="s">
        <v>889</v>
      </c>
      <c r="L5" s="1008"/>
      <c r="M5" s="1009"/>
    </row>
    <row r="6" spans="1:37" ht="18" customHeight="1">
      <c r="A6" s="1006" t="s">
        <v>398</v>
      </c>
      <c r="B6" s="3401" t="s">
        <v>694</v>
      </c>
      <c r="C6" s="1011">
        <f ca="1">ROUND(F6*F8*F7*(1-F9),0)</f>
        <v>27000</v>
      </c>
      <c r="D6" s="147" t="s">
        <v>2106</v>
      </c>
      <c r="E6" s="294" t="s">
        <v>696</v>
      </c>
      <c r="F6" s="295">
        <f ca="1">INDIRECT("'数据-取费表'!u"&amp;$G$1)</f>
        <v>2500</v>
      </c>
      <c r="G6" s="1292"/>
      <c r="H6" s="1006" t="s">
        <v>398</v>
      </c>
      <c r="I6" s="3401" t="s">
        <v>694</v>
      </c>
      <c r="J6" s="293">
        <f ca="1">ROUND(M6*M8*M7*(1-M9),0)</f>
        <v>0</v>
      </c>
      <c r="K6" s="1284" t="s">
        <v>2107</v>
      </c>
      <c r="L6" s="294" t="s">
        <v>696</v>
      </c>
      <c r="M6" s="295">
        <f ca="1">INDIRECT("'数据-取费表'!z"&amp;$G$1)</f>
        <v>0</v>
      </c>
    </row>
    <row r="7" spans="1:37" ht="18" customHeight="1">
      <c r="A7" s="1010"/>
      <c r="B7" s="3402"/>
      <c r="C7" s="1012"/>
      <c r="D7" s="299"/>
      <c r="E7" s="1013" t="s">
        <v>697</v>
      </c>
      <c r="F7" s="295">
        <f ca="1">IF(INDIRECT("'数据-取费表'!ah"&amp;$G$1)="",INDIRECT("'数据-取费表'!k"&amp;$G$1),INDIRECT("'数据-取费表'!ah"&amp;$G$1))</f>
        <v>1</v>
      </c>
      <c r="G7" s="1292"/>
      <c r="H7" s="296"/>
      <c r="I7" s="3402"/>
      <c r="J7" s="298"/>
      <c r="K7" s="299"/>
      <c r="L7" s="294" t="s">
        <v>697</v>
      </c>
      <c r="M7" s="295">
        <f ca="1">F7</f>
        <v>1</v>
      </c>
    </row>
    <row r="8" spans="1:37" ht="18" customHeight="1">
      <c r="A8" s="296"/>
      <c r="B8" s="3402"/>
      <c r="C8" s="298"/>
      <c r="D8" s="299"/>
      <c r="E8" s="294" t="s">
        <v>698</v>
      </c>
      <c r="F8" s="295">
        <f ca="1">INDIRECT("'数据-取费表'!ai"&amp;$G$1)</f>
        <v>12</v>
      </c>
      <c r="G8" s="1292"/>
      <c r="H8" s="296"/>
      <c r="I8" s="3402"/>
      <c r="J8" s="298"/>
      <c r="K8" s="299"/>
      <c r="L8" s="294" t="s">
        <v>698</v>
      </c>
      <c r="M8" s="295">
        <f ca="1">INDIRECT("'数据-取费表'!ai"&amp;$G$1)</f>
        <v>12</v>
      </c>
    </row>
    <row r="9" spans="1:37" ht="18" customHeight="1">
      <c r="A9" s="296"/>
      <c r="B9" s="3403"/>
      <c r="C9" s="298"/>
      <c r="D9" s="299"/>
      <c r="E9" s="294" t="s">
        <v>699</v>
      </c>
      <c r="F9" s="304">
        <f ca="1">INDIRECT("'数据-取费表'!w"&amp;$G$1)</f>
        <v>0.1</v>
      </c>
      <c r="G9" s="1292"/>
      <c r="H9" s="296"/>
      <c r="I9" s="3403"/>
      <c r="J9" s="298"/>
      <c r="K9" s="299"/>
      <c r="L9" s="305" t="s">
        <v>699</v>
      </c>
      <c r="M9" s="306">
        <f ca="1">INDIRECT("'数据-取费表'!ab"&amp;$G$1)</f>
        <v>0</v>
      </c>
    </row>
    <row r="10" spans="1:37" ht="18" customHeight="1">
      <c r="A10" s="1006" t="s">
        <v>402</v>
      </c>
      <c r="B10" s="1274" t="s">
        <v>700</v>
      </c>
      <c r="C10" s="308">
        <f ca="1">ROUND(IF(F10="押一",C6/12*F11,IF(F10="押二",C6/12*2*F11,IF(F10="押三",C6/12*3*F11,C11*F11))),0)</f>
        <v>34</v>
      </c>
      <c r="D10" s="150" t="s">
        <v>2116</v>
      </c>
      <c r="E10" s="305" t="s">
        <v>701</v>
      </c>
      <c r="F10" s="1053" t="s">
        <v>3442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333410</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255168</v>
      </c>
      <c r="D14" s="1257" t="s">
        <v>708</v>
      </c>
      <c r="E14" s="1255"/>
      <c r="F14" s="311"/>
      <c r="G14" s="1292"/>
      <c r="H14" s="928" t="s">
        <v>398</v>
      </c>
      <c r="I14" s="294" t="s">
        <v>709</v>
      </c>
      <c r="J14" s="21">
        <f ca="1">C29</f>
        <v>362402</v>
      </c>
      <c r="K14" s="12"/>
      <c r="L14" s="759"/>
      <c r="M14" s="760"/>
    </row>
    <row r="15" spans="1:37" s="1304" customFormat="1" ht="18" customHeight="1" thickBot="1">
      <c r="A15" s="928" t="s">
        <v>399</v>
      </c>
      <c r="B15" s="294" t="s">
        <v>710</v>
      </c>
      <c r="C15" s="21">
        <f ca="1">ROUND(C14*F15,0)</f>
        <v>12758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12758</v>
      </c>
      <c r="D16" s="294" t="s">
        <v>711</v>
      </c>
      <c r="E16" s="294" t="s">
        <v>712</v>
      </c>
      <c r="F16" s="314">
        <f ca="1">IF(INDIRECT("'数据-取费表'!c"&amp;$G$1)="住宅",'数据-取费表'!B34,0)</f>
        <v>0.05</v>
      </c>
      <c r="G16" s="1292"/>
      <c r="H16" s="1016" t="s">
        <v>393</v>
      </c>
      <c r="I16" s="1017" t="s">
        <v>714</v>
      </c>
      <c r="J16" s="302">
        <f ca="1">ROUND(J17+J22+J23+J24,0)</f>
        <v>725</v>
      </c>
      <c r="K16" s="1024" t="s">
        <v>715</v>
      </c>
      <c r="L16" s="1025"/>
      <c r="M16" s="1009"/>
    </row>
    <row r="17" spans="1:37" s="1304" customFormat="1" ht="18" customHeight="1">
      <c r="A17" s="928" t="s">
        <v>681</v>
      </c>
      <c r="B17" s="294" t="s">
        <v>716</v>
      </c>
      <c r="C17" s="21">
        <f ca="1">ROUND(F17*(F43+INDIRECT("'数据-取费表'!S"&amp;$G$1)),0)</f>
        <v>12758</v>
      </c>
      <c r="D17" s="294" t="s">
        <v>717</v>
      </c>
      <c r="E17" s="294" t="s">
        <v>718</v>
      </c>
      <c r="F17" s="23">
        <f>'数据-取费表'!B35</f>
        <v>120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1.575E-2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298545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5971</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19.66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725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9531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-725</v>
      </c>
      <c r="K25" s="1032" t="s">
        <v>753</v>
      </c>
      <c r="L25" s="1033"/>
      <c r="M25" s="1034"/>
    </row>
    <row r="26" spans="1:37" ht="18" customHeight="1">
      <c r="A26" s="928" t="s">
        <v>397</v>
      </c>
      <c r="B26" s="294" t="s">
        <v>754</v>
      </c>
      <c r="C26" s="21">
        <f ca="1">ROUND((C19+C20)*F26,0)</f>
        <v>30452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1.55E-2</v>
      </c>
      <c r="D28" s="315" t="s">
        <v>765</v>
      </c>
      <c r="E28" s="294" t="s">
        <v>712</v>
      </c>
      <c r="F28" s="314">
        <f>'数据-取费表'!B41</f>
        <v>1.575E-2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362402</v>
      </c>
      <c r="D29" s="1029"/>
      <c r="E29" s="1027"/>
      <c r="F29" s="1030"/>
      <c r="G29" s="1303"/>
      <c r="H29" s="325" t="s">
        <v>396</v>
      </c>
      <c r="I29" s="326" t="s">
        <v>768</v>
      </c>
      <c r="J29" s="327">
        <f ca="1">ROUND(J26/(1+F40)^F41,0)</f>
        <v>0</v>
      </c>
      <c r="K29" s="328" t="s">
        <v>769</v>
      </c>
      <c r="L29" s="329"/>
      <c r="M29" s="330">
        <f ca="1">INDIRECT("'数据-取费表'!k"&amp;$G$1)</f>
        <v>106.32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2811</v>
      </c>
      <c r="D30" s="1024" t="s">
        <v>715</v>
      </c>
      <c r="E30" s="1025"/>
      <c r="F30" s="1009"/>
      <c r="G30" s="1292"/>
      <c r="H30" s="2467"/>
      <c r="I30" s="1305"/>
      <c r="J30" s="1306"/>
      <c r="K30" s="121"/>
      <c r="L30" s="2468"/>
      <c r="M30" s="2469"/>
    </row>
    <row r="31" spans="1:37" ht="18" customHeight="1">
      <c r="A31" s="928" t="s">
        <v>398</v>
      </c>
      <c r="B31" s="294" t="s">
        <v>719</v>
      </c>
      <c r="C31" s="2139">
        <f ca="1">C32+C33+C34</f>
        <v>1483</v>
      </c>
      <c r="D31" s="1257" t="s">
        <v>720</v>
      </c>
      <c r="E31" s="1256" t="s">
        <v>770</v>
      </c>
      <c r="F31" s="2138">
        <f ca="1">IF(项目基本情况!B11="企业","——",IF(M47="住宅",IF(F6*F7*F8/12/(1+'数据-取费表'!F30)&gt;100000,4%,2.5%),IF(F6*F7*F8/12/(1+'数据-取费表'!F30)&gt;100000,12%,7%)))</f>
        <v>2.5000000000000001E-2</v>
      </c>
      <c r="G31" s="1292"/>
      <c r="H31" s="2566" t="s">
        <v>2306</v>
      </c>
      <c r="I31" s="1305"/>
      <c r="J31" s="1306"/>
      <c r="K31" s="121"/>
      <c r="L31" s="2468"/>
      <c r="M31" s="2469"/>
    </row>
    <row r="32" spans="1:37" ht="18" customHeight="1">
      <c r="A32" s="928" t="s">
        <v>397</v>
      </c>
      <c r="B32" s="294" t="s">
        <v>723</v>
      </c>
      <c r="C32" s="2139">
        <f ca="1">ROUND(C6*F32/(1+'数据-取费表'!C42),0)</f>
        <v>419</v>
      </c>
      <c r="D32" s="1256" t="s">
        <v>724</v>
      </c>
      <c r="E32" s="294" t="s">
        <v>712</v>
      </c>
      <c r="F32" s="3209">
        <f>'数据-取费表'!B41</f>
        <v>1.575E-2</v>
      </c>
      <c r="G32" s="1292"/>
      <c r="H32" s="2467"/>
      <c r="I32" s="1305"/>
      <c r="J32" s="1306"/>
      <c r="K32" s="121"/>
      <c r="L32" s="2468"/>
      <c r="M32" s="2469"/>
    </row>
    <row r="33" spans="1:18" ht="18" customHeight="1">
      <c r="A33" s="928" t="s">
        <v>399</v>
      </c>
      <c r="B33" s="294" t="s">
        <v>727</v>
      </c>
      <c r="C33" s="21">
        <f ca="1">ROUND(C6*F33/(1+'数据-取费表'!C42),0)</f>
        <v>1064</v>
      </c>
      <c r="D33" s="1278" t="s">
        <v>3334</v>
      </c>
      <c r="E33" s="294" t="s">
        <v>712</v>
      </c>
      <c r="F33" s="3210">
        <v>0.04</v>
      </c>
      <c r="G33" s="1292"/>
      <c r="H33" s="2470"/>
      <c r="I33" s="1305"/>
      <c r="J33" s="1306"/>
      <c r="K33" s="2471"/>
      <c r="L33" s="2470"/>
      <c r="M33" s="2470"/>
    </row>
    <row r="34" spans="1:18" ht="18" customHeight="1">
      <c r="A34" s="1006" t="s">
        <v>680</v>
      </c>
      <c r="B34" s="147" t="s">
        <v>730</v>
      </c>
      <c r="C34" s="3211">
        <f ca="1">ROUND(F34*F35,0)</f>
        <v>0</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19.66</v>
      </c>
      <c r="G35" s="1292"/>
      <c r="H35" s="2467"/>
      <c r="I35" s="1305"/>
      <c r="J35" s="1306"/>
      <c r="K35" s="2471"/>
      <c r="L35" s="2470"/>
      <c r="M35" s="2470"/>
    </row>
    <row r="36" spans="1:18" ht="18" customHeight="1">
      <c r="A36" s="1039" t="s">
        <v>402</v>
      </c>
      <c r="B36" s="294" t="s">
        <v>738</v>
      </c>
      <c r="C36" s="21">
        <f ca="1">ROUND(C29*F36,0)</f>
        <v>725</v>
      </c>
      <c r="D36" s="1256" t="s">
        <v>771</v>
      </c>
      <c r="E36" s="294" t="s">
        <v>712</v>
      </c>
      <c r="F36" s="320">
        <f ca="1">INDIRECT("'数据-取费表'!Ak"&amp;$G$1)</f>
        <v>2E-3</v>
      </c>
      <c r="G36" s="1292"/>
      <c r="H36" s="2470"/>
      <c r="I36" s="1305"/>
      <c r="J36" s="1306"/>
      <c r="K36" s="2328"/>
      <c r="L36" s="2470"/>
      <c r="M36" s="2470"/>
    </row>
    <row r="37" spans="1:18" ht="18" customHeight="1">
      <c r="A37" s="928" t="s">
        <v>437</v>
      </c>
      <c r="B37" s="294" t="s">
        <v>742</v>
      </c>
      <c r="C37" s="21">
        <f ca="1">ROUND(C13*F37,0)</f>
        <v>333</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ROUND(C5*F38,0)</f>
        <v>270</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24223</v>
      </c>
      <c r="D39" s="1032" t="s">
        <v>773</v>
      </c>
      <c r="E39" s="1033"/>
      <c r="F39" s="1034"/>
      <c r="G39" s="1292"/>
      <c r="H39" s="2470"/>
      <c r="I39" s="1305"/>
      <c r="J39" s="1306"/>
      <c r="K39" s="2468"/>
      <c r="L39" s="2470"/>
      <c r="M39" s="2470"/>
    </row>
    <row r="40" spans="1:18" ht="18" customHeight="1">
      <c r="A40" s="291" t="s">
        <v>395</v>
      </c>
      <c r="B40" s="292" t="s">
        <v>774</v>
      </c>
      <c r="C40" s="293">
        <f ca="1">ROUND(C39*(1-((1+F42)/(1+F40))^F41)/(F40-F42),0)</f>
        <v>549345</v>
      </c>
      <c r="D40" s="316" t="s">
        <v>758</v>
      </c>
      <c r="E40" s="294" t="s">
        <v>759</v>
      </c>
      <c r="F40" s="304">
        <f ca="1">INDIRECT("'数据-取费表'!I"&amp;$G$1)</f>
        <v>5.5E-2</v>
      </c>
      <c r="G40" s="1292"/>
      <c r="H40" s="1366">
        <f ca="1">C39/C5</f>
        <v>0.89601982688466375</v>
      </c>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61.49</v>
      </c>
      <c r="G41" s="1292"/>
      <c r="H41" s="121"/>
      <c r="I41" s="1305"/>
      <c r="J41" s="1306"/>
      <c r="K41" s="2328"/>
      <c r="L41" s="121"/>
      <c r="M41" s="121"/>
    </row>
    <row r="42" spans="1:18" ht="18" customHeight="1">
      <c r="A42" s="300"/>
      <c r="B42" s="301"/>
      <c r="C42" s="302"/>
      <c r="D42" s="319"/>
      <c r="E42" s="294" t="s">
        <v>766</v>
      </c>
      <c r="F42" s="304">
        <f ca="1">INDIRECT("'数据-取费表'!v"&amp;$G$1)</f>
        <v>1.4999999999999999E-2</v>
      </c>
      <c r="G42" s="1292"/>
      <c r="H42" s="121"/>
      <c r="I42" s="1305"/>
      <c r="J42" s="1306"/>
      <c r="K42" s="2328"/>
      <c r="L42" s="121"/>
      <c r="M42" s="121"/>
    </row>
    <row r="43" spans="1:18" ht="18" customHeight="1" thickBot="1">
      <c r="A43" s="325" t="s">
        <v>396</v>
      </c>
      <c r="B43" s="326" t="s">
        <v>776</v>
      </c>
      <c r="C43" s="327">
        <f ca="1">ROUND(C40/F43,0)</f>
        <v>5167</v>
      </c>
      <c r="D43" s="328" t="s">
        <v>777</v>
      </c>
      <c r="E43" s="329" t="s">
        <v>778</v>
      </c>
      <c r="F43" s="330">
        <f ca="1">INDIRECT("'数据-取费表'!k"&amp;$G$1)</f>
        <v>106.32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3350</v>
      </c>
      <c r="B45" s="1307"/>
      <c r="C45" s="1376" t="e">
        <f ca="1">ROUND((C68-C40)/10000,4)</f>
        <v>#VALUE!</v>
      </c>
      <c r="D45" s="3127" t="s">
        <v>3351</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3443</v>
      </c>
      <c r="K47" s="1323" t="s">
        <v>816</v>
      </c>
      <c r="L47" s="1324">
        <f ca="1">INDIRECT("'数据-取费表'!d"&amp;$G$1)</f>
        <v>70</v>
      </c>
      <c r="M47" s="1288" t="str">
        <f>IF(ISNUMBER(FIND("住宅",C1)),"住宅","非住宅")</f>
        <v>住宅</v>
      </c>
      <c r="O47" s="1325" t="s">
        <v>403</v>
      </c>
      <c r="P47" s="1326" t="s">
        <v>817</v>
      </c>
      <c r="Q47" s="1327">
        <f ca="1">C40+J29</f>
        <v>549345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3444</v>
      </c>
      <c r="K48" s="1330" t="s">
        <v>820</v>
      </c>
      <c r="L48" s="1331">
        <f ca="1">INDIRECT("'数据-取费表'!f"&amp;$G$1)</f>
        <v>61.49</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2020</v>
      </c>
      <c r="K49" s="1330" t="s">
        <v>824</v>
      </c>
      <c r="L49" s="1333"/>
      <c r="O49" s="1334" t="s">
        <v>405</v>
      </c>
      <c r="P49" s="1326" t="s">
        <v>825</v>
      </c>
      <c r="Q49" s="1327">
        <f ca="1">C29</f>
        <v>362402</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55</v>
      </c>
      <c r="K51" s="1339" t="s">
        <v>830</v>
      </c>
      <c r="L51" s="1340">
        <f ca="1">ROUND(-PV(INDIRECT("'数据-取费表'!h"&amp;$G$1),J51,(C39-C13*C76),0),0)</f>
        <v>16478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61.49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61.49</v>
      </c>
      <c r="K53" s="3399" t="s">
        <v>837</v>
      </c>
      <c r="L53" s="3400"/>
      <c r="O53" s="1325" t="s">
        <v>409</v>
      </c>
      <c r="P53" s="1326" t="s">
        <v>838</v>
      </c>
      <c r="Q53" s="1327">
        <f ca="1">Q47+Q48</f>
        <v>549345</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333410</v>
      </c>
      <c r="D56" s="1352"/>
      <c r="E56" s="1353"/>
      <c r="F56" s="1345"/>
      <c r="I56" s="1354" t="s">
        <v>842</v>
      </c>
      <c r="J56" s="1355" t="s">
        <v>3539</v>
      </c>
      <c r="K56" s="1328" t="s">
        <v>843</v>
      </c>
      <c r="L56" s="1331">
        <f ca="1">IF(L48&lt;J51,"——",L48-J51)</f>
        <v>6.490000000000002</v>
      </c>
      <c r="O56" s="1325" t="s">
        <v>403</v>
      </c>
      <c r="P56" s="1326" t="s">
        <v>817</v>
      </c>
      <c r="Q56" s="1327">
        <f ca="1">C40+J29</f>
        <v>549345</v>
      </c>
      <c r="R56" s="1327" t="s">
        <v>818</v>
      </c>
    </row>
    <row r="57" spans="1:18" s="1292" customFormat="1" ht="24.6" thickBot="1">
      <c r="A57" s="1356"/>
      <c r="B57" s="896" t="s">
        <v>767</v>
      </c>
      <c r="C57" s="230">
        <f ca="1">C29</f>
        <v>362402</v>
      </c>
      <c r="D57" s="1357"/>
      <c r="E57" s="1358"/>
      <c r="F57" s="1359"/>
      <c r="I57" s="1360" t="s">
        <v>844</v>
      </c>
      <c r="J57" s="1361" t="str">
        <f ca="1">IF(OR(M47="住宅",J51&lt;L48,J56="是"),"——",J51-L48)</f>
        <v>——</v>
      </c>
      <c r="K57" s="1328" t="s">
        <v>892</v>
      </c>
      <c r="L57" s="1331">
        <f ca="1">IF(L48&lt;J51,"——",IF(L55="比较法",L49,IF(L55="基准地价",L50,L51)))</f>
        <v>16478</v>
      </c>
      <c r="O57" s="1325" t="s">
        <v>404</v>
      </c>
      <c r="P57" s="1326" t="s">
        <v>893</v>
      </c>
      <c r="Q57" s="1327">
        <f ca="1">L60</f>
        <v>0</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#VALUE!</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1.575E-2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0.04</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549345</v>
      </c>
      <c r="R62" s="1327" t="s">
        <v>410</v>
      </c>
    </row>
    <row r="63" spans="1:18" s="1292" customFormat="1" ht="13.8" thickBot="1">
      <c r="A63" s="318"/>
      <c r="B63" s="902"/>
      <c r="C63" s="26"/>
      <c r="D63" s="912"/>
      <c r="E63" s="896" t="s">
        <v>788</v>
      </c>
      <c r="F63" s="295">
        <f t="shared" ca="1" si="0"/>
        <v>19.66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725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333</v>
      </c>
      <c r="D65" s="910" t="s">
        <v>743</v>
      </c>
      <c r="E65" s="896" t="s">
        <v>744</v>
      </c>
      <c r="F65" s="321">
        <f t="shared" ca="1" si="0"/>
        <v>1E-3</v>
      </c>
      <c r="I65" s="1367" t="s">
        <v>867</v>
      </c>
      <c r="J65" s="610">
        <v>40</v>
      </c>
      <c r="K65" s="610">
        <v>30</v>
      </c>
      <c r="L65" s="610">
        <v>50</v>
      </c>
      <c r="M65" s="1369">
        <v>0.02</v>
      </c>
      <c r="O65" s="1325" t="s">
        <v>403</v>
      </c>
      <c r="P65" s="1326" t="s">
        <v>868</v>
      </c>
      <c r="Q65" s="1327">
        <f ca="1">C40+J29</f>
        <v>549345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t="e">
        <f ca="1">C48-C58</f>
        <v>#VALUE!</v>
      </c>
      <c r="D67" s="909" t="s">
        <v>753</v>
      </c>
      <c r="E67" s="914"/>
      <c r="F67" s="915"/>
      <c r="O67" s="1334" t="s">
        <v>405</v>
      </c>
      <c r="P67" s="1326" t="s">
        <v>850</v>
      </c>
      <c r="Q67" s="1370">
        <f ca="1">L51</f>
        <v>16478</v>
      </c>
      <c r="R67" s="1327" t="s">
        <v>870</v>
      </c>
    </row>
    <row r="68" spans="1:18" s="1292" customFormat="1" ht="16.2" thickBot="1">
      <c r="A68" s="893" t="s">
        <v>395</v>
      </c>
      <c r="B68" s="894" t="s">
        <v>774</v>
      </c>
      <c r="C68" s="293" t="e">
        <f ca="1">ROUND(C67*(1-((1+F70)/(1+F68))^F69)/(F68-F70),0)</f>
        <v>#VALUE!</v>
      </c>
      <c r="D68" s="911" t="s">
        <v>758</v>
      </c>
      <c r="E68" s="896" t="s">
        <v>759</v>
      </c>
      <c r="F68" s="304">
        <f ca="1">F40</f>
        <v>5.5E-2</v>
      </c>
      <c r="O68" s="1334" t="s">
        <v>406</v>
      </c>
      <c r="P68" s="1371" t="s">
        <v>871</v>
      </c>
      <c r="Q68" s="1327">
        <f ca="1">ROUND(Q69-Q70*Q71,0)</f>
        <v>884</v>
      </c>
      <c r="R68" s="1327" t="s">
        <v>414</v>
      </c>
    </row>
    <row r="69" spans="1:18" s="1292" customFormat="1" ht="13.8" thickBot="1">
      <c r="A69" s="897"/>
      <c r="B69" s="898"/>
      <c r="C69" s="298"/>
      <c r="D69" s="916" t="s">
        <v>762</v>
      </c>
      <c r="E69" s="896" t="s">
        <v>763</v>
      </c>
      <c r="F69" s="324">
        <f ca="1">F41</f>
        <v>61.49</v>
      </c>
      <c r="O69" s="1334" t="s">
        <v>411</v>
      </c>
      <c r="P69" s="1371" t="s">
        <v>872</v>
      </c>
      <c r="Q69" s="1327">
        <f ca="1">C39</f>
        <v>24223</v>
      </c>
      <c r="R69" s="1327" t="s">
        <v>818</v>
      </c>
    </row>
    <row r="70" spans="1:18" s="1292" customFormat="1" ht="13.8" thickBot="1">
      <c r="A70" s="900"/>
      <c r="B70" s="901"/>
      <c r="C70" s="302"/>
      <c r="D70" s="912"/>
      <c r="E70" s="896" t="s">
        <v>766</v>
      </c>
      <c r="F70" s="991"/>
      <c r="O70" s="1334" t="s">
        <v>412</v>
      </c>
      <c r="P70" s="1371" t="s">
        <v>873</v>
      </c>
      <c r="Q70" s="1327">
        <f ca="1">C13</f>
        <v>333410</v>
      </c>
      <c r="R70" s="1327" t="s">
        <v>818</v>
      </c>
    </row>
    <row r="71" spans="1:18" s="1292" customFormat="1" ht="13.8" thickBot="1">
      <c r="A71" s="917" t="s">
        <v>396</v>
      </c>
      <c r="B71" s="918" t="s">
        <v>776</v>
      </c>
      <c r="C71" s="327" t="e">
        <f ca="1">ROUND(C68/F71,0)</f>
        <v>#VALUE!</v>
      </c>
      <c r="D71" s="919" t="s">
        <v>777</v>
      </c>
      <c r="E71" s="920" t="s">
        <v>778</v>
      </c>
      <c r="F71" s="330">
        <f ca="1">F43</f>
        <v>106.32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23339</v>
      </c>
      <c r="D75" s="1292"/>
      <c r="E75" s="1292"/>
      <c r="F75" s="1292"/>
      <c r="K75" s="1309"/>
      <c r="L75" s="1292"/>
      <c r="O75" s="1325" t="s">
        <v>409</v>
      </c>
      <c r="P75" s="1326" t="s">
        <v>838</v>
      </c>
      <c r="Q75" s="1327">
        <f ca="1">Q65+Q66</f>
        <v>549345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3.6000000000000032E-2</v>
      </c>
    </row>
    <row r="80" spans="1:18">
      <c r="B80" s="331" t="s">
        <v>800</v>
      </c>
      <c r="C80" s="266">
        <f ca="1">ROUND(C75/C39,3)</f>
        <v>0.96399999999999997</v>
      </c>
    </row>
    <row r="81" spans="2:3">
      <c r="B81" s="262" t="s">
        <v>801</v>
      </c>
      <c r="C81" s="230"/>
    </row>
    <row r="82" spans="2:3">
      <c r="B82" s="265" t="s">
        <v>802</v>
      </c>
      <c r="C82" s="267">
        <f ca="1">1-C83</f>
        <v>0.39300000000000002</v>
      </c>
    </row>
    <row r="83" spans="2:3">
      <c r="B83" s="265" t="s">
        <v>803</v>
      </c>
      <c r="C83" s="266">
        <f ca="1">ROUND(C13/C40,3)</f>
        <v>0.60699999999999998</v>
      </c>
    </row>
  </sheetData>
  <sheetProtection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800-000000000000}">
      <formula1>"比较法,基准地价,收益还原"</formula1>
    </dataValidation>
    <dataValidation type="list" allowBlank="1" showInputMessage="1" showErrorMessage="1" sqref="J56" xr:uid="{00000000-0002-0000-2800-000001000000}">
      <formula1>估价范围判定</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C1" xr:uid="{00000000-0002-0000-2800-000004000000}">
      <formula1>项目类型</formula1>
    </dataValidation>
    <dataValidation type="list" allowBlank="1" showInputMessage="1" showErrorMessage="1" sqref="D33 D61"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F10 F53 M10"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A1:F20"/>
  <sheetViews>
    <sheetView workbookViewId="0">
      <selection activeCell="B16" sqref="B16"/>
    </sheetView>
  </sheetViews>
  <sheetFormatPr defaultRowHeight="14.4"/>
  <cols>
    <col min="1" max="1" width="30" customWidth="1"/>
    <col min="2" max="2" width="28.77734375" customWidth="1"/>
    <col min="3" max="3" width="34.44140625" customWidth="1"/>
    <col min="4" max="4" width="32.21875" customWidth="1"/>
    <col min="6" max="6" width="24.44140625" customWidth="1"/>
  </cols>
  <sheetData>
    <row r="1" spans="1:6" ht="16.2" thickBot="1">
      <c r="A1" s="3176" t="s">
        <v>3451</v>
      </c>
    </row>
    <row r="2" spans="1:6" ht="15.6" thickTop="1" thickBot="1">
      <c r="A2" s="3177" t="s">
        <v>3452</v>
      </c>
      <c r="B2" s="3193" t="s">
        <v>3454</v>
      </c>
      <c r="C2" s="3194" t="s">
        <v>3455</v>
      </c>
      <c r="D2" s="3197" t="s">
        <v>3456</v>
      </c>
      <c r="F2" s="3179" t="s">
        <v>3455</v>
      </c>
    </row>
    <row r="3" spans="1:6" ht="15" thickBot="1">
      <c r="A3" s="3178" t="s">
        <v>3453</v>
      </c>
      <c r="B3" s="3194" t="s">
        <v>3457</v>
      </c>
      <c r="C3" s="3194" t="s">
        <v>3526</v>
      </c>
      <c r="D3" s="3198" t="s">
        <v>3459</v>
      </c>
      <c r="F3" s="3180" t="s">
        <v>3458</v>
      </c>
    </row>
    <row r="4" spans="1:6" ht="29.4" thickBot="1">
      <c r="A4" s="3181" t="s">
        <v>3460</v>
      </c>
      <c r="B4" s="3194" t="s">
        <v>3461</v>
      </c>
      <c r="C4" s="3194" t="s">
        <v>3525</v>
      </c>
      <c r="D4" s="3198" t="s">
        <v>3463</v>
      </c>
      <c r="F4" s="3180" t="s">
        <v>3462</v>
      </c>
    </row>
    <row r="5" spans="1:6" ht="15" thickBot="1">
      <c r="A5" s="3181" t="s">
        <v>3464</v>
      </c>
      <c r="B5" s="3194" t="s">
        <v>3330</v>
      </c>
      <c r="C5" s="3194" t="s">
        <v>3330</v>
      </c>
      <c r="D5" s="3198" t="s">
        <v>3330</v>
      </c>
      <c r="F5" s="3180" t="s">
        <v>3330</v>
      </c>
    </row>
    <row r="6" spans="1:6" ht="15" thickBot="1">
      <c r="A6" s="3181" t="s">
        <v>675</v>
      </c>
      <c r="B6" s="3194" t="s">
        <v>144</v>
      </c>
      <c r="C6" s="3194" t="s">
        <v>144</v>
      </c>
      <c r="D6" s="3198" t="s">
        <v>144</v>
      </c>
      <c r="F6" s="3180" t="s">
        <v>144</v>
      </c>
    </row>
    <row r="7" spans="1:6" ht="15" thickBot="1">
      <c r="A7" s="3181" t="s">
        <v>672</v>
      </c>
      <c r="B7" s="3194" t="s">
        <v>3404</v>
      </c>
      <c r="C7" s="3194" t="s">
        <v>3404</v>
      </c>
      <c r="D7" s="3198" t="s">
        <v>3404</v>
      </c>
      <c r="F7" s="3180" t="s">
        <v>3404</v>
      </c>
    </row>
    <row r="8" spans="1:6" ht="15" thickBot="1">
      <c r="A8" s="3181" t="s">
        <v>3465</v>
      </c>
      <c r="B8" s="3194" t="s">
        <v>3443</v>
      </c>
      <c r="C8" s="3194" t="s">
        <v>3443</v>
      </c>
      <c r="D8" s="3198" t="s">
        <v>3443</v>
      </c>
      <c r="F8" s="3180" t="s">
        <v>3443</v>
      </c>
    </row>
    <row r="9" spans="1:6" ht="15" thickBot="1">
      <c r="A9" s="3181" t="s">
        <v>3466</v>
      </c>
      <c r="B9" s="3194">
        <v>142.41999999999999</v>
      </c>
      <c r="C9" s="3194">
        <v>94.82</v>
      </c>
      <c r="D9" s="3198">
        <v>121.25</v>
      </c>
      <c r="F9" s="3180">
        <v>126.33</v>
      </c>
    </row>
    <row r="10" spans="1:6" ht="15" thickBot="1">
      <c r="A10" s="3181" t="s">
        <v>3467</v>
      </c>
      <c r="B10" s="3194" t="s">
        <v>3468</v>
      </c>
      <c r="C10" s="3194" t="s">
        <v>3527</v>
      </c>
      <c r="D10" s="3198" t="s">
        <v>3468</v>
      </c>
      <c r="F10" s="3180" t="s">
        <v>3468</v>
      </c>
    </row>
    <row r="11" spans="1:6" ht="15" thickBot="1">
      <c r="A11" s="3181" t="s">
        <v>3469</v>
      </c>
      <c r="B11" s="3194">
        <v>1420200</v>
      </c>
      <c r="C11" s="3194">
        <v>1024000</v>
      </c>
      <c r="D11" s="3198">
        <v>1235500</v>
      </c>
      <c r="F11" s="3180">
        <v>1346900</v>
      </c>
    </row>
    <row r="12" spans="1:6" ht="15" thickBot="1">
      <c r="A12" s="3181" t="s">
        <v>3470</v>
      </c>
      <c r="B12" s="3194">
        <v>9972</v>
      </c>
      <c r="C12" s="3194">
        <v>10402</v>
      </c>
      <c r="D12" s="3198">
        <v>10190</v>
      </c>
      <c r="F12" s="3180">
        <v>10662</v>
      </c>
    </row>
    <row r="13" spans="1:6" ht="15" thickBot="1">
      <c r="A13" s="3181" t="s">
        <v>3471</v>
      </c>
      <c r="B13" s="3195">
        <v>45803</v>
      </c>
      <c r="C13" s="3194">
        <v>45805</v>
      </c>
      <c r="D13" s="3199">
        <v>45735</v>
      </c>
      <c r="F13" s="3182">
        <v>45629</v>
      </c>
    </row>
    <row r="14" spans="1:6" ht="15" thickBot="1">
      <c r="A14" s="3181" t="s">
        <v>3472</v>
      </c>
      <c r="B14" s="3194" t="s">
        <v>3473</v>
      </c>
      <c r="C14" s="3194" t="s">
        <v>3528</v>
      </c>
      <c r="D14" s="3198" t="s">
        <v>3475</v>
      </c>
      <c r="F14" s="3180" t="s">
        <v>3474</v>
      </c>
    </row>
    <row r="15" spans="1:6" ht="15" thickBot="1">
      <c r="A15" s="3181" t="s">
        <v>3476</v>
      </c>
      <c r="B15" s="3194" t="s">
        <v>3477</v>
      </c>
      <c r="C15" s="3194" t="s">
        <v>3529</v>
      </c>
      <c r="D15" s="3198" t="s">
        <v>3479</v>
      </c>
      <c r="F15" s="3180" t="s">
        <v>3478</v>
      </c>
    </row>
    <row r="16" spans="1:6" ht="15" thickBot="1">
      <c r="A16" s="3181" t="s">
        <v>3480</v>
      </c>
      <c r="B16" s="3194" t="s">
        <v>3481</v>
      </c>
      <c r="C16" s="3194">
        <v>2019</v>
      </c>
      <c r="D16" s="3198" t="s">
        <v>3483</v>
      </c>
      <c r="F16" s="3180" t="s">
        <v>3482</v>
      </c>
    </row>
    <row r="17" spans="1:6" ht="15" thickBot="1">
      <c r="A17" s="3181" t="s">
        <v>3484</v>
      </c>
      <c r="B17" s="3194" t="s">
        <v>3485</v>
      </c>
      <c r="C17" s="3194" t="s">
        <v>3485</v>
      </c>
      <c r="D17" s="3198" t="s">
        <v>3485</v>
      </c>
      <c r="F17" s="3180" t="s">
        <v>3485</v>
      </c>
    </row>
    <row r="18" spans="1:6" ht="15" thickBot="1">
      <c r="A18" s="3181" t="s">
        <v>3486</v>
      </c>
      <c r="B18" s="3194" t="s">
        <v>3487</v>
      </c>
      <c r="C18" s="3194"/>
      <c r="D18" s="3198" t="s">
        <v>3487</v>
      </c>
      <c r="F18" s="3180" t="s">
        <v>3487</v>
      </c>
    </row>
    <row r="19" spans="1:6" ht="15" thickBot="1">
      <c r="A19" s="3183" t="s">
        <v>3488</v>
      </c>
      <c r="B19" s="3196" t="s">
        <v>3489</v>
      </c>
      <c r="C19" s="3194"/>
      <c r="D19" s="3200" t="s">
        <v>3489</v>
      </c>
      <c r="F19" s="3184" t="s">
        <v>3489</v>
      </c>
    </row>
    <row r="20" spans="1:6" ht="16.2" thickTop="1">
      <c r="A20" s="3185"/>
      <c r="B20" s="3155"/>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A100" workbookViewId="0">
      <selection activeCell="A137" sqref="A137"/>
    </sheetView>
  </sheetViews>
  <sheetFormatPr defaultRowHeight="14.4"/>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zoomScale="60" zoomScaleNormal="60" workbookViewId="0">
      <selection activeCell="O123" sqref="O123"/>
    </sheetView>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V4:W11"/>
  <sheetViews>
    <sheetView workbookViewId="0">
      <selection activeCell="W6" sqref="W6:W8"/>
    </sheetView>
  </sheetViews>
  <sheetFormatPr defaultRowHeight="14.4"/>
  <cols>
    <col min="22" max="22" width="15.88671875" customWidth="1"/>
  </cols>
  <sheetData>
    <row r="4" spans="22:23">
      <c r="V4" s="3204" t="s">
        <v>3540</v>
      </c>
      <c r="W4" s="3206">
        <v>1.4999999999999999E-2</v>
      </c>
    </row>
    <row r="5" spans="22:23">
      <c r="V5" s="3204" t="s">
        <v>3542</v>
      </c>
      <c r="W5" s="3205">
        <v>0.05</v>
      </c>
    </row>
    <row r="6" spans="22:23">
      <c r="V6" s="3204" t="s">
        <v>3543</v>
      </c>
      <c r="W6" s="3204" t="s">
        <v>3541</v>
      </c>
    </row>
    <row r="7" spans="22:23">
      <c r="V7" s="3204" t="s">
        <v>3544</v>
      </c>
      <c r="W7" s="3204" t="s">
        <v>3541</v>
      </c>
    </row>
    <row r="8" spans="22:23">
      <c r="V8" s="3204" t="s">
        <v>3545</v>
      </c>
      <c r="W8" s="3205">
        <v>0.04</v>
      </c>
    </row>
    <row r="9" spans="22:23">
      <c r="V9" s="3204" t="s">
        <v>3546</v>
      </c>
      <c r="W9" s="3205">
        <v>0.1</v>
      </c>
    </row>
    <row r="10" spans="22:23">
      <c r="V10" s="3204" t="s">
        <v>3547</v>
      </c>
      <c r="W10" s="3204" t="s">
        <v>3541</v>
      </c>
    </row>
    <row r="11" spans="22:23">
      <c r="V11" s="3204" t="s">
        <v>3548</v>
      </c>
      <c r="W11" s="3204" t="s">
        <v>3541</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45928</v>
      </c>
      <c r="B1" s="2926" t="s">
        <v>3376</v>
      </c>
      <c r="C1" s="2927"/>
      <c r="D1" s="2927"/>
      <c r="E1" s="2927"/>
      <c r="F1" s="2927"/>
      <c r="G1" s="2927"/>
      <c r="H1" s="2927"/>
      <c r="I1" s="2927"/>
      <c r="J1" s="2893"/>
      <c r="K1" s="2927" t="s">
        <v>454</v>
      </c>
      <c r="L1" s="2927"/>
      <c r="M1" s="2927"/>
      <c r="N1" s="2927"/>
      <c r="O1" s="2927"/>
      <c r="P1" s="2927"/>
      <c r="Q1" s="2893"/>
      <c r="R1" s="3537" t="s">
        <v>456</v>
      </c>
      <c r="S1" s="3538"/>
      <c r="T1" s="3538"/>
      <c r="U1" s="3538"/>
      <c r="V1" s="3538"/>
      <c r="W1" s="3538"/>
      <c r="X1" s="2893"/>
      <c r="Y1" s="3537" t="s">
        <v>457</v>
      </c>
      <c r="Z1" s="3538"/>
      <c r="AA1" s="3538"/>
      <c r="AB1" s="3538"/>
      <c r="AC1" s="3538"/>
      <c r="AD1" s="3538"/>
    </row>
    <row r="2" spans="1:44" s="2009" customFormat="1" ht="1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3" customFormat="1" ht="13.2">
      <c r="A3" s="2881" t="s">
        <v>2819</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3402</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3401</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3400</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3374</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3373</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3369</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3368</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3366</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3365</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3364</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3362</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3353</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2820</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2821</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2822</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2823</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2824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3379</v>
      </c>
    </row>
    <row r="27" spans="1:44">
      <c r="I27" s="1405" t="s">
        <v>2825</v>
      </c>
    </row>
    <row r="29" spans="1:44" s="2008" customFormat="1" ht="13.2">
      <c r="B29" s="2926" t="s">
        <v>3377</v>
      </c>
      <c r="C29" s="2927"/>
      <c r="D29" s="2927"/>
      <c r="E29" s="2927"/>
      <c r="F29" s="2927"/>
      <c r="G29" s="2927"/>
      <c r="H29" s="2927"/>
      <c r="I29" s="2927"/>
      <c r="J29" s="2893"/>
      <c r="K29" s="2927" t="s">
        <v>2826</v>
      </c>
      <c r="L29" s="2927"/>
      <c r="M29" s="2927"/>
      <c r="N29" s="2927"/>
      <c r="O29" s="2927"/>
      <c r="P29" s="2927"/>
      <c r="Q29" s="2893"/>
      <c r="R29" s="3537" t="s">
        <v>2827</v>
      </c>
      <c r="S29" s="3538"/>
      <c r="T29" s="3538"/>
      <c r="U29" s="3538"/>
      <c r="V29" s="3538"/>
      <c r="W29" s="3538"/>
      <c r="X29" s="2893"/>
      <c r="Y29" s="3537" t="s">
        <v>2828</v>
      </c>
      <c r="Z29" s="3538"/>
      <c r="AA29" s="3538"/>
      <c r="AB29" s="3538"/>
      <c r="AC29" s="3538"/>
      <c r="AD29" s="3538"/>
    </row>
    <row r="30" spans="1:44" s="2009" customFormat="1" ht="15" thickBot="1">
      <c r="B30" s="2878"/>
      <c r="C30" s="2879"/>
      <c r="D30" s="2010" t="s">
        <v>2829</v>
      </c>
      <c r="E30" s="2011" t="s">
        <v>2830</v>
      </c>
      <c r="F30" s="2011" t="s">
        <v>2831</v>
      </c>
      <c r="G30" s="2011" t="s">
        <v>2832</v>
      </c>
      <c r="H30" s="2011"/>
      <c r="I30" s="2011" t="s">
        <v>2833</v>
      </c>
      <c r="J30" s="2880"/>
      <c r="K30" s="2010" t="s">
        <v>2829</v>
      </c>
      <c r="L30" s="2011" t="s">
        <v>2830</v>
      </c>
      <c r="M30" s="2011" t="s">
        <v>2831</v>
      </c>
      <c r="N30" s="2011" t="s">
        <v>2832</v>
      </c>
      <c r="O30" s="2011"/>
      <c r="P30" s="2011" t="s">
        <v>2833</v>
      </c>
      <c r="Q30" s="2880"/>
      <c r="R30" s="2010" t="s">
        <v>2829</v>
      </c>
      <c r="S30" s="2011" t="s">
        <v>2830</v>
      </c>
      <c r="T30" s="2011" t="s">
        <v>2831</v>
      </c>
      <c r="U30" s="2011" t="s">
        <v>2832</v>
      </c>
      <c r="V30" s="2011"/>
      <c r="W30" s="2011" t="s">
        <v>2833</v>
      </c>
      <c r="X30" s="2880"/>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3" customFormat="1" ht="13.2">
      <c r="A31" s="2881" t="s">
        <v>2834</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3402</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3401</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3409</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3375</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3372</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3370</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3368</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3367</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3365</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3364</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3363</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3353</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2835</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2836</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2837</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2838</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2824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42" t="s">
        <v>452</v>
      </c>
      <c r="C1" s="3542"/>
      <c r="D1" s="3542"/>
      <c r="E1" s="3542"/>
      <c r="F1" s="3542"/>
      <c r="G1" s="3538" t="s">
        <v>453</v>
      </c>
      <c r="H1" s="3538"/>
      <c r="I1" s="3538"/>
      <c r="J1" s="3538"/>
      <c r="K1" s="3538"/>
      <c r="L1" s="3538"/>
      <c r="N1" s="3538" t="s">
        <v>454</v>
      </c>
      <c r="O1" s="3538"/>
      <c r="P1" s="3538"/>
      <c r="Q1" s="3538"/>
      <c r="S1" s="3538" t="s">
        <v>455</v>
      </c>
      <c r="T1" s="3538"/>
      <c r="U1" s="3538"/>
      <c r="V1" s="3538"/>
      <c r="X1" s="3537" t="s">
        <v>456</v>
      </c>
      <c r="Y1" s="3538"/>
      <c r="Z1" s="3538"/>
      <c r="AA1" s="3538"/>
      <c r="AB1" s="3538"/>
      <c r="AD1" s="3537" t="s">
        <v>457</v>
      </c>
      <c r="AE1" s="3538"/>
      <c r="AF1" s="3538"/>
      <c r="AG1" s="3538"/>
      <c r="AH1" s="353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4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4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4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4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3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3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4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4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3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4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3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3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3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3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3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3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3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3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3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4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3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4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50" t="s">
        <v>2839</v>
      </c>
      <c r="B1" s="3550"/>
      <c r="C1" s="3550"/>
      <c r="D1" s="3550"/>
      <c r="E1" s="3550"/>
      <c r="F1" s="3550"/>
      <c r="G1" s="3551"/>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1.4"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48"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1.4" thickBot="1">
      <c r="A4" s="3549"/>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1.4"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1.4"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1.4"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1.4"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45928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928</v>
      </c>
      <c r="B2" s="3233" t="s">
        <v>929</v>
      </c>
      <c r="C2" s="3233" t="s">
        <v>930</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6">
      <c r="A3" s="3228"/>
      <c r="B3" s="3228"/>
      <c r="C3" s="3228"/>
      <c r="D3" s="801" t="s">
        <v>925</v>
      </c>
      <c r="E3" s="801" t="s">
        <v>931</v>
      </c>
      <c r="F3" s="801" t="s">
        <v>925</v>
      </c>
      <c r="G3" s="801" t="s">
        <v>926</v>
      </c>
      <c r="H3" s="801" t="s">
        <v>925</v>
      </c>
      <c r="I3" s="801" t="s">
        <v>926</v>
      </c>
    </row>
    <row r="4" spans="1:9" ht="60">
      <c r="A4" s="1403" t="str">
        <f>项目基本情况!S2</f>
        <v>福建省宁德市霞浦县松港街道赤岸大道33号中茵外滩1号（二期）11号楼201室房地产</v>
      </c>
      <c r="B4" s="801">
        <f>项目基本情况!C17</f>
        <v>106.32</v>
      </c>
      <c r="C4" s="801">
        <f>项目基本情况!C18</f>
        <v>19.66</v>
      </c>
      <c r="D4" s="801">
        <f>结果表!D118</f>
        <v>0</v>
      </c>
      <c r="E4" s="801">
        <f>结果表!E118</f>
        <v>0</v>
      </c>
      <c r="F4" s="801">
        <f>结果表!F118</f>
        <v>0</v>
      </c>
      <c r="G4" s="801">
        <f>结果表!G118</f>
        <v>0</v>
      </c>
      <c r="H4" s="801">
        <f ca="1">结果表!H118</f>
        <v>99.015799999999999</v>
      </c>
      <c r="I4" s="801">
        <f ca="1">结果表!I118</f>
        <v>9313</v>
      </c>
    </row>
    <row r="5" spans="1:9" ht="30" customHeight="1">
      <c r="A5" s="3228" t="s">
        <v>927</v>
      </c>
      <c r="B5" s="3228"/>
      <c r="C5" s="3228"/>
      <c r="D5" s="3228" t="str">
        <f>结果表!D119</f>
        <v>零元整</v>
      </c>
      <c r="E5" s="3228"/>
      <c r="F5" s="3228" t="str">
        <f>结果表!F119</f>
        <v>零元整</v>
      </c>
      <c r="G5" s="3228"/>
      <c r="H5" s="3228" t="str">
        <f ca="1">结果表!H119</f>
        <v>玖拾玖万零壹佰伍拾捌元整</v>
      </c>
      <c r="I5" s="3228"/>
    </row>
    <row r="6" spans="1:9" ht="15.6">
      <c r="A6" s="3227" t="str">
        <f>结果表!A120</f>
        <v>估价师知悉的法定优先受偿款</v>
      </c>
      <c r="B6" s="3227"/>
      <c r="C6" s="3227"/>
      <c r="D6" s="3227">
        <f>结果表!D120</f>
        <v>0</v>
      </c>
      <c r="E6" s="3227"/>
      <c r="F6" s="3227"/>
      <c r="G6" s="3227"/>
      <c r="H6" s="3227"/>
      <c r="I6" s="3227"/>
    </row>
    <row r="7" spans="1:9" ht="15">
      <c r="A7" s="3228" t="s">
        <v>927</v>
      </c>
      <c r="B7" s="3228"/>
      <c r="C7" s="3228"/>
      <c r="D7" s="3229" t="str">
        <f>结果表!D121</f>
        <v>零元整</v>
      </c>
      <c r="E7" s="3230"/>
      <c r="F7" s="3230"/>
      <c r="G7" s="3230"/>
      <c r="H7" s="3230"/>
      <c r="I7" s="3231"/>
    </row>
    <row r="8" spans="1:9" ht="15.6">
      <c r="A8" s="3227" t="str">
        <f>结果表!A122</f>
        <v>房地产抵押价值</v>
      </c>
      <c r="B8" s="3227"/>
      <c r="C8" s="3227"/>
      <c r="D8" s="3227">
        <f ca="1">结果表!D122</f>
        <v>99.015799999999999</v>
      </c>
      <c r="E8" s="3227"/>
      <c r="F8" s="3227"/>
      <c r="G8" s="3227"/>
      <c r="H8" s="3227"/>
      <c r="I8" s="3227"/>
    </row>
    <row r="9" spans="1:9" ht="15">
      <c r="A9" s="3228" t="s">
        <v>927</v>
      </c>
      <c r="B9" s="3228"/>
      <c r="C9" s="3228"/>
      <c r="D9" s="3228" t="str">
        <f ca="1">结果表!D123</f>
        <v>玖拾玖万零壹佰伍拾捌元整</v>
      </c>
      <c r="E9" s="3228"/>
      <c r="F9" s="3228"/>
      <c r="G9" s="3228"/>
      <c r="H9" s="3228"/>
      <c r="I9" s="3228"/>
    </row>
    <row r="10" spans="1:9" ht="15.6">
      <c r="A10" s="3227" t="str">
        <f>结果表!A124</f>
        <v/>
      </c>
      <c r="B10" s="3227"/>
      <c r="C10" s="3227"/>
      <c r="D10" s="3227" t="str">
        <f>结果表!D124</f>
        <v>——</v>
      </c>
      <c r="E10" s="3227"/>
      <c r="F10" s="3227"/>
      <c r="G10" s="3227"/>
      <c r="H10" s="3227"/>
      <c r="I10" s="3227"/>
    </row>
    <row r="11" spans="1:9" ht="15">
      <c r="A11" s="3228" t="s">
        <v>927</v>
      </c>
      <c r="B11" s="3228"/>
      <c r="C11" s="3228"/>
      <c r="D11" s="3228" t="e">
        <f>结果表!D125</f>
        <v>#VALUE!</v>
      </c>
      <c r="E11" s="3228"/>
      <c r="F11" s="3228"/>
      <c r="G11" s="3228"/>
      <c r="H11" s="3228"/>
      <c r="I11" s="3228"/>
    </row>
    <row r="12" spans="1:9" ht="15.6">
      <c r="A12" s="3227" t="str">
        <f>结果表!A126</f>
        <v/>
      </c>
      <c r="B12" s="3227"/>
      <c r="C12" s="3227"/>
      <c r="D12" s="3227" t="str">
        <f>结果表!D126</f>
        <v>——</v>
      </c>
      <c r="E12" s="3227"/>
      <c r="F12" s="3227"/>
      <c r="G12" s="3227"/>
      <c r="H12" s="3227"/>
      <c r="I12" s="3227"/>
    </row>
    <row r="13" spans="1:9" ht="15.6" thickBot="1">
      <c r="A13" s="3225" t="s">
        <v>927</v>
      </c>
      <c r="B13" s="3225"/>
      <c r="C13" s="3225"/>
      <c r="D13" s="3225" t="e">
        <f>结果表!D127</f>
        <v>#VALUE!</v>
      </c>
      <c r="E13" s="3225"/>
      <c r="F13" s="3225"/>
      <c r="G13" s="3225"/>
      <c r="H13" s="3225"/>
      <c r="I13" s="3225"/>
    </row>
    <row r="14" spans="1:9" ht="14.4" thickTop="1">
      <c r="A14" s="3226" t="s">
        <v>932</v>
      </c>
      <c r="B14" s="3226"/>
      <c r="C14" s="3226"/>
      <c r="D14" s="3226"/>
      <c r="E14" s="3226"/>
      <c r="F14" s="3226"/>
      <c r="G14" s="3226"/>
      <c r="H14" s="3226"/>
      <c r="I14" s="322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0" t="s">
        <v>949</v>
      </c>
      <c r="B1" s="3240"/>
      <c r="C1" s="3240"/>
      <c r="D1" s="3240"/>
    </row>
    <row r="2" spans="1:4" ht="17.399999999999999">
      <c r="A2" s="3241" t="s">
        <v>933</v>
      </c>
      <c r="B2" s="3241"/>
      <c r="C2" s="3241"/>
      <c r="D2" s="3241"/>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41" t="s">
        <v>939</v>
      </c>
      <c r="B6" s="3241"/>
      <c r="C6" s="3241"/>
      <c r="D6" s="324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2" t="s">
        <v>942</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4" t="str">
        <f>IF(项目基本情况!B8="抵押","4.本次评估估价师所知悉的法定优先受偿款情况说明如下：","——")</f>
        <v>4.本次评估估价师所知悉的法定优先受偿款情况说明如下：</v>
      </c>
      <c r="B14" s="3239"/>
      <c r="C14" s="3239"/>
      <c r="D14" s="3239"/>
    </row>
    <row r="15" spans="1:4" ht="42" customHeight="1">
      <c r="A15" s="32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6" t="s">
        <v>943</v>
      </c>
      <c r="B16" s="3236"/>
      <c r="C16" s="3236"/>
      <c r="D16" s="3236"/>
    </row>
    <row r="17" spans="1:4" ht="144" customHeight="1">
      <c r="A17" s="3236" t="s">
        <v>944</v>
      </c>
      <c r="B17" s="3236"/>
      <c r="C17" s="3236"/>
      <c r="D17" s="3236"/>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7"/>
      <c r="C21" s="3237"/>
      <c r="D21" s="3237"/>
    </row>
    <row r="22" spans="1:4" ht="18.75" customHeight="1">
      <c r="A22" s="3238" t="s">
        <v>945</v>
      </c>
      <c r="B22" s="3238"/>
      <c r="C22" s="3238"/>
      <c r="D22" s="323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5">
        <v>42551</v>
      </c>
      <c r="D31" s="32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8" t="s">
        <v>956</v>
      </c>
      <c r="B15" s="3243" t="s">
        <v>109</v>
      </c>
      <c r="C15" s="3244"/>
    </row>
    <row r="16" spans="1:7" ht="14.4">
      <c r="A16" s="3249"/>
      <c r="B16" s="3243" t="s">
        <v>42</v>
      </c>
      <c r="C16" s="3244"/>
    </row>
    <row r="17" spans="1:3" ht="14.4">
      <c r="A17" s="3249"/>
      <c r="B17" s="3246" t="s">
        <v>957</v>
      </c>
      <c r="C17" s="1429" t="s">
        <v>956</v>
      </c>
    </row>
    <row r="18" spans="1:3" ht="14.4">
      <c r="A18" s="3249"/>
      <c r="B18" s="3246"/>
      <c r="C18" s="1429" t="s">
        <v>958</v>
      </c>
    </row>
    <row r="19" spans="1:3" ht="14.4">
      <c r="A19" s="3249"/>
      <c r="B19" s="3246"/>
      <c r="C19" s="1429" t="s">
        <v>959</v>
      </c>
    </row>
    <row r="20" spans="1:3" ht="14.4">
      <c r="A20" s="3250"/>
      <c r="B20" s="3245" t="s">
        <v>960</v>
      </c>
      <c r="C20" s="3244"/>
    </row>
    <row r="21" spans="1:3" ht="14.4">
      <c r="A21" s="1430" t="s">
        <v>961</v>
      </c>
      <c r="B21" s="1431"/>
      <c r="C21" s="1432"/>
    </row>
    <row r="22" spans="1:3" ht="14.4">
      <c r="A22" s="3247" t="s">
        <v>962</v>
      </c>
      <c r="B22" s="3245" t="s">
        <v>963</v>
      </c>
      <c r="C22" s="3244"/>
    </row>
    <row r="23" spans="1:3" ht="14.4">
      <c r="A23" s="3247"/>
      <c r="B23" s="3245" t="s">
        <v>964</v>
      </c>
      <c r="C23" s="3244"/>
    </row>
    <row r="24" spans="1:3" ht="14.4">
      <c r="A24" s="3247"/>
      <c r="B24" s="3245" t="s">
        <v>965</v>
      </c>
      <c r="C24" s="3244"/>
    </row>
    <row r="25" spans="1:3" ht="14.4">
      <c r="A25" s="3247"/>
      <c r="B25" s="3246" t="s">
        <v>966</v>
      </c>
      <c r="C25" s="1429" t="s">
        <v>967</v>
      </c>
    </row>
    <row r="26" spans="1:3" ht="14.4">
      <c r="A26" s="3247"/>
      <c r="B26" s="3246"/>
      <c r="C26" s="1429" t="s">
        <v>968</v>
      </c>
    </row>
    <row r="27" spans="1:3" ht="14.4">
      <c r="A27" s="3247"/>
      <c r="B27" s="3246"/>
      <c r="C27" s="1429" t="s">
        <v>969</v>
      </c>
    </row>
    <row r="28" spans="1:3" ht="14.4">
      <c r="A28" s="3247"/>
      <c r="B28" s="3246"/>
      <c r="C28" s="1429" t="s">
        <v>970</v>
      </c>
    </row>
    <row r="29" spans="1:3" ht="14.4">
      <c r="A29" s="3247"/>
      <c r="B29" s="3246"/>
      <c r="C29" s="1429" t="s">
        <v>971</v>
      </c>
    </row>
    <row r="30" spans="1:3" ht="14.4">
      <c r="A30" s="3247"/>
      <c r="B30" s="3246"/>
      <c r="C30" s="1429" t="s">
        <v>972</v>
      </c>
    </row>
    <row r="31" spans="1:3" ht="14.4">
      <c r="A31" s="3247"/>
      <c r="B31" s="3246"/>
      <c r="C31" s="1429" t="s">
        <v>973</v>
      </c>
    </row>
    <row r="32" spans="1:3" ht="14.4">
      <c r="A32" s="3247"/>
      <c r="B32" s="3246"/>
      <c r="C32" s="1429" t="s">
        <v>974</v>
      </c>
    </row>
    <row r="33" spans="1:3" ht="14.4">
      <c r="A33" s="3247"/>
      <c r="B33" s="324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45929</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51" t="s">
        <v>2160</v>
      </c>
      <c r="B17" s="3251"/>
      <c r="C17" s="3251"/>
      <c r="D17" s="3251"/>
      <c r="E17" s="3251"/>
      <c r="F17" s="3251"/>
      <c r="G17" s="3251"/>
      <c r="H17" s="3251"/>
    </row>
    <row r="18" spans="1:8" ht="24" customHeight="1">
      <c r="A18" s="3252" t="s">
        <v>2161</v>
      </c>
      <c r="B18" s="3252"/>
      <c r="C18" s="3252"/>
      <c r="D18" s="2159"/>
      <c r="E18" s="3253" t="s">
        <v>2162</v>
      </c>
      <c r="F18" s="3252"/>
      <c r="G18" s="325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选取案例</vt:lpstr>
      <vt:lpstr>Sheet2</vt:lpstr>
      <vt:lpstr>Sheet3</vt:lpstr>
      <vt:lpstr>税率</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2025-09-29T09:14:18Z</dcterms:modified>
</cp:coreProperties>
</file>