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67" r:id="rId21"/>
    <sheet name="成本法 (元)" sheetId="69" state="hidden" r:id="rId22"/>
    <sheet name="假设开发法" sheetId="12" state="hidden" r:id="rId23"/>
    <sheet name="收益法" sheetId="15" state="hidden" r:id="rId24"/>
    <sheet name="基准地价修正" sheetId="43" state="hidden" r:id="rId25"/>
    <sheet name="市调" sheetId="80" r:id="rId26"/>
    <sheet name="中指成交" sheetId="84" r:id="rId27"/>
    <sheet name="Sheet3" sheetId="82" r:id="rId28"/>
    <sheet name="租赁合同" sheetId="83"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E17" i="74" l="1"/>
  <c r="E16" i="74" l="1"/>
  <c r="E15" i="74" l="1"/>
  <c r="D60" i="37" l="1"/>
  <c r="E60" i="37" s="1"/>
  <c r="F60" i="37" s="1"/>
  <c r="G60" i="37" s="1"/>
  <c r="V24" i="1" l="1"/>
  <c r="W24" i="1" s="1"/>
  <c r="E10" i="37" l="1"/>
  <c r="G10" i="37"/>
  <c r="N6" i="1" l="1"/>
  <c r="D5" i="83" l="1"/>
  <c r="G5" i="83"/>
  <c r="I4" i="83"/>
  <c r="H4" i="83" s="1"/>
  <c r="I3" i="83"/>
  <c r="H3" i="83" s="1"/>
  <c r="H5" i="83" l="1"/>
  <c r="D5" i="31"/>
  <c r="C5" i="31"/>
  <c r="D4" i="31"/>
  <c r="E4" i="31"/>
  <c r="F4" i="31"/>
  <c r="G4" i="31"/>
  <c r="C4" i="31"/>
  <c r="G3" i="31"/>
  <c r="D3" i="31"/>
  <c r="E3" i="31"/>
  <c r="F3" i="31"/>
  <c r="C3" i="31"/>
  <c r="C10" i="37"/>
  <c r="I10" i="37" s="1"/>
  <c r="Q18" i="1"/>
  <c r="J49" i="67" l="1"/>
  <c r="F19" i="6"/>
  <c r="T23" i="1" s="1"/>
  <c r="D3" i="4"/>
  <c r="I12" i="79"/>
  <c r="T25" i="1" l="1"/>
  <c r="W23" i="1"/>
  <c r="W25" i="1" s="1"/>
  <c r="V25" i="1" s="1"/>
  <c r="B24" i="31"/>
  <c r="B14" i="74"/>
  <c r="D33" i="43"/>
  <c r="C30" i="37"/>
  <c r="C33" i="37"/>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s="1"/>
  <c r="AD35" i="79"/>
  <c r="C60" i="78"/>
  <c r="D60" i="78" s="1"/>
  <c r="D53" i="78"/>
  <c r="D52" i="78"/>
  <c r="B51" i="78"/>
  <c r="B56" i="78" s="1"/>
  <c r="B55" i="78" l="1"/>
  <c r="D55" i="78" s="1"/>
  <c r="D51" i="78"/>
  <c r="C51" i="78" s="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N31" i="79"/>
  <c r="AR18" i="79"/>
  <c r="AR19" i="79" s="1"/>
  <c r="AR20" i="79" s="1"/>
  <c r="AR21" i="79" s="1"/>
  <c r="AR22" i="79" s="1"/>
  <c r="AR23" i="79" s="1"/>
  <c r="AR24" i="79" s="1"/>
  <c r="S20" i="79"/>
  <c r="AG20" i="79" s="1"/>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Q37" i="71"/>
  <c r="F38" i="71" s="1"/>
  <c r="F39" i="71" s="1"/>
  <c r="P37" i="71"/>
  <c r="O37" i="71"/>
  <c r="C38" i="71" s="1"/>
  <c r="N37" i="71"/>
  <c r="B38" i="71" s="1"/>
  <c r="B39" i="71" s="1"/>
  <c r="D37" i="71"/>
  <c r="Q36" i="71"/>
  <c r="P36" i="71"/>
  <c r="O36" i="71"/>
  <c r="N36" i="71"/>
  <c r="Q35" i="71"/>
  <c r="P35" i="71"/>
  <c r="O35" i="71"/>
  <c r="N35" i="71"/>
  <c r="Q34" i="71"/>
  <c r="P34" i="71"/>
  <c r="O34" i="71"/>
  <c r="N34" i="71"/>
  <c r="Q33" i="71"/>
  <c r="P33" i="71"/>
  <c r="E34" i="71" s="1"/>
  <c r="O33" i="7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C34" i="71"/>
  <c r="D34" i="71" s="1"/>
  <c r="P28" i="71"/>
  <c r="Q28" i="71"/>
  <c r="F28" i="71" s="1"/>
  <c r="D62" i="71"/>
  <c r="T68" i="71"/>
  <c r="O68" i="71"/>
  <c r="D68" i="71"/>
  <c r="C67" i="71"/>
  <c r="D67" i="71" s="1"/>
  <c r="C75" i="71"/>
  <c r="D75" i="71" s="1"/>
  <c r="D7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J18" i="36"/>
  <c r="AC18" i="36" s="1"/>
  <c r="H18" i="35"/>
  <c r="AB18" i="35" s="1"/>
  <c r="J18" i="35"/>
  <c r="AC18" i="35" s="1"/>
  <c r="H21" i="37"/>
  <c r="AB21" i="37" s="1"/>
  <c r="F21" i="37"/>
  <c r="AA21" i="37" s="1"/>
  <c r="H21" i="34"/>
  <c r="AB21" i="34" s="1"/>
  <c r="H21" i="33"/>
  <c r="U21" i="33" s="1"/>
  <c r="F21" i="33"/>
  <c r="H1" i="69"/>
  <c r="AC25" i="40"/>
  <c r="W25" i="40"/>
  <c r="U21" i="34"/>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6" i="31"/>
  <c r="S308" i="31"/>
  <c r="S302" i="31"/>
  <c r="S300" i="31"/>
  <c r="S292" i="31"/>
  <c r="S284" i="31"/>
  <c r="S276" i="31"/>
  <c r="S268" i="31"/>
  <c r="S260" i="31"/>
  <c r="S252" i="31"/>
  <c r="S248" i="31"/>
  <c r="S244" i="31"/>
  <c r="S240" i="31"/>
  <c r="S236" i="31"/>
  <c r="S232" i="31"/>
  <c r="S228" i="31"/>
  <c r="S224" i="31"/>
  <c r="S428" i="31"/>
  <c r="S221" i="31"/>
  <c r="S217" i="31"/>
  <c r="S213" i="31"/>
  <c r="S209" i="31"/>
  <c r="S205" i="31"/>
  <c r="S201" i="31"/>
  <c r="S197" i="31"/>
  <c r="S193" i="31"/>
  <c r="S189" i="31"/>
  <c r="S186" i="31"/>
  <c r="S185" i="31"/>
  <c r="S181" i="31"/>
  <c r="S177" i="31"/>
  <c r="S173" i="31"/>
  <c r="S169" i="31"/>
  <c r="S165" i="31"/>
  <c r="S161" i="31"/>
  <c r="S157" i="31"/>
  <c r="S153" i="31"/>
  <c r="S149" i="31"/>
  <c r="S145" i="31"/>
  <c r="S141" i="31"/>
  <c r="S137" i="31"/>
  <c r="S133" i="31"/>
  <c r="S129" i="31"/>
  <c r="S125" i="31"/>
  <c r="S496" i="31"/>
  <c r="S488" i="31"/>
  <c r="S484" i="31"/>
  <c r="S480" i="31"/>
  <c r="S472" i="31"/>
  <c r="S470" i="31"/>
  <c r="S468" i="31"/>
  <c r="S441" i="31"/>
  <c r="S437" i="31"/>
  <c r="S433" i="31"/>
  <c r="S504" i="31"/>
  <c r="S464" i="31"/>
  <c r="S460" i="31"/>
  <c r="S452" i="31"/>
  <c r="S54" i="31"/>
  <c r="S52" i="31"/>
  <c r="S48" i="31"/>
  <c r="S44" i="31"/>
  <c r="S40" i="31"/>
  <c r="S36" i="31"/>
  <c r="S32" i="31"/>
  <c r="S70"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E5" i="3" s="1"/>
  <c r="BF493" i="3"/>
  <c r="BG493" i="3"/>
  <c r="BH493" i="3"/>
  <c r="BI493" i="3"/>
  <c r="BJ493" i="3"/>
  <c r="BK493" i="3"/>
  <c r="BM493" i="3"/>
  <c r="BN493" i="3"/>
  <c r="BO493" i="3"/>
  <c r="BP493" i="3"/>
  <c r="BL493" i="3" s="1"/>
  <c r="BR493" i="3"/>
  <c r="BS493" i="3"/>
  <c r="BT493" i="3"/>
  <c r="H494" i="3"/>
  <c r="H5" i="3" s="1"/>
  <c r="AC494" i="3"/>
  <c r="BB494" i="3"/>
  <c r="BC494" i="3"/>
  <c r="BD494" i="3"/>
  <c r="BD5" i="3" s="1"/>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L528" i="3" s="1"/>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A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AZ558" i="3" s="1"/>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L564"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F36" i="39" s="1"/>
  <c r="J30" i="36"/>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F42" i="34"/>
  <c r="J38" i="34"/>
  <c r="W38" i="34" s="1"/>
  <c r="D114" i="34"/>
  <c r="F38" i="34"/>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D111" i="33"/>
  <c r="E111" i="33" s="1"/>
  <c r="F111" i="33" s="1"/>
  <c r="G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s="1"/>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H29" i="37" s="1"/>
  <c r="AB29" i="37" s="1"/>
  <c r="B86" i="37"/>
  <c r="B84" i="37"/>
  <c r="H27" i="37" s="1"/>
  <c r="U27" i="37" s="1"/>
  <c r="B82" i="37"/>
  <c r="H26" i="37" s="1"/>
  <c r="D79" i="37"/>
  <c r="E79" i="37" s="1"/>
  <c r="D75" i="37"/>
  <c r="E75" i="37" s="1"/>
  <c r="D73" i="37"/>
  <c r="E73" i="37" s="1"/>
  <c r="F73" i="37" s="1"/>
  <c r="G73" i="37" s="1"/>
  <c r="D71"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F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D70" i="36"/>
  <c r="H22" i="36"/>
  <c r="AB22" i="36" s="1"/>
  <c r="D68" i="36"/>
  <c r="E68" i="36" s="1"/>
  <c r="F68" i="36" s="1"/>
  <c r="G68" i="36" s="1"/>
  <c r="D64" i="36"/>
  <c r="E64" i="36" s="1"/>
  <c r="F64" i="36"/>
  <c r="G64" i="36" s="1"/>
  <c r="J16" i="36"/>
  <c r="W16" i="36" s="1"/>
  <c r="D62" i="36"/>
  <c r="E62" i="36" s="1"/>
  <c r="F62" i="36" s="1"/>
  <c r="G62" i="36" s="1"/>
  <c r="B59" i="36"/>
  <c r="B57" i="36"/>
  <c r="J12" i="36" s="1"/>
  <c r="W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H25" i="35" s="1"/>
  <c r="AB25" i="35" s="1"/>
  <c r="B75" i="35"/>
  <c r="J24" i="35" s="1"/>
  <c r="AC24" i="35" s="1"/>
  <c r="B73" i="35"/>
  <c r="B57" i="35"/>
  <c r="B61" i="35"/>
  <c r="J13" i="35" s="1"/>
  <c r="AC13" i="35" s="1"/>
  <c r="B59" i="35"/>
  <c r="J12" i="35" s="1"/>
  <c r="W12" i="35" s="1"/>
  <c r="B131" i="34"/>
  <c r="H47" i="34" s="1"/>
  <c r="U47" i="34" s="1"/>
  <c r="B129" i="34"/>
  <c r="B127" i="34"/>
  <c r="B99" i="34"/>
  <c r="J32" i="34" s="1"/>
  <c r="W32" i="34" s="1"/>
  <c r="B97" i="34"/>
  <c r="F31" i="34" s="1"/>
  <c r="S31" i="34" s="1"/>
  <c r="B95" i="34"/>
  <c r="B93" i="34"/>
  <c r="F29" i="34" s="1"/>
  <c r="S29" i="34" s="1"/>
  <c r="B75" i="34"/>
  <c r="B73" i="34"/>
  <c r="H13" i="34" s="1"/>
  <c r="U13" i="34" s="1"/>
  <c r="B71" i="34"/>
  <c r="H12" i="34" s="1"/>
  <c r="U12" i="34" s="1"/>
  <c r="B130" i="33"/>
  <c r="B128" i="33"/>
  <c r="F45" i="33" s="1"/>
  <c r="B126" i="33"/>
  <c r="F44" i="33" s="1"/>
  <c r="S44" i="33" s="1"/>
  <c r="B98" i="33"/>
  <c r="B96" i="33"/>
  <c r="F30" i="33" s="1"/>
  <c r="B94" i="33"/>
  <c r="F29" i="33" s="1"/>
  <c r="S29" i="33" s="1"/>
  <c r="B74" i="33"/>
  <c r="H14" i="33" s="1"/>
  <c r="U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J35" i="39"/>
  <c r="AC35" i="39" s="1"/>
  <c r="U9" i="39"/>
  <c r="F103" i="37"/>
  <c r="G103" i="37" s="1"/>
  <c r="H103" i="37" s="1"/>
  <c r="I103" i="37" s="1"/>
  <c r="J103" i="37" s="1"/>
  <c r="K103" i="37" s="1"/>
  <c r="L103" i="37" s="1"/>
  <c r="M103" i="37" s="1"/>
  <c r="F39" i="37"/>
  <c r="S39" i="37" s="1"/>
  <c r="F29" i="36"/>
  <c r="AA29" i="36" s="1"/>
  <c r="F16" i="36"/>
  <c r="AA16" i="36" s="1"/>
  <c r="H22" i="35"/>
  <c r="AB22" i="35" s="1"/>
  <c r="AC27" i="35"/>
  <c r="W22" i="35"/>
  <c r="S31" i="35"/>
  <c r="F36" i="34"/>
  <c r="AA36" i="34" s="1"/>
  <c r="J35" i="34"/>
  <c r="U34" i="34"/>
  <c r="H39" i="33"/>
  <c r="AB39" i="33" s="1"/>
  <c r="F26" i="33"/>
  <c r="U35" i="33"/>
  <c r="S40" i="33"/>
  <c r="W33" i="33"/>
  <c r="W39" i="33"/>
  <c r="F11" i="40"/>
  <c r="AA11" i="40" s="1"/>
  <c r="H11" i="40"/>
  <c r="AB11" i="40" s="1"/>
  <c r="U9" i="40"/>
  <c r="U34" i="40"/>
  <c r="F42" i="39"/>
  <c r="AA42" i="39" s="1"/>
  <c r="F41" i="39"/>
  <c r="H40" i="39"/>
  <c r="AB40" i="39" s="1"/>
  <c r="H39" i="39"/>
  <c r="U39" i="39" s="1"/>
  <c r="H34" i="39"/>
  <c r="U34"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S40" i="21"/>
  <c r="H11" i="39"/>
  <c r="H32" i="33"/>
  <c r="AB32" i="33" s="1"/>
  <c r="H11" i="21"/>
  <c r="U11" i="21" s="1"/>
  <c r="J11" i="21"/>
  <c r="W11" i="21" s="1"/>
  <c r="H37" i="40"/>
  <c r="U37" i="40" s="1"/>
  <c r="H36" i="40"/>
  <c r="AB36" i="40" s="1"/>
  <c r="F35" i="40"/>
  <c r="AA35" i="40" s="1"/>
  <c r="H23" i="40"/>
  <c r="AB23" i="40" s="1"/>
  <c r="H17" i="40"/>
  <c r="U17" i="40" s="1"/>
  <c r="J15" i="40"/>
  <c r="W15" i="40" s="1"/>
  <c r="J11" i="40"/>
  <c r="W32" i="40"/>
  <c r="J30" i="35"/>
  <c r="W30" i="35" s="1"/>
  <c r="H30" i="35"/>
  <c r="AB30" i="35" s="1"/>
  <c r="F22" i="35"/>
  <c r="H10" i="35"/>
  <c r="U10" i="35" s="1"/>
  <c r="H16" i="36"/>
  <c r="AB16" i="36" s="1"/>
  <c r="J29" i="36"/>
  <c r="AC29"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U42" i="34"/>
  <c r="H40" i="34"/>
  <c r="U40" i="34" s="1"/>
  <c r="E114" i="34"/>
  <c r="F114" i="34" s="1"/>
  <c r="G114" i="34" s="1"/>
  <c r="H114" i="34" s="1"/>
  <c r="I114" i="34" s="1"/>
  <c r="J114" i="34" s="1"/>
  <c r="K114" i="34" s="1"/>
  <c r="L114" i="34" s="1"/>
  <c r="M114" i="34" s="1"/>
  <c r="H36" i="34"/>
  <c r="U36" i="34" s="1"/>
  <c r="F37" i="34"/>
  <c r="AA37" i="34" s="1"/>
  <c r="F25" i="34"/>
  <c r="H23" i="34"/>
  <c r="J23" i="34"/>
  <c r="F19" i="34"/>
  <c r="H17" i="34"/>
  <c r="U17" i="34" s="1"/>
  <c r="F15" i="34"/>
  <c r="AA15" i="34" s="1"/>
  <c r="J15" i="34"/>
  <c r="H15" i="34"/>
  <c r="AB15" i="34" s="1"/>
  <c r="F41" i="33"/>
  <c r="S38"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F29" i="35"/>
  <c r="S29" i="35" s="1"/>
  <c r="H29" i="35"/>
  <c r="J43" i="34"/>
  <c r="AB42" i="34"/>
  <c r="J40" i="34"/>
  <c r="H38" i="34"/>
  <c r="AB38" i="34" s="1"/>
  <c r="J36" i="34"/>
  <c r="W36" i="34" s="1"/>
  <c r="H37" i="34"/>
  <c r="U37" i="34" s="1"/>
  <c r="H25" i="34"/>
  <c r="AB25" i="34" s="1"/>
  <c r="J25" i="34"/>
  <c r="AC25" i="34" s="1"/>
  <c r="F23" i="34"/>
  <c r="AA23" i="34" s="1"/>
  <c r="J19" i="34"/>
  <c r="AC19" i="34" s="1"/>
  <c r="F17" i="34"/>
  <c r="AA17" i="34" s="1"/>
  <c r="J17" i="34"/>
  <c r="H37" i="33"/>
  <c r="AB37" i="33" s="1"/>
  <c r="H15" i="33"/>
  <c r="AB15" i="33" s="1"/>
  <c r="H11" i="33"/>
  <c r="AB11" i="33" s="1"/>
  <c r="F28" i="40"/>
  <c r="AA28" i="40" s="1"/>
  <c r="AA29" i="35"/>
  <c r="J37" i="34"/>
  <c r="AC37" i="34" s="1"/>
  <c r="J11" i="33"/>
  <c r="W11" i="33" s="1"/>
  <c r="J42" i="21"/>
  <c r="AC42" i="21" s="1"/>
  <c r="H42" i="21"/>
  <c r="U42" i="21" s="1"/>
  <c r="J44" i="34"/>
  <c r="F44" i="34"/>
  <c r="AA44" i="34" s="1"/>
  <c r="J10" i="35"/>
  <c r="AC10" i="35" s="1"/>
  <c r="H14" i="21"/>
  <c r="U14" i="21" s="1"/>
  <c r="F28" i="21"/>
  <c r="AA28" i="21" s="1"/>
  <c r="F30" i="21"/>
  <c r="S30" i="21" s="1"/>
  <c r="F44" i="21"/>
  <c r="AA44" i="21" s="1"/>
  <c r="F46" i="21"/>
  <c r="AA46"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F27" i="21"/>
  <c r="AA27" i="21" s="1"/>
  <c r="H29" i="21"/>
  <c r="U29" i="21" s="1"/>
  <c r="J31" i="21"/>
  <c r="AC31" i="21" s="1"/>
  <c r="F31" i="21"/>
  <c r="S31" i="21" s="1"/>
  <c r="F45" i="21"/>
  <c r="F27" i="33"/>
  <c r="AA27" i="33" s="1"/>
  <c r="J29" i="33"/>
  <c r="H29" i="33"/>
  <c r="U29" i="33" s="1"/>
  <c r="H45" i="33"/>
  <c r="J45" i="33"/>
  <c r="W45" i="33" s="1"/>
  <c r="AA45" i="33"/>
  <c r="J14" i="34"/>
  <c r="W14" i="34" s="1"/>
  <c r="F14" i="34"/>
  <c r="S14" i="34" s="1"/>
  <c r="H14" i="34"/>
  <c r="H30" i="34"/>
  <c r="U30" i="34" s="1"/>
  <c r="H32" i="34"/>
  <c r="F32" i="34"/>
  <c r="H11" i="35"/>
  <c r="AB11" i="35" s="1"/>
  <c r="J26" i="36"/>
  <c r="H28" i="36"/>
  <c r="U28"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J40" i="37"/>
  <c r="W40" i="37" s="1"/>
  <c r="F40" i="37"/>
  <c r="AA40" i="37" s="1"/>
  <c r="AC12" i="40"/>
  <c r="F14" i="33"/>
  <c r="S14" i="33" s="1"/>
  <c r="J14" i="33"/>
  <c r="H30" i="33"/>
  <c r="AB30" i="33" s="1"/>
  <c r="J30" i="33"/>
  <c r="AC30" i="33" s="1"/>
  <c r="H44" i="33"/>
  <c r="J44" i="33"/>
  <c r="AC44" i="33" s="1"/>
  <c r="J46" i="33"/>
  <c r="AC46" i="33" s="1"/>
  <c r="F46" i="33"/>
  <c r="AA46" i="33" s="1"/>
  <c r="H46" i="33"/>
  <c r="J13" i="34"/>
  <c r="F13" i="34"/>
  <c r="AA13" i="34" s="1"/>
  <c r="J29" i="34"/>
  <c r="H29" i="34"/>
  <c r="AB29" i="34" s="1"/>
  <c r="J31" i="34"/>
  <c r="W31" i="34" s="1"/>
  <c r="H31" i="34"/>
  <c r="H45" i="34"/>
  <c r="U45" i="34" s="1"/>
  <c r="J45" i="34"/>
  <c r="W45" i="34" s="1"/>
  <c r="F45" i="34"/>
  <c r="S45" i="34" s="1"/>
  <c r="F47" i="34"/>
  <c r="S47" i="34" s="1"/>
  <c r="J47" i="34"/>
  <c r="AC47" i="34" s="1"/>
  <c r="F13" i="35"/>
  <c r="H13" i="35"/>
  <c r="U13" i="35" s="1"/>
  <c r="J25" i="35"/>
  <c r="F25" i="35"/>
  <c r="J35" i="35"/>
  <c r="AC35" i="35" s="1"/>
  <c r="F35" i="35"/>
  <c r="AA35" i="35" s="1"/>
  <c r="H35" i="35"/>
  <c r="F25" i="36"/>
  <c r="H25" i="36"/>
  <c r="AB25" i="36" s="1"/>
  <c r="H13" i="37"/>
  <c r="AB13" i="37" s="1"/>
  <c r="F13" i="37"/>
  <c r="S13" i="37" s="1"/>
  <c r="J13" i="37"/>
  <c r="W13" i="37" s="1"/>
  <c r="J28" i="37"/>
  <c r="H38" i="37"/>
  <c r="AB38" i="37" s="1"/>
  <c r="J38" i="37"/>
  <c r="AC38" i="37" s="1"/>
  <c r="F38" i="37"/>
  <c r="S38" i="37" s="1"/>
  <c r="H43" i="39"/>
  <c r="U43" i="39" s="1"/>
  <c r="J14" i="39"/>
  <c r="AC14" i="39" s="1"/>
  <c r="F14" i="39"/>
  <c r="S14" i="39" s="1"/>
  <c r="H14" i="39"/>
  <c r="AB14" i="39" s="1"/>
  <c r="F12" i="40"/>
  <c r="S12" i="40" s="1"/>
  <c r="H12" i="40"/>
  <c r="AB12" i="40" s="1"/>
  <c r="H30" i="40"/>
  <c r="AB30" i="40" s="1"/>
  <c r="F33" i="40"/>
  <c r="AA33" i="40" s="1"/>
  <c r="H33" i="40"/>
  <c r="J35" i="40"/>
  <c r="AC35" i="40" s="1"/>
  <c r="J37" i="40"/>
  <c r="AC37" i="40"/>
  <c r="H13" i="40"/>
  <c r="U13" i="40" s="1"/>
  <c r="F14" i="37"/>
  <c r="S14" i="37" s="1"/>
  <c r="F27" i="37"/>
  <c r="AA27" i="37" s="1"/>
  <c r="F13" i="39"/>
  <c r="H13" i="39"/>
  <c r="H14" i="40"/>
  <c r="J14" i="40"/>
  <c r="W14" i="40" s="1"/>
  <c r="F14" i="40"/>
  <c r="AA14" i="40" s="1"/>
  <c r="J14" i="37"/>
  <c r="J27" i="37"/>
  <c r="AC27" i="37" s="1"/>
  <c r="AA14" i="33"/>
  <c r="J36" i="37"/>
  <c r="AC36" i="37" s="1"/>
  <c r="J10" i="36"/>
  <c r="AC10" i="36" s="1"/>
  <c r="S11" i="36"/>
  <c r="S45" i="33"/>
  <c r="BA585" i="3"/>
  <c r="F17" i="21"/>
  <c r="AA17" i="21" s="1"/>
  <c r="H17" i="21"/>
  <c r="F15" i="21"/>
  <c r="S15" i="21" s="1"/>
  <c r="J41" i="39"/>
  <c r="W41" i="39" s="1"/>
  <c r="W44" i="39"/>
  <c r="S35" i="39"/>
  <c r="G536" i="3"/>
  <c r="G527" i="3"/>
  <c r="G504" i="3"/>
  <c r="G554" i="3"/>
  <c r="BL538" i="3"/>
  <c r="BL578" i="3"/>
  <c r="G533" i="3"/>
  <c r="BL496" i="3"/>
  <c r="BA562" i="3"/>
  <c r="BA542" i="3"/>
  <c r="BA520" i="3"/>
  <c r="BA498" i="3"/>
  <c r="BA569" i="3"/>
  <c r="BA543" i="3"/>
  <c r="BA527" i="3"/>
  <c r="BA507" i="3"/>
  <c r="G583" i="3"/>
  <c r="G575" i="3"/>
  <c r="G567" i="3"/>
  <c r="AC557" i="3"/>
  <c r="G557" i="3" s="1"/>
  <c r="BQ557" i="3"/>
  <c r="BQ583" i="3"/>
  <c r="BQ581" i="3"/>
  <c r="BQ579" i="3"/>
  <c r="BQ577" i="3"/>
  <c r="BQ575" i="3"/>
  <c r="BQ573" i="3"/>
  <c r="BQ571" i="3"/>
  <c r="BQ569" i="3"/>
  <c r="BQ567" i="3"/>
  <c r="BQ565" i="3"/>
  <c r="BQ563" i="3"/>
  <c r="BQ561" i="3"/>
  <c r="BQ559" i="3"/>
  <c r="G545" i="3"/>
  <c r="G537" i="3"/>
  <c r="BQ555" i="3"/>
  <c r="BQ553" i="3"/>
  <c r="BL553" i="3" s="1"/>
  <c r="BQ551" i="3"/>
  <c r="BQ549" i="3"/>
  <c r="BQ547" i="3"/>
  <c r="BQ545" i="3"/>
  <c r="BL545" i="3" s="1"/>
  <c r="BQ543" i="3"/>
  <c r="BQ541" i="3"/>
  <c r="BQ539" i="3"/>
  <c r="BQ537" i="3"/>
  <c r="BL537" i="3" s="1"/>
  <c r="BQ535" i="3"/>
  <c r="BQ533" i="3"/>
  <c r="BQ531" i="3"/>
  <c r="BQ529" i="3"/>
  <c r="BL529" i="3" s="1"/>
  <c r="BQ527" i="3"/>
  <c r="BQ525" i="3"/>
  <c r="BQ523" i="3"/>
  <c r="BA521" i="3"/>
  <c r="AC521" i="3"/>
  <c r="BQ521" i="3"/>
  <c r="G515" i="3"/>
  <c r="BQ519" i="3"/>
  <c r="BQ517" i="3"/>
  <c r="BQ515" i="3"/>
  <c r="BQ513" i="3"/>
  <c r="BQ511" i="3"/>
  <c r="AC509" i="3"/>
  <c r="BQ509" i="3"/>
  <c r="G507" i="3"/>
  <c r="G499" i="3"/>
  <c r="BQ507" i="3"/>
  <c r="BQ505" i="3"/>
  <c r="BQ503" i="3"/>
  <c r="BL503" i="3" s="1"/>
  <c r="BQ501" i="3"/>
  <c r="BQ499" i="3"/>
  <c r="BQ497" i="3"/>
  <c r="BL497" i="3"/>
  <c r="BQ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F42" i="33"/>
  <c r="AA42" i="33" s="1"/>
  <c r="H28" i="34"/>
  <c r="AB28" i="34" s="1"/>
  <c r="F14" i="36"/>
  <c r="F22" i="36"/>
  <c r="S22" i="36" s="1"/>
  <c r="F26" i="36"/>
  <c r="S26" i="36" s="1"/>
  <c r="H27" i="34"/>
  <c r="AB27" i="34" s="1"/>
  <c r="H35" i="34"/>
  <c r="F41" i="34"/>
  <c r="H41" i="34"/>
  <c r="U41" i="34" s="1"/>
  <c r="J41" i="34"/>
  <c r="AC41" i="34" s="1"/>
  <c r="F10" i="35"/>
  <c r="S10" i="35" s="1"/>
  <c r="F24" i="35"/>
  <c r="AA24" i="35" s="1"/>
  <c r="H24" i="35"/>
  <c r="AB24" i="35" s="1"/>
  <c r="H23" i="37"/>
  <c r="AB23" i="37" s="1"/>
  <c r="J32" i="37"/>
  <c r="AC32" i="37" s="1"/>
  <c r="F36" i="37"/>
  <c r="AA36" i="37" s="1"/>
  <c r="F37" i="37"/>
  <c r="F31" i="40"/>
  <c r="AA31" i="40" s="1"/>
  <c r="H31" i="40"/>
  <c r="AB31" i="40" s="1"/>
  <c r="F32" i="40"/>
  <c r="S32" i="40" s="1"/>
  <c r="H32" i="40"/>
  <c r="AB32" i="40" s="1"/>
  <c r="J36" i="40"/>
  <c r="W36" i="40"/>
  <c r="H42" i="33"/>
  <c r="AB42" i="33" s="1"/>
  <c r="J43" i="33"/>
  <c r="W44" i="33"/>
  <c r="U11" i="33"/>
  <c r="U19" i="21"/>
  <c r="F43" i="33"/>
  <c r="AA43" i="33" s="1"/>
  <c r="W15" i="34"/>
  <c r="AC15" i="34"/>
  <c r="W16" i="35"/>
  <c r="H37" i="21"/>
  <c r="U37" i="21" s="1"/>
  <c r="H19" i="34"/>
  <c r="F36" i="35"/>
  <c r="S36" i="35" s="1"/>
  <c r="J9" i="37"/>
  <c r="W9" i="37" s="1"/>
  <c r="H9" i="37"/>
  <c r="U9" i="37" s="1"/>
  <c r="F9" i="37"/>
  <c r="S9" i="37" s="1"/>
  <c r="E71" i="37"/>
  <c r="F71" i="37" s="1"/>
  <c r="G71" i="37" s="1"/>
  <c r="E94" i="37"/>
  <c r="F94" i="37" s="1"/>
  <c r="G94" i="37" s="1"/>
  <c r="H94" i="37" s="1"/>
  <c r="I94" i="37" s="1"/>
  <c r="J94" i="37" s="1"/>
  <c r="K94" i="37" s="1"/>
  <c r="L94" i="37" s="1"/>
  <c r="M94" i="37" s="1"/>
  <c r="F31" i="37"/>
  <c r="S31" i="37" s="1"/>
  <c r="F12" i="39"/>
  <c r="S12" i="39" s="1"/>
  <c r="J42" i="39"/>
  <c r="AC42" i="39" s="1"/>
  <c r="H21" i="40"/>
  <c r="AB21" i="40" s="1"/>
  <c r="H31" i="37"/>
  <c r="U31" i="37" s="1"/>
  <c r="AT6" i="3"/>
  <c r="AA25" i="21"/>
  <c r="H19" i="40"/>
  <c r="F19" i="40"/>
  <c r="S19" i="40" s="1"/>
  <c r="W23" i="39"/>
  <c r="U45" i="39"/>
  <c r="AB45" i="39"/>
  <c r="AB44" i="39"/>
  <c r="U44" i="39"/>
  <c r="H37" i="39"/>
  <c r="U37" i="39" s="1"/>
  <c r="H25" i="39"/>
  <c r="AB25" i="39" s="1"/>
  <c r="J25" i="39"/>
  <c r="AC25" i="39" s="1"/>
  <c r="F25" i="39"/>
  <c r="AA25" i="39" s="1"/>
  <c r="F15" i="39"/>
  <c r="H15" i="39"/>
  <c r="U15" i="39" s="1"/>
  <c r="J15" i="39"/>
  <c r="W15" i="39" s="1"/>
  <c r="H41" i="39"/>
  <c r="AB41" i="39" s="1"/>
  <c r="W27" i="39"/>
  <c r="AB34" i="39"/>
  <c r="U40" i="39"/>
  <c r="S42" i="39"/>
  <c r="W9" i="39"/>
  <c r="W8" i="39"/>
  <c r="J19" i="40"/>
  <c r="AC19" i="40" s="1"/>
  <c r="J50" i="40"/>
  <c r="H103" i="9"/>
  <c r="D8" i="53" s="1"/>
  <c r="B16" i="53"/>
  <c r="B33" i="72" s="1"/>
  <c r="C7" i="37"/>
  <c r="C7" i="34"/>
  <c r="C7" i="36"/>
  <c r="C46" i="36" s="1"/>
  <c r="D46" i="36" s="1"/>
  <c r="E46" i="36" s="1"/>
  <c r="F46" i="36" s="1"/>
  <c r="G46" i="36" s="1"/>
  <c r="H46" i="36" s="1"/>
  <c r="I46" i="36" s="1"/>
  <c r="J11" i="39"/>
  <c r="F11" i="39"/>
  <c r="S11" i="39" s="1"/>
  <c r="G4" i="4"/>
  <c r="I4" i="4"/>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G393" i="3"/>
  <c r="BH5" i="3"/>
  <c r="BK5" i="3"/>
  <c r="G17" i="3"/>
  <c r="BA17" i="3"/>
  <c r="BA15" i="3"/>
  <c r="G509" i="3"/>
  <c r="U36" i="40"/>
  <c r="F83" i="43"/>
  <c r="H85" i="43" s="1"/>
  <c r="G85" i="43" s="1"/>
  <c r="F50" i="43"/>
  <c r="H54" i="43" s="1"/>
  <c r="F72" i="43"/>
  <c r="H75" i="43" s="1"/>
  <c r="U17" i="39"/>
  <c r="S14" i="35"/>
  <c r="U43" i="21"/>
  <c r="U35" i="21"/>
  <c r="W37" i="37"/>
  <c r="W44" i="34"/>
  <c r="AC44" i="34"/>
  <c r="U12" i="40"/>
  <c r="J37" i="33"/>
  <c r="AC37" i="33" s="1"/>
  <c r="J34" i="33"/>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F23" i="39"/>
  <c r="AA23" i="39" s="1"/>
  <c r="H27" i="36"/>
  <c r="U27" i="36" s="1"/>
  <c r="F27" i="36"/>
  <c r="AA27" i="36" s="1"/>
  <c r="H33" i="34"/>
  <c r="F32" i="37"/>
  <c r="AA32" i="37" s="1"/>
  <c r="F20" i="36"/>
  <c r="J33" i="34"/>
  <c r="AC33" i="34" s="1"/>
  <c r="H23" i="39"/>
  <c r="U23" i="39" s="1"/>
  <c r="D48" i="9"/>
  <c r="M52" i="9" s="1"/>
  <c r="K9" i="1"/>
  <c r="M9" i="1" s="1"/>
  <c r="D93" i="9"/>
  <c r="W27" i="34"/>
  <c r="AC27" i="34"/>
  <c r="W12" i="33"/>
  <c r="AA32" i="36"/>
  <c r="S32" i="36"/>
  <c r="BL14" i="3"/>
  <c r="U30" i="33"/>
  <c r="AA47" i="34"/>
  <c r="S19" i="39"/>
  <c r="F12" i="33"/>
  <c r="S12" i="33" s="1"/>
  <c r="H12" i="39"/>
  <c r="AB12" i="39" s="1"/>
  <c r="F39" i="40"/>
  <c r="BA14" i="3"/>
  <c r="B12" i="1"/>
  <c r="E12" i="1" s="1"/>
  <c r="B10" i="1"/>
  <c r="E10" i="1" s="1"/>
  <c r="K12" i="1"/>
  <c r="M12" i="1" s="1"/>
  <c r="S13" i="1"/>
  <c r="AR13" i="1" s="1"/>
  <c r="R13" i="1"/>
  <c r="J51" i="67"/>
  <c r="C42" i="1"/>
  <c r="C24" i="12" s="1"/>
  <c r="AB37" i="40"/>
  <c r="S35" i="40"/>
  <c r="AC36" i="40"/>
  <c r="AA32" i="40"/>
  <c r="S17" i="40"/>
  <c r="S23" i="40"/>
  <c r="AC17" i="40"/>
  <c r="AC15" i="40"/>
  <c r="S28" i="40"/>
  <c r="AA27" i="40"/>
  <c r="U35" i="39"/>
  <c r="F32" i="39"/>
  <c r="AA32" i="39" s="1"/>
  <c r="F106" i="39"/>
  <c r="G106" i="39" s="1"/>
  <c r="H106" i="39" s="1"/>
  <c r="I106" i="39" s="1"/>
  <c r="J106" i="39" s="1"/>
  <c r="K106" i="39" s="1"/>
  <c r="L106" i="39" s="1"/>
  <c r="M106" i="39" s="1"/>
  <c r="AB27" i="39"/>
  <c r="J21" i="39"/>
  <c r="W21" i="39" s="1"/>
  <c r="F21" i="39"/>
  <c r="S21" i="39" s="1"/>
  <c r="H21" i="39"/>
  <c r="W19" i="39"/>
  <c r="U19" i="39"/>
  <c r="S17" i="39"/>
  <c r="S9" i="39"/>
  <c r="U14" i="39"/>
  <c r="AC13" i="39"/>
  <c r="U26" i="36"/>
  <c r="AA22" i="36"/>
  <c r="W14" i="36"/>
  <c r="AB14" i="36"/>
  <c r="U22" i="36"/>
  <c r="S16" i="36"/>
  <c r="U16" i="36"/>
  <c r="S23" i="35"/>
  <c r="W24" i="35"/>
  <c r="AB13" i="35"/>
  <c r="U28" i="35"/>
  <c r="AB27" i="35"/>
  <c r="U36" i="35"/>
  <c r="U32" i="35"/>
  <c r="AA33" i="35"/>
  <c r="AC30" i="35"/>
  <c r="S32" i="35"/>
  <c r="AA36" i="35"/>
  <c r="S28" i="35"/>
  <c r="AB16" i="35"/>
  <c r="AC20" i="35"/>
  <c r="U14" i="35"/>
  <c r="AC9" i="35"/>
  <c r="W9" i="35"/>
  <c r="AC12" i="35"/>
  <c r="W13" i="35"/>
  <c r="F9" i="35"/>
  <c r="S9" i="35" s="1"/>
  <c r="H9" i="35"/>
  <c r="U9" i="35" s="1"/>
  <c r="W27" i="37"/>
  <c r="J17" i="37"/>
  <c r="W17" i="37" s="1"/>
  <c r="F17" i="37"/>
  <c r="AA17" i="37" s="1"/>
  <c r="F75" i="37"/>
  <c r="G75" i="37" s="1"/>
  <c r="F79" i="37"/>
  <c r="G79" i="37" s="1"/>
  <c r="F23" i="37"/>
  <c r="S23" i="37" s="1"/>
  <c r="AC13" i="37"/>
  <c r="AA13" i="37"/>
  <c r="H10" i="37"/>
  <c r="AB10" i="37" s="1"/>
  <c r="F63" i="37"/>
  <c r="G63" i="37" s="1"/>
  <c r="H63" i="37" s="1"/>
  <c r="I63" i="37" s="1"/>
  <c r="J63" i="37" s="1"/>
  <c r="K63" i="37" s="1"/>
  <c r="L63" i="37" s="1"/>
  <c r="M63" i="37" s="1"/>
  <c r="F11" i="37"/>
  <c r="S11" i="37" s="1"/>
  <c r="W25" i="34"/>
  <c r="AB8" i="34"/>
  <c r="AA33" i="34"/>
  <c r="U43" i="34"/>
  <c r="W41" i="34"/>
  <c r="U39" i="34"/>
  <c r="AB41" i="34"/>
  <c r="AA45"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F36" i="33"/>
  <c r="AA36" i="33" s="1"/>
  <c r="G108" i="33"/>
  <c r="H108" i="33" s="1"/>
  <c r="I108" i="33" s="1"/>
  <c r="J108" i="33" s="1"/>
  <c r="K108" i="33" s="1"/>
  <c r="L108" i="33" s="1"/>
  <c r="M108" i="33" s="1"/>
  <c r="J35" i="33"/>
  <c r="W35" i="33" s="1"/>
  <c r="S37" i="33"/>
  <c r="AA37" i="33"/>
  <c r="J32" i="33"/>
  <c r="S46" i="33"/>
  <c r="F91" i="33"/>
  <c r="G91" i="33" s="1"/>
  <c r="H91" i="33" s="1"/>
  <c r="I91" i="33" s="1"/>
  <c r="J91" i="33" s="1"/>
  <c r="K91" i="33" s="1"/>
  <c r="L91" i="33" s="1"/>
  <c r="M91" i="33" s="1"/>
  <c r="H27" i="33"/>
  <c r="F87" i="33"/>
  <c r="G87" i="33" s="1"/>
  <c r="H25" i="33"/>
  <c r="U25" i="33" s="1"/>
  <c r="F25" i="33"/>
  <c r="S25" i="33" s="1"/>
  <c r="J23" i="33"/>
  <c r="AC23" i="33" s="1"/>
  <c r="F85" i="33"/>
  <c r="G85" i="33" s="1"/>
  <c r="H23" i="33"/>
  <c r="AB23" i="33" s="1"/>
  <c r="F81" i="33"/>
  <c r="G81" i="33" s="1"/>
  <c r="F19" i="33"/>
  <c r="W19" i="33"/>
  <c r="J17" i="33"/>
  <c r="AC17" i="33" s="1"/>
  <c r="S15" i="33"/>
  <c r="W15" i="33"/>
  <c r="J10" i="33"/>
  <c r="W10" i="33" s="1"/>
  <c r="H10" i="33"/>
  <c r="U10" i="33" s="1"/>
  <c r="AC11" i="33"/>
  <c r="AB14" i="33"/>
  <c r="W36" i="21"/>
  <c r="W41" i="21"/>
  <c r="AB39" i="21"/>
  <c r="AA43" i="21"/>
  <c r="S39" i="21"/>
  <c r="AA38" i="21"/>
  <c r="AA36" i="21"/>
  <c r="AC40" i="21"/>
  <c r="J15" i="21"/>
  <c r="AC15" i="21" s="1"/>
  <c r="F77" i="21"/>
  <c r="G77" i="21" s="1"/>
  <c r="F23" i="21"/>
  <c r="AA23" i="21" s="1"/>
  <c r="E85" i="21"/>
  <c r="F85" i="21" s="1"/>
  <c r="G85" i="21" s="1"/>
  <c r="D120" i="9"/>
  <c r="C18" i="9"/>
  <c r="D18" i="9" s="1"/>
  <c r="F34" i="67"/>
  <c r="F62" i="67" s="1"/>
  <c r="M20" i="67"/>
  <c r="F34" i="15"/>
  <c r="F62" i="15" s="1"/>
  <c r="G13" i="3"/>
  <c r="BL17" i="3"/>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S37" i="40"/>
  <c r="AB28" i="40"/>
  <c r="W28" i="40"/>
  <c r="W34" i="40"/>
  <c r="W19" i="40"/>
  <c r="W27" i="40"/>
  <c r="S36" i="40"/>
  <c r="W37" i="40"/>
  <c r="AC14" i="40"/>
  <c r="S33" i="40"/>
  <c r="AA15" i="40"/>
  <c r="U11" i="40"/>
  <c r="S31" i="40"/>
  <c r="AB13" i="40"/>
  <c r="U15" i="40"/>
  <c r="AB17" i="40"/>
  <c r="U8" i="40"/>
  <c r="S8" i="40"/>
  <c r="AC41" i="39"/>
  <c r="U42" i="39"/>
  <c r="U13" i="39"/>
  <c r="AB13" i="39"/>
  <c r="AA13" i="39"/>
  <c r="S13" i="39"/>
  <c r="AB43" i="39"/>
  <c r="AB11" i="39"/>
  <c r="U11" i="39"/>
  <c r="AA27" i="39"/>
  <c r="S27" i="39"/>
  <c r="AC17" i="39"/>
  <c r="W34" i="39"/>
  <c r="U38" i="39"/>
  <c r="S8" i="39"/>
  <c r="AC25" i="36"/>
  <c r="W29" i="36"/>
  <c r="U25" i="36"/>
  <c r="AB28" i="36"/>
  <c r="AA13" i="36"/>
  <c r="W22" i="36"/>
  <c r="AB20" i="35"/>
  <c r="U25" i="35"/>
  <c r="S24" i="35"/>
  <c r="S35" i="35"/>
  <c r="W35" i="35"/>
  <c r="AA16" i="35"/>
  <c r="S27" i="37"/>
  <c r="S40" i="37"/>
  <c r="AA40" i="34"/>
  <c r="AB40" i="34"/>
  <c r="W19" i="34"/>
  <c r="AC45" i="34"/>
  <c r="AA31" i="34"/>
  <c r="AB45" i="34"/>
  <c r="AB47" i="34"/>
  <c r="U25" i="34"/>
  <c r="AB36" i="34"/>
  <c r="AC14" i="34"/>
  <c r="AC32" i="34"/>
  <c r="AC29" i="34"/>
  <c r="W29" i="34"/>
  <c r="S32" i="34"/>
  <c r="AA32" i="34"/>
  <c r="S37" i="34"/>
  <c r="U38" i="34"/>
  <c r="AC40" i="34"/>
  <c r="W40" i="34"/>
  <c r="AA19" i="34"/>
  <c r="S19" i="34"/>
  <c r="AA8" i="34"/>
  <c r="S8" i="34"/>
  <c r="U32" i="34"/>
  <c r="AB32" i="34"/>
  <c r="U14" i="34"/>
  <c r="AB14" i="34"/>
  <c r="AC43" i="34"/>
  <c r="W43" i="34"/>
  <c r="W23" i="34"/>
  <c r="AC23" i="34"/>
  <c r="AC35" i="34"/>
  <c r="W35" i="34"/>
  <c r="AB28" i="33"/>
  <c r="W46" i="33"/>
  <c r="U39" i="33"/>
  <c r="U38" i="33"/>
  <c r="S33" i="33"/>
  <c r="AB34" i="33"/>
  <c r="U44" i="33"/>
  <c r="AB44" i="33"/>
  <c r="S30" i="33"/>
  <c r="AA30" i="33"/>
  <c r="AC14" i="33"/>
  <c r="W14" i="33"/>
  <c r="W30" i="33"/>
  <c r="U15" i="33"/>
  <c r="S11" i="33"/>
  <c r="U37" i="33"/>
  <c r="AC28" i="33"/>
  <c r="S28" i="33"/>
  <c r="W8" i="33"/>
  <c r="AB42" i="21"/>
  <c r="I101" i="21"/>
  <c r="J101" i="21" s="1"/>
  <c r="K101" i="21" s="1"/>
  <c r="L101" i="21" s="1"/>
  <c r="M101" i="21" s="1"/>
  <c r="F33" i="21"/>
  <c r="AA33" i="21" s="1"/>
  <c r="J33" i="21"/>
  <c r="AC33" i="21" s="1"/>
  <c r="H33" i="21"/>
  <c r="AB33" i="21" s="1"/>
  <c r="F37" i="21"/>
  <c r="AA26" i="21"/>
  <c r="AB14" i="21"/>
  <c r="U40" i="21"/>
  <c r="AB31" i="21"/>
  <c r="U31" i="21"/>
  <c r="U13" i="21"/>
  <c r="AB13" i="21"/>
  <c r="S35" i="21"/>
  <c r="J37" i="21"/>
  <c r="W37" i="21" s="1"/>
  <c r="H15" i="21"/>
  <c r="U15" i="21" s="1"/>
  <c r="J17" i="21"/>
  <c r="AC19" i="21"/>
  <c r="W39" i="21"/>
  <c r="S46" i="21"/>
  <c r="H45" i="21"/>
  <c r="F29" i="21"/>
  <c r="AA29" i="21" s="1"/>
  <c r="F13" i="21"/>
  <c r="AC38" i="21"/>
  <c r="H32" i="21"/>
  <c r="U32" i="21" s="1"/>
  <c r="H9" i="21"/>
  <c r="U9" i="21" s="1"/>
  <c r="J9" i="21"/>
  <c r="J32" i="21"/>
  <c r="W32" i="21" s="1"/>
  <c r="F32" i="21"/>
  <c r="S32" i="21" s="1"/>
  <c r="AA31" i="21"/>
  <c r="W29" i="21"/>
  <c r="S19" i="21"/>
  <c r="S9" i="21"/>
  <c r="AA9" i="21"/>
  <c r="K141" i="21"/>
  <c r="K144" i="21"/>
  <c r="K143" i="21"/>
  <c r="AA30"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12" i="33"/>
  <c r="J32" i="39"/>
  <c r="W32" i="39" s="1"/>
  <c r="H32" i="39"/>
  <c r="S32" i="39"/>
  <c r="AB21" i="39"/>
  <c r="U21" i="39"/>
  <c r="J23" i="37"/>
  <c r="W23" i="37" s="1"/>
  <c r="J10" i="37"/>
  <c r="W10" i="37" s="1"/>
  <c r="H11" i="37"/>
  <c r="AB11" i="37" s="1"/>
  <c r="H11" i="34"/>
  <c r="U11" i="34" s="1"/>
  <c r="J10" i="34"/>
  <c r="AC10" i="34" s="1"/>
  <c r="H111" i="33"/>
  <c r="I111" i="33" s="1"/>
  <c r="J111" i="33" s="1"/>
  <c r="K111" i="33" s="1"/>
  <c r="L111" i="33" s="1"/>
  <c r="M111" i="33" s="1"/>
  <c r="J36" i="33"/>
  <c r="W36" i="33" s="1"/>
  <c r="H36" i="33"/>
  <c r="U27" i="33"/>
  <c r="AB27" i="33"/>
  <c r="J27" i="33"/>
  <c r="AC27" i="33" s="1"/>
  <c r="H87" i="33"/>
  <c r="I87" i="33" s="1"/>
  <c r="J87" i="33" s="1"/>
  <c r="K87" i="33" s="1"/>
  <c r="L87" i="33" s="1"/>
  <c r="M87" i="33" s="1"/>
  <c r="J25" i="33"/>
  <c r="AC25" i="33" s="1"/>
  <c r="F23" i="33"/>
  <c r="H19" i="33"/>
  <c r="AB19" i="33" s="1"/>
  <c r="H17" i="33"/>
  <c r="U17" i="33" s="1"/>
  <c r="F17" i="33"/>
  <c r="S17" i="33" s="1"/>
  <c r="W17" i="33"/>
  <c r="J23" i="21"/>
  <c r="AC23" i="21" s="1"/>
  <c r="H23" i="21"/>
  <c r="AB23" i="21" s="1"/>
  <c r="AP7" i="1"/>
  <c r="J11" i="37"/>
  <c r="AC11" i="37" s="1"/>
  <c r="J11" i="34"/>
  <c r="W11" i="34" s="1"/>
  <c r="U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L47" i="67"/>
  <c r="E11" i="76"/>
  <c r="F5" i="73"/>
  <c r="F36" i="67"/>
  <c r="D6" i="73"/>
  <c r="B7" i="76"/>
  <c r="E7" i="76"/>
  <c r="F9" i="67"/>
  <c r="E12" i="76"/>
  <c r="F3" i="73"/>
  <c r="M23" i="67"/>
  <c r="M26" i="67"/>
  <c r="F13" i="67"/>
  <c r="B10" i="76"/>
  <c r="F6" i="67"/>
  <c r="L48" i="15"/>
  <c r="M8" i="67"/>
  <c r="F6" i="73"/>
  <c r="E2" i="68"/>
  <c r="B13" i="76"/>
  <c r="M29" i="67"/>
  <c r="F38" i="67"/>
  <c r="B11" i="76"/>
  <c r="E2" i="69"/>
  <c r="B8" i="76"/>
  <c r="AO13" i="1"/>
  <c r="L48" i="67"/>
  <c r="C76" i="67"/>
  <c r="M24" i="67"/>
  <c r="F37" i="67"/>
  <c r="F8" i="67"/>
  <c r="M28" i="67"/>
  <c r="F26" i="67"/>
  <c r="F43" i="67"/>
  <c r="M6" i="67"/>
  <c r="E9" i="76"/>
  <c r="B9" i="76"/>
  <c r="J15" i="67"/>
  <c r="F42" i="67"/>
  <c r="F20" i="31"/>
  <c r="F7" i="73"/>
  <c r="E10" i="76"/>
  <c r="M9" i="67"/>
  <c r="F4" i="73"/>
  <c r="E8" i="76"/>
  <c r="F16" i="67"/>
  <c r="B12" i="76"/>
  <c r="AZ510" i="3" l="1"/>
  <c r="AC43" i="33"/>
  <c r="W43" i="33"/>
  <c r="AC28" i="36"/>
  <c r="W28" i="36"/>
  <c r="F12" i="37"/>
  <c r="S12" i="37" s="1"/>
  <c r="J12" i="37"/>
  <c r="W12" i="37" s="1"/>
  <c r="H15" i="37"/>
  <c r="F15" i="37"/>
  <c r="AA15" i="37" s="1"/>
  <c r="AC38" i="40"/>
  <c r="W38" i="40"/>
  <c r="BA581" i="3"/>
  <c r="BA572" i="3"/>
  <c r="BL568" i="3"/>
  <c r="BA567" i="3"/>
  <c r="BA566" i="3"/>
  <c r="BA565" i="3"/>
  <c r="BA564" i="3"/>
  <c r="BA559" i="3"/>
  <c r="BA557" i="3"/>
  <c r="BA553" i="3"/>
  <c r="BA544" i="3"/>
  <c r="BA537" i="3"/>
  <c r="BA534" i="3"/>
  <c r="BL524" i="3"/>
  <c r="BL522" i="3"/>
  <c r="BL504" i="3"/>
  <c r="BG5" i="3"/>
  <c r="BA493" i="3"/>
  <c r="AZ493" i="3" s="1"/>
  <c r="BC5" i="3"/>
  <c r="F13" i="33"/>
  <c r="J13" i="33"/>
  <c r="F30" i="34"/>
  <c r="J30" i="34"/>
  <c r="H46" i="34"/>
  <c r="J46" i="34"/>
  <c r="J11" i="35"/>
  <c r="W11" i="35" s="1"/>
  <c r="F11" i="35"/>
  <c r="W42" i="34"/>
  <c r="AC42" i="34"/>
  <c r="BA580" i="3"/>
  <c r="BA575" i="3"/>
  <c r="BL562" i="3"/>
  <c r="BL560" i="3"/>
  <c r="BA552" i="3"/>
  <c r="BL546" i="3"/>
  <c r="BL532" i="3"/>
  <c r="BL530" i="3"/>
  <c r="AZ530" i="3" s="1"/>
  <c r="BA512" i="3"/>
  <c r="BA508" i="3"/>
  <c r="BA506" i="3"/>
  <c r="BL505" i="3"/>
  <c r="BA501" i="3"/>
  <c r="BA500" i="3"/>
  <c r="BL494" i="3"/>
  <c r="J19" i="37"/>
  <c r="W19" i="37" s="1"/>
  <c r="S44" i="21"/>
  <c r="S36" i="34"/>
  <c r="AB30" i="34"/>
  <c r="AB39" i="39"/>
  <c r="AA14" i="39"/>
  <c r="U32" i="40"/>
  <c r="S42" i="33"/>
  <c r="AC12" i="36"/>
  <c r="U19" i="40"/>
  <c r="AB19" i="40"/>
  <c r="J15" i="37"/>
  <c r="H12" i="37"/>
  <c r="AB12" i="37" s="1"/>
  <c r="BL517" i="3"/>
  <c r="BL563" i="3"/>
  <c r="BL571" i="3"/>
  <c r="BL579" i="3"/>
  <c r="AB14" i="40"/>
  <c r="U14" i="40"/>
  <c r="W13" i="34"/>
  <c r="AC13" i="34"/>
  <c r="F46" i="34"/>
  <c r="W17" i="34"/>
  <c r="AC17" i="34"/>
  <c r="AB29" i="35"/>
  <c r="U29" i="35"/>
  <c r="S25" i="34"/>
  <c r="AA25" i="34"/>
  <c r="F14" i="21"/>
  <c r="J14" i="21"/>
  <c r="H30" i="21"/>
  <c r="U30" i="21" s="1"/>
  <c r="J30" i="21"/>
  <c r="J46" i="21"/>
  <c r="H46" i="21"/>
  <c r="AB31" i="35"/>
  <c r="BL534" i="3"/>
  <c r="BA533" i="3"/>
  <c r="BA532" i="3"/>
  <c r="BA525" i="3"/>
  <c r="BA524" i="3"/>
  <c r="BA522" i="3"/>
  <c r="AZ522" i="3" s="1"/>
  <c r="BL520" i="3"/>
  <c r="AZ520" i="3" s="1"/>
  <c r="BA519" i="3"/>
  <c r="BA518" i="3"/>
  <c r="BA516" i="3"/>
  <c r="BL514" i="3"/>
  <c r="BL512" i="3"/>
  <c r="BA511" i="3"/>
  <c r="BL508" i="3"/>
  <c r="BL506" i="3"/>
  <c r="BA505" i="3"/>
  <c r="BA502" i="3"/>
  <c r="BL500" i="3"/>
  <c r="BL498" i="3"/>
  <c r="BA497" i="3"/>
  <c r="BA496" i="3"/>
  <c r="AZ496" i="3" s="1"/>
  <c r="BO5" i="3"/>
  <c r="BF5" i="3"/>
  <c r="BB5" i="3"/>
  <c r="BN5" i="3"/>
  <c r="AA20" i="35"/>
  <c r="S20" i="35"/>
  <c r="AA37" i="37"/>
  <c r="S37" i="37"/>
  <c r="F31" i="33"/>
  <c r="H31" i="33"/>
  <c r="AA33" i="36"/>
  <c r="S33" i="36"/>
  <c r="S38" i="34"/>
  <c r="AA38" i="34"/>
  <c r="AB12" i="34"/>
  <c r="U22" i="35"/>
  <c r="BL499" i="3"/>
  <c r="BL521" i="3"/>
  <c r="AZ521" i="3" s="1"/>
  <c r="BL525" i="3"/>
  <c r="BL533" i="3"/>
  <c r="BL541" i="3"/>
  <c r="BL549" i="3"/>
  <c r="AZ549" i="3" s="1"/>
  <c r="U33" i="40"/>
  <c r="AB33" i="40"/>
  <c r="AC28" i="37"/>
  <c r="W28" i="37"/>
  <c r="H13" i="33"/>
  <c r="U13" i="33" s="1"/>
  <c r="S41" i="39"/>
  <c r="AA41" i="39"/>
  <c r="J9" i="33"/>
  <c r="H9" i="33"/>
  <c r="AB24" i="36"/>
  <c r="U24" i="36"/>
  <c r="AC24" i="36"/>
  <c r="W24" i="36"/>
  <c r="H34" i="36"/>
  <c r="J34" i="36"/>
  <c r="W34" i="36" s="1"/>
  <c r="F34" i="36"/>
  <c r="H28" i="37"/>
  <c r="F28" i="37"/>
  <c r="F13" i="40"/>
  <c r="J13" i="40"/>
  <c r="W13" i="40" s="1"/>
  <c r="F38" i="40"/>
  <c r="H38" i="40"/>
  <c r="S36" i="39"/>
  <c r="AA36" i="39"/>
  <c r="BL580" i="3"/>
  <c r="BA577" i="3"/>
  <c r="BA576" i="3"/>
  <c r="AZ576" i="3" s="1"/>
  <c r="BL574" i="3"/>
  <c r="BL572" i="3"/>
  <c r="BA571" i="3"/>
  <c r="BA570" i="3"/>
  <c r="AZ570" i="3" s="1"/>
  <c r="BL566" i="3"/>
  <c r="BA561" i="3"/>
  <c r="BA560" i="3"/>
  <c r="AZ560" i="3" s="1"/>
  <c r="BA556" i="3"/>
  <c r="AZ556" i="3" s="1"/>
  <c r="BL552" i="3"/>
  <c r="BA548" i="3"/>
  <c r="BA547" i="3"/>
  <c r="BL544" i="3"/>
  <c r="BL542" i="3"/>
  <c r="BA541" i="3"/>
  <c r="BA540" i="3"/>
  <c r="BA538" i="3"/>
  <c r="BL536" i="3"/>
  <c r="AZ536" i="3" s="1"/>
  <c r="AC35" i="33"/>
  <c r="AB25" i="21"/>
  <c r="U24" i="35"/>
  <c r="U41" i="39"/>
  <c r="AA26" i="36"/>
  <c r="AB29" i="36"/>
  <c r="G494" i="3"/>
  <c r="BL509" i="3"/>
  <c r="BL513" i="3"/>
  <c r="BL559" i="3"/>
  <c r="BL567" i="3"/>
  <c r="BL575" i="3"/>
  <c r="BL583" i="3"/>
  <c r="BA494" i="3"/>
  <c r="S25" i="36"/>
  <c r="AA25" i="36"/>
  <c r="S25" i="35"/>
  <c r="AA25" i="35"/>
  <c r="J31" i="33"/>
  <c r="AC38" i="34"/>
  <c r="AB30" i="36"/>
  <c r="F24" i="36"/>
  <c r="AA22" i="35"/>
  <c r="S22" i="35"/>
  <c r="H36" i="39"/>
  <c r="AB36" i="39" s="1"/>
  <c r="U38" i="21"/>
  <c r="AB38" i="21"/>
  <c r="BA587" i="3"/>
  <c r="W35" i="21"/>
  <c r="AC35" i="21"/>
  <c r="J28" i="21"/>
  <c r="H28" i="21"/>
  <c r="J44" i="21"/>
  <c r="H44" i="21"/>
  <c r="AA42" i="21"/>
  <c r="S42" i="21"/>
  <c r="AZ345" i="3"/>
  <c r="BL495" i="3"/>
  <c r="BL501" i="3"/>
  <c r="BL511" i="3"/>
  <c r="BL519" i="3"/>
  <c r="AZ519" i="3" s="1"/>
  <c r="G521" i="3"/>
  <c r="BL527" i="3"/>
  <c r="BL535" i="3"/>
  <c r="BL543" i="3"/>
  <c r="BL551" i="3"/>
  <c r="BL565" i="3"/>
  <c r="BL573" i="3"/>
  <c r="BL581" i="3"/>
  <c r="J43" i="39"/>
  <c r="F43" i="39"/>
  <c r="S9" i="40"/>
  <c r="AA9" i="40"/>
  <c r="BL515" i="3"/>
  <c r="BL523" i="3"/>
  <c r="BL531" i="3"/>
  <c r="BL539" i="3"/>
  <c r="AZ539" i="3" s="1"/>
  <c r="BL547" i="3"/>
  <c r="AZ547" i="3" s="1"/>
  <c r="BL555" i="3"/>
  <c r="BL561" i="3"/>
  <c r="BL569" i="3"/>
  <c r="BL577" i="3"/>
  <c r="BL557" i="3"/>
  <c r="W11" i="40"/>
  <c r="AC11" i="40"/>
  <c r="J26" i="33"/>
  <c r="H26" i="33"/>
  <c r="U26" i="33" s="1"/>
  <c r="G447" i="3"/>
  <c r="G226" i="3"/>
  <c r="BA260" i="3"/>
  <c r="BL262" i="3"/>
  <c r="BL267" i="3"/>
  <c r="BA269" i="3"/>
  <c r="AZ269" i="3" s="1"/>
  <c r="BA270" i="3"/>
  <c r="AZ270" i="3" s="1"/>
  <c r="BL270" i="3"/>
  <c r="BL127" i="3"/>
  <c r="AZ127" i="3" s="1"/>
  <c r="BL163" i="3"/>
  <c r="AZ163" i="3" s="1"/>
  <c r="G109" i="3"/>
  <c r="AC21" i="33"/>
  <c r="G462" i="3"/>
  <c r="G485" i="3"/>
  <c r="G489" i="3"/>
  <c r="G307" i="3"/>
  <c r="G323" i="3"/>
  <c r="G343" i="3"/>
  <c r="G347" i="3"/>
  <c r="G351" i="3"/>
  <c r="G253" i="3"/>
  <c r="G257" i="3"/>
  <c r="G279" i="3"/>
  <c r="G44" i="3"/>
  <c r="G111" i="3"/>
  <c r="Q68" i="71"/>
  <c r="B63" i="71"/>
  <c r="B64" i="71" s="1"/>
  <c r="S64" i="71" s="1"/>
  <c r="H32" i="36"/>
  <c r="S34" i="39"/>
  <c r="H39" i="37"/>
  <c r="BA586" i="3"/>
  <c r="G14" i="3"/>
  <c r="G408" i="3"/>
  <c r="G256" i="3"/>
  <c r="G260" i="3"/>
  <c r="G184" i="3"/>
  <c r="BL186" i="3"/>
  <c r="BA70" i="3"/>
  <c r="W18" i="36"/>
  <c r="C63" i="71"/>
  <c r="S68" i="71"/>
  <c r="V68" i="71"/>
  <c r="D121" i="9"/>
  <c r="D7" i="52" s="1"/>
  <c r="D6" i="52"/>
  <c r="AB32" i="39"/>
  <c r="U32" i="39"/>
  <c r="S39" i="40"/>
  <c r="AA39" i="40"/>
  <c r="AB15" i="37"/>
  <c r="U15" i="37"/>
  <c r="W9" i="21"/>
  <c r="AC9" i="21"/>
  <c r="AA13" i="21"/>
  <c r="S13" i="21"/>
  <c r="AC17" i="21"/>
  <c r="W17" i="21"/>
  <c r="AA37" i="21"/>
  <c r="S37" i="21"/>
  <c r="W32" i="33"/>
  <c r="AC32" i="33"/>
  <c r="U33" i="34"/>
  <c r="AB33" i="34"/>
  <c r="AZ500" i="3"/>
  <c r="F25" i="37"/>
  <c r="G570" i="3"/>
  <c r="S43" i="33"/>
  <c r="AZ338" i="3"/>
  <c r="AZ327" i="3"/>
  <c r="AZ356" i="3"/>
  <c r="W25" i="33"/>
  <c r="U23" i="33"/>
  <c r="W33" i="34"/>
  <c r="W25" i="39"/>
  <c r="AZ17" i="3"/>
  <c r="S39" i="33"/>
  <c r="AA19" i="40"/>
  <c r="AZ371" i="3"/>
  <c r="AZ378" i="3"/>
  <c r="AZ375" i="3"/>
  <c r="AZ360" i="3"/>
  <c r="AC36" i="34"/>
  <c r="AZ509" i="3"/>
  <c r="AA14" i="37"/>
  <c r="H27" i="21"/>
  <c r="S35" i="34"/>
  <c r="U34" i="21"/>
  <c r="J45" i="39"/>
  <c r="W45" i="39" s="1"/>
  <c r="BL409" i="3"/>
  <c r="BA452" i="3"/>
  <c r="BA235" i="3"/>
  <c r="G246" i="3"/>
  <c r="BL252" i="3"/>
  <c r="G56" i="3"/>
  <c r="BA65" i="3"/>
  <c r="G68" i="3"/>
  <c r="E67" i="71"/>
  <c r="E66" i="71" s="1"/>
  <c r="B40" i="71"/>
  <c r="S40" i="71" s="1"/>
  <c r="AB35" i="71"/>
  <c r="U13" i="36"/>
  <c r="U21" i="40"/>
  <c r="U13" i="37"/>
  <c r="AZ379" i="3"/>
  <c r="AZ390" i="3"/>
  <c r="S14" i="40"/>
  <c r="W47" i="34"/>
  <c r="AZ501" i="3"/>
  <c r="AZ511" i="3"/>
  <c r="AZ523" i="3"/>
  <c r="AZ563" i="3"/>
  <c r="AZ512" i="3"/>
  <c r="AZ544" i="3"/>
  <c r="U36" i="39"/>
  <c r="W40" i="33"/>
  <c r="F12" i="36"/>
  <c r="S38" i="39"/>
  <c r="S27" i="35"/>
  <c r="U31" i="36"/>
  <c r="F45" i="39"/>
  <c r="G585" i="3"/>
  <c r="H12" i="36"/>
  <c r="G401" i="3"/>
  <c r="G417" i="3"/>
  <c r="BA456" i="3"/>
  <c r="G249" i="3"/>
  <c r="BA250" i="3"/>
  <c r="G286" i="3"/>
  <c r="G287" i="3"/>
  <c r="BL287" i="3"/>
  <c r="G290" i="3"/>
  <c r="G294" i="3"/>
  <c r="G116" i="3"/>
  <c r="BL34" i="3"/>
  <c r="G39" i="3"/>
  <c r="BA41" i="3"/>
  <c r="BL82" i="3"/>
  <c r="AB21" i="33"/>
  <c r="U68" i="71"/>
  <c r="B23" i="71"/>
  <c r="AZ506" i="3"/>
  <c r="BA431" i="3"/>
  <c r="G432" i="3"/>
  <c r="BL432" i="3"/>
  <c r="G457" i="3"/>
  <c r="BA462" i="3"/>
  <c r="BA470" i="3"/>
  <c r="BL484" i="3"/>
  <c r="G486" i="3"/>
  <c r="BL490" i="3"/>
  <c r="BL367" i="3"/>
  <c r="BL375" i="3"/>
  <c r="G380" i="3"/>
  <c r="BL383" i="3"/>
  <c r="AZ383" i="3" s="1"/>
  <c r="G215" i="3"/>
  <c r="G223" i="3"/>
  <c r="G231" i="3"/>
  <c r="BA233" i="3"/>
  <c r="G243" i="3"/>
  <c r="G247" i="3"/>
  <c r="G251" i="3"/>
  <c r="BL254" i="3"/>
  <c r="G273" i="3"/>
  <c r="G277" i="3"/>
  <c r="G297" i="3"/>
  <c r="G123" i="3"/>
  <c r="G127" i="3"/>
  <c r="G167" i="3"/>
  <c r="BL175" i="3"/>
  <c r="AZ175" i="3" s="1"/>
  <c r="BA176" i="3"/>
  <c r="AZ176" i="3" s="1"/>
  <c r="G179" i="3"/>
  <c r="BA184" i="3"/>
  <c r="AZ184" i="3" s="1"/>
  <c r="BL187" i="3"/>
  <c r="AZ187" i="3" s="1"/>
  <c r="G188" i="3"/>
  <c r="G196" i="3"/>
  <c r="G18" i="3"/>
  <c r="G42" i="3"/>
  <c r="G46" i="3"/>
  <c r="BL93" i="3"/>
  <c r="BL103" i="3"/>
  <c r="G107" i="3"/>
  <c r="F33" i="37"/>
  <c r="AA33" i="37" s="1"/>
  <c r="J33" i="37"/>
  <c r="AC33" i="37" s="1"/>
  <c r="H33" i="37"/>
  <c r="AB34" i="36"/>
  <c r="U34" i="36"/>
  <c r="W12" i="39"/>
  <c r="AC12" i="39"/>
  <c r="AC44" i="21"/>
  <c r="W44" i="21"/>
  <c r="AZ542" i="3"/>
  <c r="G425" i="3"/>
  <c r="AA25" i="33"/>
  <c r="S36" i="33"/>
  <c r="AA12" i="39"/>
  <c r="AZ14" i="3"/>
  <c r="AZ320" i="3"/>
  <c r="AC45" i="33"/>
  <c r="U32" i="33"/>
  <c r="AZ503" i="3"/>
  <c r="AZ527" i="3"/>
  <c r="AZ498" i="3"/>
  <c r="AZ572" i="3"/>
  <c r="AC40" i="37"/>
  <c r="AB8" i="39"/>
  <c r="C15" i="39"/>
  <c r="J25" i="37"/>
  <c r="G552" i="3"/>
  <c r="AB9" i="21"/>
  <c r="AA35" i="33"/>
  <c r="U25" i="39"/>
  <c r="AA12" i="40"/>
  <c r="AC5" i="3"/>
  <c r="AZ369" i="3"/>
  <c r="AZ310" i="3"/>
  <c r="AZ499" i="3"/>
  <c r="AZ543" i="3"/>
  <c r="AZ508" i="3"/>
  <c r="U34" i="35"/>
  <c r="G586" i="3"/>
  <c r="BL402" i="3"/>
  <c r="BL406" i="3"/>
  <c r="G407" i="3"/>
  <c r="AB41" i="33"/>
  <c r="AZ357" i="3"/>
  <c r="AZ351" i="3"/>
  <c r="AZ394" i="3"/>
  <c r="AZ376" i="3"/>
  <c r="W35" i="40"/>
  <c r="AC13" i="40"/>
  <c r="AZ553" i="3"/>
  <c r="AZ573" i="3"/>
  <c r="AZ497" i="3"/>
  <c r="AZ532" i="3"/>
  <c r="AZ546" i="3"/>
  <c r="AZ554" i="3"/>
  <c r="AZ568" i="3"/>
  <c r="AB30" i="21"/>
  <c r="AC11" i="35"/>
  <c r="W9" i="34"/>
  <c r="J33" i="36"/>
  <c r="AC33" i="36" s="1"/>
  <c r="J36" i="39"/>
  <c r="AC36" i="39" s="1"/>
  <c r="G587" i="3"/>
  <c r="A24" i="51"/>
  <c r="B18" i="72" s="1"/>
  <c r="C51" i="71"/>
  <c r="C52" i="71" s="1"/>
  <c r="T52" i="71" s="1"/>
  <c r="D50" i="71"/>
  <c r="G400" i="3"/>
  <c r="G404" i="3"/>
  <c r="BL412" i="3"/>
  <c r="BA413" i="3"/>
  <c r="G420" i="3"/>
  <c r="G426" i="3"/>
  <c r="G434" i="3"/>
  <c r="BL447" i="3"/>
  <c r="BA448" i="3"/>
  <c r="G452" i="3"/>
  <c r="G463" i="3"/>
  <c r="G471" i="3"/>
  <c r="G479" i="3"/>
  <c r="BL487" i="3"/>
  <c r="G318" i="3"/>
  <c r="G362" i="3"/>
  <c r="G366" i="3"/>
  <c r="G374" i="3"/>
  <c r="G382" i="3"/>
  <c r="G387" i="3"/>
  <c r="G213" i="3"/>
  <c r="G217" i="3"/>
  <c r="G221" i="3"/>
  <c r="G225" i="3"/>
  <c r="G229" i="3"/>
  <c r="BA231" i="3"/>
  <c r="G238" i="3"/>
  <c r="G250" i="3"/>
  <c r="BA254" i="3"/>
  <c r="AZ254" i="3" s="1"/>
  <c r="G268" i="3"/>
  <c r="G276" i="3"/>
  <c r="BL278" i="3"/>
  <c r="G280" i="3"/>
  <c r="G292" i="3"/>
  <c r="G128" i="3"/>
  <c r="G136" i="3"/>
  <c r="G140" i="3"/>
  <c r="BA145" i="3"/>
  <c r="G152" i="3"/>
  <c r="G156" i="3"/>
  <c r="G160" i="3"/>
  <c r="G190" i="3"/>
  <c r="G195" i="3"/>
  <c r="BL195" i="3"/>
  <c r="AZ195" i="3" s="1"/>
  <c r="BL197" i="3"/>
  <c r="G198" i="3"/>
  <c r="BL205" i="3"/>
  <c r="G21" i="3"/>
  <c r="BL24" i="3"/>
  <c r="G29" i="3"/>
  <c r="BA31" i="3"/>
  <c r="G34" i="3"/>
  <c r="G41" i="3"/>
  <c r="BA47" i="3"/>
  <c r="BA50" i="3"/>
  <c r="BL52" i="3"/>
  <c r="G53" i="3"/>
  <c r="G66" i="3"/>
  <c r="BA67" i="3"/>
  <c r="BA72" i="3"/>
  <c r="G79" i="3"/>
  <c r="G80" i="3"/>
  <c r="BA80" i="3"/>
  <c r="G84" i="3"/>
  <c r="BL84" i="3"/>
  <c r="G92" i="3"/>
  <c r="W21" i="21"/>
  <c r="AA3" i="71"/>
  <c r="G411" i="3"/>
  <c r="G415" i="3"/>
  <c r="G424" i="3"/>
  <c r="BL440" i="3"/>
  <c r="G441" i="3"/>
  <c r="G446" i="3"/>
  <c r="G450" i="3"/>
  <c r="BA458" i="3"/>
  <c r="BL458" i="3"/>
  <c r="BL459" i="3"/>
  <c r="G461" i="3"/>
  <c r="BL465" i="3"/>
  <c r="G466" i="3"/>
  <c r="BA473" i="3"/>
  <c r="G474" i="3"/>
  <c r="G482" i="3"/>
  <c r="BL308" i="3"/>
  <c r="AZ308" i="3" s="1"/>
  <c r="BL324" i="3"/>
  <c r="AZ324" i="3" s="1"/>
  <c r="BL328" i="3"/>
  <c r="AZ328" i="3" s="1"/>
  <c r="G329" i="3"/>
  <c r="G349" i="3"/>
  <c r="BA385" i="3"/>
  <c r="BL385" i="3"/>
  <c r="G212" i="3"/>
  <c r="G216" i="3"/>
  <c r="G228" i="3"/>
  <c r="G232" i="3"/>
  <c r="BA252" i="3"/>
  <c r="AZ252" i="3" s="1"/>
  <c r="G255" i="3"/>
  <c r="G259" i="3"/>
  <c r="BL272" i="3"/>
  <c r="G274" i="3"/>
  <c r="BA120" i="3"/>
  <c r="AZ120" i="3" s="1"/>
  <c r="BA132" i="3"/>
  <c r="AZ132" i="3" s="1"/>
  <c r="G135" i="3"/>
  <c r="G147" i="3"/>
  <c r="BL166" i="3"/>
  <c r="G32" i="3"/>
  <c r="BL44" i="3"/>
  <c r="G48" i="3"/>
  <c r="G57" i="3"/>
  <c r="G61" i="3"/>
  <c r="BL69" i="3"/>
  <c r="G87" i="3"/>
  <c r="G95" i="3"/>
  <c r="BA109" i="3"/>
  <c r="B88" i="43"/>
  <c r="AA21" i="34"/>
  <c r="B59" i="71"/>
  <c r="B60" i="71" s="1"/>
  <c r="S60" i="71" s="1"/>
  <c r="P67" i="71"/>
  <c r="X34" i="71"/>
  <c r="X31" i="71"/>
  <c r="AB34" i="71"/>
  <c r="AA35" i="71"/>
  <c r="BA402" i="3"/>
  <c r="BA410" i="3"/>
  <c r="BL417" i="3"/>
  <c r="BL420" i="3"/>
  <c r="G423" i="3"/>
  <c r="BL427" i="3"/>
  <c r="BL430" i="3"/>
  <c r="G449" i="3"/>
  <c r="BL488" i="3"/>
  <c r="BL350" i="3"/>
  <c r="BA366" i="3"/>
  <c r="AZ366" i="3" s="1"/>
  <c r="BA220" i="3"/>
  <c r="BA240" i="3"/>
  <c r="BA244" i="3"/>
  <c r="BL244" i="3"/>
  <c r="G258" i="3"/>
  <c r="BA258" i="3"/>
  <c r="BL154" i="3"/>
  <c r="G158" i="3"/>
  <c r="BA160" i="3"/>
  <c r="AZ160" i="3" s="1"/>
  <c r="G23" i="3"/>
  <c r="BA62" i="3"/>
  <c r="G63" i="3"/>
  <c r="G64" i="3"/>
  <c r="BA64" i="3"/>
  <c r="BA98" i="3"/>
  <c r="U25" i="40"/>
  <c r="B51" i="71"/>
  <c r="B52" i="71" s="1"/>
  <c r="S52" i="71" s="1"/>
  <c r="Y27" i="71"/>
  <c r="Z27" i="71" s="1"/>
  <c r="K85" i="43"/>
  <c r="D85" i="43" s="1"/>
  <c r="M85" i="43"/>
  <c r="N85" i="43" s="1"/>
  <c r="AZ341" i="3"/>
  <c r="AB37" i="39"/>
  <c r="H19" i="37"/>
  <c r="AB19" i="37" s="1"/>
  <c r="AZ518" i="3"/>
  <c r="C52" i="37"/>
  <c r="D52" i="37" s="1"/>
  <c r="I7" i="37"/>
  <c r="G7" i="37"/>
  <c r="E7" i="37"/>
  <c r="U19" i="33"/>
  <c r="S23" i="39"/>
  <c r="W15" i="21"/>
  <c r="S30" i="40"/>
  <c r="U35" i="40"/>
  <c r="AZ334" i="3"/>
  <c r="AZ380" i="3"/>
  <c r="AZ325" i="3"/>
  <c r="AZ514" i="3"/>
  <c r="AZ538" i="3"/>
  <c r="AZ504" i="3"/>
  <c r="AA14" i="34"/>
  <c r="AB26" i="33"/>
  <c r="AA17" i="33"/>
  <c r="W27" i="33"/>
  <c r="S23" i="21"/>
  <c r="S43" i="34"/>
  <c r="F19" i="37"/>
  <c r="S19" i="37" s="1"/>
  <c r="U12" i="39"/>
  <c r="W37" i="33"/>
  <c r="AZ387" i="3"/>
  <c r="AZ373" i="3"/>
  <c r="AZ362" i="3"/>
  <c r="AZ389" i="3"/>
  <c r="AZ336" i="3"/>
  <c r="AA11" i="39"/>
  <c r="AZ531" i="3"/>
  <c r="AZ559" i="3"/>
  <c r="AZ565" i="3"/>
  <c r="H33" i="36"/>
  <c r="G582" i="3"/>
  <c r="G574" i="3"/>
  <c r="G566" i="3"/>
  <c r="BL408" i="3"/>
  <c r="BL418" i="3"/>
  <c r="BA437" i="3"/>
  <c r="BA449" i="3"/>
  <c r="G453" i="3"/>
  <c r="BL453" i="3"/>
  <c r="BL454" i="3"/>
  <c r="G467" i="3"/>
  <c r="BA467" i="3"/>
  <c r="BA468" i="3"/>
  <c r="BL471" i="3"/>
  <c r="G477" i="3"/>
  <c r="BA477" i="3"/>
  <c r="G481" i="3"/>
  <c r="BA489" i="3"/>
  <c r="BL316" i="3"/>
  <c r="BL399" i="3"/>
  <c r="BA400" i="3"/>
  <c r="BA406" i="3"/>
  <c r="AZ406" i="3" s="1"/>
  <c r="BA407" i="3"/>
  <c r="BL411" i="3"/>
  <c r="BL416" i="3"/>
  <c r="BL424" i="3"/>
  <c r="G427" i="3"/>
  <c r="G431" i="3"/>
  <c r="BL435" i="3"/>
  <c r="BL436" i="3"/>
  <c r="G440" i="3"/>
  <c r="G458" i="3"/>
  <c r="BA466" i="3"/>
  <c r="G470" i="3"/>
  <c r="BA480" i="3"/>
  <c r="BA487" i="3"/>
  <c r="AZ487" i="3" s="1"/>
  <c r="BA488" i="3"/>
  <c r="AZ488" i="3" s="1"/>
  <c r="G492" i="3"/>
  <c r="BL340" i="3"/>
  <c r="AZ340" i="3" s="1"/>
  <c r="BA348" i="3"/>
  <c r="BA350" i="3"/>
  <c r="AZ350" i="3" s="1"/>
  <c r="BA354" i="3"/>
  <c r="BA358" i="3"/>
  <c r="AZ358" i="3" s="1"/>
  <c r="BL381" i="3"/>
  <c r="AZ381" i="3" s="1"/>
  <c r="BA392" i="3"/>
  <c r="AZ392" i="3" s="1"/>
  <c r="BL211" i="3"/>
  <c r="BL216" i="3"/>
  <c r="BA239" i="3"/>
  <c r="BL239" i="3"/>
  <c r="BL242" i="3"/>
  <c r="BA248" i="3"/>
  <c r="G252" i="3"/>
  <c r="G254" i="3"/>
  <c r="BA257" i="3"/>
  <c r="G261" i="3"/>
  <c r="G265" i="3"/>
  <c r="G266" i="3"/>
  <c r="BL266" i="3"/>
  <c r="G270" i="3"/>
  <c r="BA288" i="3"/>
  <c r="G295" i="3"/>
  <c r="G163" i="3"/>
  <c r="G172" i="3"/>
  <c r="BL23" i="3"/>
  <c r="BL35" i="3"/>
  <c r="C64" i="71"/>
  <c r="D63" i="71"/>
  <c r="W28" i="35"/>
  <c r="BA584" i="3"/>
  <c r="BS5" i="3"/>
  <c r="BL582" i="3"/>
  <c r="A15" i="62"/>
  <c r="B61" i="72" s="1"/>
  <c r="G398" i="3"/>
  <c r="G399" i="3"/>
  <c r="G410" i="3"/>
  <c r="BL413" i="3"/>
  <c r="AZ413" i="3" s="1"/>
  <c r="G416" i="3"/>
  <c r="BL419" i="3"/>
  <c r="BA420" i="3"/>
  <c r="BA442" i="3"/>
  <c r="G445" i="3"/>
  <c r="BA445" i="3"/>
  <c r="BA447" i="3"/>
  <c r="AZ447" i="3" s="1"/>
  <c r="BL451" i="3"/>
  <c r="G456" i="3"/>
  <c r="BA463" i="3"/>
  <c r="BA465" i="3"/>
  <c r="AZ465" i="3" s="1"/>
  <c r="BL469" i="3"/>
  <c r="BL475" i="3"/>
  <c r="BL479" i="3"/>
  <c r="BA485" i="3"/>
  <c r="G488" i="3"/>
  <c r="BA491" i="3"/>
  <c r="BA331" i="3"/>
  <c r="AZ331" i="3" s="1"/>
  <c r="BA335" i="3"/>
  <c r="AZ335" i="3" s="1"/>
  <c r="BA339" i="3"/>
  <c r="AZ339" i="3" s="1"/>
  <c r="BL386" i="3"/>
  <c r="BL395" i="3"/>
  <c r="BA397" i="3"/>
  <c r="BL397" i="3"/>
  <c r="BA214" i="3"/>
  <c r="BL214" i="3"/>
  <c r="BL219" i="3"/>
  <c r="BL222" i="3"/>
  <c r="BL227" i="3"/>
  <c r="BL237" i="3"/>
  <c r="BA246" i="3"/>
  <c r="BA256" i="3"/>
  <c r="BL256" i="3"/>
  <c r="BA265" i="3"/>
  <c r="BA275" i="3"/>
  <c r="BL275" i="3"/>
  <c r="BA283" i="3"/>
  <c r="G150" i="3"/>
  <c r="F44" i="39"/>
  <c r="AA34" i="40"/>
  <c r="BI5" i="3"/>
  <c r="BA13" i="3"/>
  <c r="BM5" i="3"/>
  <c r="BL400" i="3"/>
  <c r="G403" i="3"/>
  <c r="G413" i="3"/>
  <c r="BA419" i="3"/>
  <c r="BL423" i="3"/>
  <c r="BA424" i="3"/>
  <c r="G428" i="3"/>
  <c r="BL428" i="3"/>
  <c r="BL429" i="3"/>
  <c r="BL433" i="3"/>
  <c r="G438" i="3"/>
  <c r="BA439" i="3"/>
  <c r="BA440" i="3"/>
  <c r="AZ440" i="3" s="1"/>
  <c r="BA443" i="3"/>
  <c r="AZ443" i="3" s="1"/>
  <c r="BA444" i="3"/>
  <c r="BA451" i="3"/>
  <c r="BL455" i="3"/>
  <c r="BL462" i="3"/>
  <c r="G465" i="3"/>
  <c r="BA469" i="3"/>
  <c r="BL472" i="3"/>
  <c r="G478" i="3"/>
  <c r="BA478" i="3"/>
  <c r="G490" i="3"/>
  <c r="BA319" i="3"/>
  <c r="AZ319" i="3" s="1"/>
  <c r="BL359" i="3"/>
  <c r="AZ359" i="3" s="1"/>
  <c r="BL208" i="3"/>
  <c r="G209" i="3"/>
  <c r="BA210" i="3"/>
  <c r="BL210" i="3"/>
  <c r="BA212" i="3"/>
  <c r="BL212" i="3"/>
  <c r="G214" i="3"/>
  <c r="BA225" i="3"/>
  <c r="BL225" i="3"/>
  <c r="BL226" i="3"/>
  <c r="G227" i="3"/>
  <c r="BL230" i="3"/>
  <c r="G236" i="3"/>
  <c r="G241" i="3"/>
  <c r="BA241" i="3"/>
  <c r="BL241" i="3"/>
  <c r="BA245" i="3"/>
  <c r="BA255" i="3"/>
  <c r="BL259" i="3"/>
  <c r="G263" i="3"/>
  <c r="BL264" i="3"/>
  <c r="BA272" i="3"/>
  <c r="AZ272" i="3" s="1"/>
  <c r="G281" i="3"/>
  <c r="BA282" i="3"/>
  <c r="BL282" i="3"/>
  <c r="BL122" i="3"/>
  <c r="BL169" i="3"/>
  <c r="G26" i="3"/>
  <c r="BL96" i="3"/>
  <c r="BA293" i="3"/>
  <c r="BA116" i="3"/>
  <c r="AZ116" i="3" s="1"/>
  <c r="BA121" i="3"/>
  <c r="BA125" i="3"/>
  <c r="BL125" i="3"/>
  <c r="BL126" i="3"/>
  <c r="G144" i="3"/>
  <c r="BA149" i="3"/>
  <c r="BA153" i="3"/>
  <c r="BA157" i="3"/>
  <c r="BA162" i="3"/>
  <c r="BA194" i="3"/>
  <c r="G202" i="3"/>
  <c r="BA202" i="3"/>
  <c r="BA207" i="3"/>
  <c r="BA30" i="3"/>
  <c r="G33" i="3"/>
  <c r="BA40" i="3"/>
  <c r="G43" i="3"/>
  <c r="BL48" i="3"/>
  <c r="BL55" i="3"/>
  <c r="G58" i="3"/>
  <c r="BA59" i="3"/>
  <c r="BL61" i="3"/>
  <c r="BL68" i="3"/>
  <c r="BA69" i="3"/>
  <c r="AZ69" i="3" s="1"/>
  <c r="BL74" i="3"/>
  <c r="BA75" i="3"/>
  <c r="BL86" i="3"/>
  <c r="G88" i="3"/>
  <c r="BA89" i="3"/>
  <c r="BA97" i="3"/>
  <c r="BL99" i="3"/>
  <c r="G101" i="3"/>
  <c r="BA101" i="3"/>
  <c r="BA102" i="3"/>
  <c r="BL110" i="3"/>
  <c r="BL111" i="3"/>
  <c r="C29" i="39"/>
  <c r="X26" i="71"/>
  <c r="Y29" i="71"/>
  <c r="Z29" i="71" s="1"/>
  <c r="X25" i="71"/>
  <c r="C59" i="71"/>
  <c r="B79" i="71"/>
  <c r="B78" i="71" s="1"/>
  <c r="C23" i="71"/>
  <c r="B22" i="71"/>
  <c r="B21" i="71" s="1"/>
  <c r="B20" i="71" s="1"/>
  <c r="BA286" i="3"/>
  <c r="G289" i="3"/>
  <c r="BA291" i="3"/>
  <c r="BA301" i="3"/>
  <c r="BA122" i="3"/>
  <c r="AZ122" i="3" s="1"/>
  <c r="G134" i="3"/>
  <c r="BA134" i="3"/>
  <c r="G146" i="3"/>
  <c r="BA148" i="3"/>
  <c r="AZ148" i="3" s="1"/>
  <c r="G151" i="3"/>
  <c r="BA156" i="3"/>
  <c r="AZ156" i="3" s="1"/>
  <c r="BA168" i="3"/>
  <c r="AZ168" i="3" s="1"/>
  <c r="BA169" i="3"/>
  <c r="AZ169" i="3" s="1"/>
  <c r="BL171" i="3"/>
  <c r="AZ171" i="3" s="1"/>
  <c r="BA174" i="3"/>
  <c r="G178" i="3"/>
  <c r="BA178" i="3"/>
  <c r="BA182" i="3"/>
  <c r="BA189" i="3"/>
  <c r="BL189" i="3"/>
  <c r="BL190" i="3"/>
  <c r="BA192" i="3"/>
  <c r="AZ192" i="3" s="1"/>
  <c r="BA201" i="3"/>
  <c r="BA22" i="3"/>
  <c r="BL25" i="3"/>
  <c r="BL27" i="3"/>
  <c r="BA28" i="3"/>
  <c r="G31" i="3"/>
  <c r="BA33" i="3"/>
  <c r="G38" i="3"/>
  <c r="BA38" i="3"/>
  <c r="BA43" i="3"/>
  <c r="G47" i="3"/>
  <c r="BL54" i="3"/>
  <c r="G67" i="3"/>
  <c r="BL73" i="3"/>
  <c r="BA74" i="3"/>
  <c r="AZ74" i="3" s="1"/>
  <c r="G78" i="3"/>
  <c r="BA78" i="3"/>
  <c r="G86" i="3"/>
  <c r="BA88" i="3"/>
  <c r="BA92" i="3"/>
  <c r="BA95" i="3"/>
  <c r="C40" i="69"/>
  <c r="W18" i="35"/>
  <c r="B68" i="43"/>
  <c r="C74" i="71"/>
  <c r="D74" i="71" s="1"/>
  <c r="AB36" i="71"/>
  <c r="AA37" i="71"/>
  <c r="Y38" i="71"/>
  <c r="Z38" i="71" s="1"/>
  <c r="G284" i="3"/>
  <c r="BL289" i="3"/>
  <c r="BA290" i="3"/>
  <c r="G299" i="3"/>
  <c r="BL300" i="3"/>
  <c r="BA133" i="3"/>
  <c r="BL135" i="3"/>
  <c r="AZ135" i="3" s="1"/>
  <c r="BL146" i="3"/>
  <c r="G154" i="3"/>
  <c r="G155" i="3"/>
  <c r="BL161" i="3"/>
  <c r="G162" i="3"/>
  <c r="G164" i="3"/>
  <c r="BA164" i="3"/>
  <c r="AZ164" i="3" s="1"/>
  <c r="BA166" i="3"/>
  <c r="AZ166" i="3" s="1"/>
  <c r="G171" i="3"/>
  <c r="BA177" i="3"/>
  <c r="G180" i="3"/>
  <c r="BA188" i="3"/>
  <c r="AZ188" i="3" s="1"/>
  <c r="G194" i="3"/>
  <c r="BL198" i="3"/>
  <c r="BL199" i="3"/>
  <c r="AZ199" i="3" s="1"/>
  <c r="BA200" i="3"/>
  <c r="AZ200" i="3" s="1"/>
  <c r="BL207" i="3"/>
  <c r="BL18" i="3"/>
  <c r="G19" i="3"/>
  <c r="BL19" i="3"/>
  <c r="BA20" i="3"/>
  <c r="BA32" i="3"/>
  <c r="BA42" i="3"/>
  <c r="G51" i="3"/>
  <c r="G60" i="3"/>
  <c r="BL64" i="3"/>
  <c r="AZ64" i="3" s="1"/>
  <c r="G71" i="3"/>
  <c r="G72" i="3"/>
  <c r="G76" i="3"/>
  <c r="BA77" i="3"/>
  <c r="G89" i="3"/>
  <c r="BL92" i="3"/>
  <c r="BL94" i="3"/>
  <c r="G102" i="3"/>
  <c r="G108" i="3"/>
  <c r="K13" i="1"/>
  <c r="M13" i="1" s="1"/>
  <c r="O13" i="1" s="1"/>
  <c r="P13" i="1" s="1"/>
  <c r="B57" i="43"/>
  <c r="E71" i="71"/>
  <c r="E70" i="71" s="1"/>
  <c r="D54" i="71"/>
  <c r="C30" i="71"/>
  <c r="D30" i="71" s="1"/>
  <c r="E51" i="71"/>
  <c r="E52" i="71" s="1"/>
  <c r="U52" i="71" s="1"/>
  <c r="B71" i="71"/>
  <c r="B70" i="71" s="1"/>
  <c r="S76" i="71"/>
  <c r="W30" i="37"/>
  <c r="W39" i="37"/>
  <c r="A118" i="9"/>
  <c r="AA23" i="37"/>
  <c r="U21" i="37"/>
  <c r="S15" i="37"/>
  <c r="W38" i="37"/>
  <c r="U23" i="37"/>
  <c r="U19" i="37"/>
  <c r="S17" i="37"/>
  <c r="AB17" i="37"/>
  <c r="AC17" i="37"/>
  <c r="S34" i="37"/>
  <c r="AB31" i="37"/>
  <c r="AA31" i="37"/>
  <c r="AB37" i="37"/>
  <c r="AC29" i="37"/>
  <c r="W36" i="37"/>
  <c r="S30" i="37"/>
  <c r="U38" i="37"/>
  <c r="AA38" i="37"/>
  <c r="U8" i="37"/>
  <c r="AA29" i="37"/>
  <c r="U29" i="37"/>
  <c r="AC35" i="37"/>
  <c r="AA35" i="37"/>
  <c r="AB35" i="37"/>
  <c r="AC34" i="37"/>
  <c r="U34" i="37"/>
  <c r="U36" i="37"/>
  <c r="S36" i="37"/>
  <c r="U32" i="37"/>
  <c r="W32" i="37"/>
  <c r="S32" i="37"/>
  <c r="A2" i="9"/>
  <c r="A4" i="52"/>
  <c r="B41" i="72" s="1"/>
  <c r="B41" i="1"/>
  <c r="F30" i="68" s="1"/>
  <c r="C40" i="11"/>
  <c r="E19" i="68"/>
  <c r="BJ5" i="3"/>
  <c r="W20" i="36"/>
  <c r="AC20" i="36"/>
  <c r="W25" i="35"/>
  <c r="AC25" i="35"/>
  <c r="AB46" i="33"/>
  <c r="U46" i="33"/>
  <c r="U45" i="33"/>
  <c r="AB45" i="33"/>
  <c r="AC30" i="36"/>
  <c r="W30" i="36"/>
  <c r="BL584" i="3"/>
  <c r="BT5" i="3"/>
  <c r="G28" i="6" s="1"/>
  <c r="BA583" i="3"/>
  <c r="AZ583" i="3" s="1"/>
  <c r="BA582" i="3"/>
  <c r="AZ582" i="3" s="1"/>
  <c r="U45" i="21"/>
  <c r="AB45" i="21"/>
  <c r="W34" i="33"/>
  <c r="AC34" i="33"/>
  <c r="BP5" i="3"/>
  <c r="G29" i="6" s="1"/>
  <c r="AZ322" i="3"/>
  <c r="AZ342" i="3"/>
  <c r="AZ337" i="3"/>
  <c r="U46" i="34"/>
  <c r="AB46" i="34"/>
  <c r="AA41" i="33"/>
  <c r="S41" i="33"/>
  <c r="AA26" i="33"/>
  <c r="S26" i="33"/>
  <c r="AC43" i="21"/>
  <c r="W43" i="21"/>
  <c r="AC23" i="37"/>
  <c r="AA32" i="21"/>
  <c r="W23" i="21"/>
  <c r="AB32" i="21"/>
  <c r="AB15" i="21"/>
  <c r="AB25" i="33"/>
  <c r="AA19" i="37"/>
  <c r="AA21" i="39"/>
  <c r="U28" i="34"/>
  <c r="AC39" i="34"/>
  <c r="AB20" i="36"/>
  <c r="AZ311" i="3"/>
  <c r="AZ372" i="3"/>
  <c r="AZ347" i="3"/>
  <c r="AZ305" i="3"/>
  <c r="AZ309" i="3"/>
  <c r="W11" i="39"/>
  <c r="AC11" i="39"/>
  <c r="AB19" i="34"/>
  <c r="U19" i="34"/>
  <c r="AZ533" i="3"/>
  <c r="AZ561" i="3"/>
  <c r="AB17" i="21"/>
  <c r="U17" i="21"/>
  <c r="S44" i="34"/>
  <c r="AA44" i="33"/>
  <c r="U40" i="37"/>
  <c r="AB40" i="37"/>
  <c r="W26" i="36"/>
  <c r="AC26" i="36"/>
  <c r="AA45" i="21"/>
  <c r="S45" i="21"/>
  <c r="AC13" i="21"/>
  <c r="W13" i="21"/>
  <c r="AB17" i="34"/>
  <c r="AC25" i="37"/>
  <c r="W25" i="37"/>
  <c r="AB26" i="37"/>
  <c r="U26" i="37"/>
  <c r="U36" i="33"/>
  <c r="AB36" i="33"/>
  <c r="AC32" i="39"/>
  <c r="W30" i="40"/>
  <c r="S19" i="33"/>
  <c r="AA19" i="33"/>
  <c r="AB27" i="40"/>
  <c r="AA34" i="33"/>
  <c r="AA20" i="36"/>
  <c r="S20" i="36"/>
  <c r="S39" i="39"/>
  <c r="AA39" i="39"/>
  <c r="AA15" i="39"/>
  <c r="S15" i="39"/>
  <c r="W15" i="37"/>
  <c r="AC15" i="37"/>
  <c r="U31" i="40"/>
  <c r="U35" i="34"/>
  <c r="AB35" i="34"/>
  <c r="AA14" i="36"/>
  <c r="S14" i="36"/>
  <c r="W31" i="33"/>
  <c r="AC31" i="33"/>
  <c r="AB40" i="33"/>
  <c r="U40" i="33"/>
  <c r="F28" i="34"/>
  <c r="J28" i="34"/>
  <c r="AC31" i="35"/>
  <c r="AZ515" i="3"/>
  <c r="AZ569" i="3"/>
  <c r="AZ571" i="3"/>
  <c r="AZ579" i="3"/>
  <c r="AZ516" i="3"/>
  <c r="AZ524" i="3"/>
  <c r="AC31" i="34"/>
  <c r="F12" i="35"/>
  <c r="H12" i="35"/>
  <c r="AB30" i="37"/>
  <c r="U30" i="37"/>
  <c r="AC31" i="37"/>
  <c r="W31" i="37"/>
  <c r="AC31" i="40"/>
  <c r="W31" i="40"/>
  <c r="AA42" i="34"/>
  <c r="S42" i="34"/>
  <c r="AZ505" i="3"/>
  <c r="AZ525" i="3"/>
  <c r="AZ529" i="3"/>
  <c r="AZ537" i="3"/>
  <c r="AZ526" i="3"/>
  <c r="AZ564" i="3"/>
  <c r="AZ580" i="3"/>
  <c r="B101" i="43"/>
  <c r="B79" i="43"/>
  <c r="C25" i="39"/>
  <c r="H23" i="36"/>
  <c r="J23" i="36"/>
  <c r="F23" i="36"/>
  <c r="F29" i="6"/>
  <c r="AZ391" i="3"/>
  <c r="AZ318" i="3"/>
  <c r="AZ364" i="3"/>
  <c r="AZ329" i="3"/>
  <c r="AZ304" i="3"/>
  <c r="AZ306" i="3"/>
  <c r="AZ535" i="3"/>
  <c r="AZ577" i="3"/>
  <c r="AZ557" i="3"/>
  <c r="AZ513" i="3"/>
  <c r="AZ575" i="3"/>
  <c r="AZ528" i="3"/>
  <c r="AZ566" i="3"/>
  <c r="AZ574" i="3"/>
  <c r="AZ540" i="3"/>
  <c r="AZ502" i="3"/>
  <c r="U23" i="34"/>
  <c r="AB23" i="34"/>
  <c r="AC8" i="34"/>
  <c r="W8" i="34"/>
  <c r="AA40" i="39"/>
  <c r="S40" i="39"/>
  <c r="H31" i="39"/>
  <c r="J31" i="39"/>
  <c r="F31" i="39"/>
  <c r="AZ469" i="3"/>
  <c r="BL585" i="3"/>
  <c r="AZ585" i="3" s="1"/>
  <c r="F9" i="33"/>
  <c r="AA9" i="33" s="1"/>
  <c r="AB33" i="33"/>
  <c r="U33" i="33"/>
  <c r="AC40" i="39"/>
  <c r="W40" i="39"/>
  <c r="AC8" i="40"/>
  <c r="W8" i="40"/>
  <c r="G558" i="3"/>
  <c r="J12" i="34"/>
  <c r="F12" i="34"/>
  <c r="S12" i="34" s="1"/>
  <c r="J9" i="36"/>
  <c r="J39" i="40"/>
  <c r="H39" i="40"/>
  <c r="BL587" i="3"/>
  <c r="AZ587" i="3" s="1"/>
  <c r="BL586" i="3"/>
  <c r="AZ586" i="3" s="1"/>
  <c r="F9" i="34"/>
  <c r="AA9" i="34" s="1"/>
  <c r="H9" i="34"/>
  <c r="J23" i="35"/>
  <c r="H23" i="35"/>
  <c r="J37" i="39"/>
  <c r="F37" i="39"/>
  <c r="G556" i="3"/>
  <c r="BA551" i="3"/>
  <c r="AZ551" i="3" s="1"/>
  <c r="BA550" i="3"/>
  <c r="BL548" i="3"/>
  <c r="AZ548" i="3" s="1"/>
  <c r="AZ458" i="3"/>
  <c r="AZ46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BA450" i="3"/>
  <c r="BA453" i="3"/>
  <c r="AZ453" i="3" s="1"/>
  <c r="BA455" i="3"/>
  <c r="AZ455" i="3" s="1"/>
  <c r="BL457" i="3"/>
  <c r="BL460" i="3"/>
  <c r="BL461" i="3"/>
  <c r="BL463" i="3"/>
  <c r="BA471" i="3"/>
  <c r="AZ471" i="3" s="1"/>
  <c r="BL476" i="3"/>
  <c r="BA349" i="3"/>
  <c r="AZ349" i="3" s="1"/>
  <c r="BA353" i="3"/>
  <c r="BL353" i="3"/>
  <c r="AA18" i="36"/>
  <c r="S18" i="36"/>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G451" i="3"/>
  <c r="BA454" i="3"/>
  <c r="AZ454" i="3" s="1"/>
  <c r="BA457" i="3"/>
  <c r="BA459" i="3"/>
  <c r="AZ459" i="3" s="1"/>
  <c r="BA460" i="3"/>
  <c r="BA461" i="3"/>
  <c r="BL464" i="3"/>
  <c r="BL466" i="3"/>
  <c r="AZ466" i="3" s="1"/>
  <c r="G469" i="3"/>
  <c r="BL317" i="3"/>
  <c r="BA217" i="3"/>
  <c r="BL16" i="3"/>
  <c r="AZ16" i="3" s="1"/>
  <c r="BA401" i="3"/>
  <c r="BA403" i="3"/>
  <c r="BA404" i="3"/>
  <c r="BA405" i="3"/>
  <c r="G409" i="3"/>
  <c r="BL410" i="3"/>
  <c r="G412" i="3"/>
  <c r="G418" i="3"/>
  <c r="G419" i="3"/>
  <c r="BA422" i="3"/>
  <c r="G429" i="3"/>
  <c r="G430" i="3"/>
  <c r="BL431" i="3"/>
  <c r="G433" i="3"/>
  <c r="BL434" i="3"/>
  <c r="G436" i="3"/>
  <c r="G437" i="3"/>
  <c r="BL438" i="3"/>
  <c r="BL439" i="3"/>
  <c r="AZ439" i="3" s="1"/>
  <c r="BA441" i="3"/>
  <c r="BL445" i="3"/>
  <c r="BL446" i="3"/>
  <c r="BL449" i="3"/>
  <c r="AZ449" i="3" s="1"/>
  <c r="BL450" i="3"/>
  <c r="AZ450" i="3" s="1"/>
  <c r="BL452" i="3"/>
  <c r="G454" i="3"/>
  <c r="G455" i="3"/>
  <c r="BL456" i="3"/>
  <c r="BA464" i="3"/>
  <c r="BL467" i="3"/>
  <c r="BL468" i="3"/>
  <c r="AZ468" i="3" s="1"/>
  <c r="BL470" i="3"/>
  <c r="AZ470" i="3" s="1"/>
  <c r="G472" i="3"/>
  <c r="G473" i="3"/>
  <c r="BL473" i="3"/>
  <c r="AZ473" i="3" s="1"/>
  <c r="BL474" i="3"/>
  <c r="G475" i="3"/>
  <c r="BA476" i="3"/>
  <c r="BA481" i="3"/>
  <c r="G484" i="3"/>
  <c r="G358" i="3"/>
  <c r="G220" i="3"/>
  <c r="BL224" i="3"/>
  <c r="BA228" i="3"/>
  <c r="BL365" i="3"/>
  <c r="AZ365" i="3" s="1"/>
  <c r="BA368" i="3"/>
  <c r="BL368" i="3"/>
  <c r="BA374" i="3"/>
  <c r="AZ374" i="3" s="1"/>
  <c r="BA388" i="3"/>
  <c r="AZ388" i="3" s="1"/>
  <c r="BA396" i="3"/>
  <c r="BA209" i="3"/>
  <c r="BL217" i="3"/>
  <c r="BA219" i="3"/>
  <c r="AZ219" i="3" s="1"/>
  <c r="BA221" i="3"/>
  <c r="BA223" i="3"/>
  <c r="BL228" i="3"/>
  <c r="BA230" i="3"/>
  <c r="AZ230" i="3" s="1"/>
  <c r="BL232" i="3"/>
  <c r="BL234" i="3"/>
  <c r="BA236" i="3"/>
  <c r="AZ236" i="3" s="1"/>
  <c r="BA238" i="3"/>
  <c r="BA243" i="3"/>
  <c r="BL248" i="3"/>
  <c r="AZ248" i="3" s="1"/>
  <c r="BL250" i="3"/>
  <c r="AZ250" i="3" s="1"/>
  <c r="BA259" i="3"/>
  <c r="AZ259" i="3" s="1"/>
  <c r="BL261" i="3"/>
  <c r="BA263" i="3"/>
  <c r="BA267" i="3"/>
  <c r="AZ267" i="3" s="1"/>
  <c r="BA281" i="3"/>
  <c r="BL290" i="3"/>
  <c r="BL291" i="3"/>
  <c r="AZ291" i="3" s="1"/>
  <c r="BL293" i="3"/>
  <c r="BL294" i="3"/>
  <c r="BA297" i="3"/>
  <c r="BL297" i="3"/>
  <c r="BL138" i="3"/>
  <c r="BA140" i="3"/>
  <c r="AZ140" i="3" s="1"/>
  <c r="BA142" i="3"/>
  <c r="BL149" i="3"/>
  <c r="AZ149" i="3" s="1"/>
  <c r="BL150" i="3"/>
  <c r="BA152" i="3"/>
  <c r="AZ152" i="3" s="1"/>
  <c r="BA154" i="3"/>
  <c r="AZ154" i="3" s="1"/>
  <c r="BL170" i="3"/>
  <c r="BA173" i="3"/>
  <c r="BL179" i="3"/>
  <c r="AZ179" i="3" s="1"/>
  <c r="BA181" i="3"/>
  <c r="T72" i="71"/>
  <c r="C71" i="71"/>
  <c r="D72" i="71"/>
  <c r="U76" i="71"/>
  <c r="E75" i="71"/>
  <c r="E74" i="71" s="1"/>
  <c r="BL477" i="3"/>
  <c r="AZ477" i="3" s="1"/>
  <c r="BL478" i="3"/>
  <c r="AZ478" i="3" s="1"/>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BA226" i="3"/>
  <c r="AZ226" i="3" s="1"/>
  <c r="BA237" i="3"/>
  <c r="AZ237" i="3" s="1"/>
  <c r="BL240" i="3"/>
  <c r="AZ240" i="3" s="1"/>
  <c r="BA242" i="3"/>
  <c r="AZ242" i="3" s="1"/>
  <c r="BL245" i="3"/>
  <c r="AZ245" i="3" s="1"/>
  <c r="BL255" i="3"/>
  <c r="BL257" i="3"/>
  <c r="AZ257" i="3" s="1"/>
  <c r="BL258" i="3"/>
  <c r="BA262" i="3"/>
  <c r="AZ262" i="3" s="1"/>
  <c r="BL265" i="3"/>
  <c r="AZ265" i="3" s="1"/>
  <c r="BL273" i="3"/>
  <c r="BA277" i="3"/>
  <c r="BL277" i="3"/>
  <c r="BA279" i="3"/>
  <c r="BL285" i="3"/>
  <c r="G291" i="3"/>
  <c r="BA296" i="3"/>
  <c r="G302" i="3"/>
  <c r="BL113" i="3"/>
  <c r="BL115" i="3"/>
  <c r="AZ115" i="3" s="1"/>
  <c r="BA118" i="3"/>
  <c r="BL118" i="3"/>
  <c r="BA137" i="3"/>
  <c r="BL165" i="3"/>
  <c r="BL76" i="3"/>
  <c r="F34" i="71"/>
  <c r="F35" i="71" s="1"/>
  <c r="F36" i="71" s="1"/>
  <c r="V36" i="71" s="1"/>
  <c r="AB33" i="71"/>
  <c r="AB28"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A268" i="3"/>
  <c r="BA271" i="3"/>
  <c r="BL271" i="3"/>
  <c r="BA274" i="3"/>
  <c r="BL274" i="3"/>
  <c r="BA276" i="3"/>
  <c r="BL280" i="3"/>
  <c r="G282" i="3"/>
  <c r="BA284" i="3"/>
  <c r="BL286" i="3"/>
  <c r="AZ286" i="3" s="1"/>
  <c r="BL298" i="3"/>
  <c r="BL299" i="3"/>
  <c r="G300" i="3"/>
  <c r="BA302" i="3"/>
  <c r="G115" i="3"/>
  <c r="BA117" i="3"/>
  <c r="BA130" i="3"/>
  <c r="BL130" i="3"/>
  <c r="BA144" i="3"/>
  <c r="AZ144" i="3" s="1"/>
  <c r="BL155" i="3"/>
  <c r="AZ155" i="3" s="1"/>
  <c r="BL158" i="3"/>
  <c r="BL162" i="3"/>
  <c r="AZ162" i="3" s="1"/>
  <c r="BL173" i="3"/>
  <c r="G174" i="3"/>
  <c r="BL181" i="3"/>
  <c r="G182" i="3"/>
  <c r="BL185" i="3"/>
  <c r="BL193" i="3"/>
  <c r="BA55" i="3"/>
  <c r="AZ55" i="3" s="1"/>
  <c r="BL79" i="3"/>
  <c r="G267" i="3"/>
  <c r="G269" i="3"/>
  <c r="BA273" i="3"/>
  <c r="BA278" i="3"/>
  <c r="AZ278" i="3" s="1"/>
  <c r="BA280" i="3"/>
  <c r="G283" i="3"/>
  <c r="BL283" i="3"/>
  <c r="AZ283" i="3" s="1"/>
  <c r="BL284" i="3"/>
  <c r="G285" i="3"/>
  <c r="G288" i="3"/>
  <c r="BL292" i="3"/>
  <c r="BA294" i="3"/>
  <c r="AZ294" i="3" s="1"/>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BL107" i="3"/>
  <c r="AA21" i="33"/>
  <c r="S21" i="33"/>
  <c r="P27" i="6"/>
  <c r="AB32" i="71"/>
  <c r="AA34" i="71"/>
  <c r="AA30" i="71"/>
  <c r="D56" i="71"/>
  <c r="T56" i="71"/>
  <c r="C60" i="71"/>
  <c r="D59" i="71"/>
  <c r="N67" i="71"/>
  <c r="B66" i="71"/>
  <c r="F66" i="71"/>
  <c r="Q67" i="71"/>
  <c r="T80" i="71"/>
  <c r="C79" i="71"/>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AZ41" i="3" s="1"/>
  <c r="G45" i="3"/>
  <c r="BL45" i="3"/>
  <c r="BA48" i="3"/>
  <c r="BA49" i="3"/>
  <c r="BA51" i="3"/>
  <c r="G54" i="3"/>
  <c r="G55" i="3"/>
  <c r="BL56" i="3"/>
  <c r="BA58" i="3"/>
  <c r="BL59" i="3"/>
  <c r="AZ59" i="3" s="1"/>
  <c r="BL60" i="3"/>
  <c r="BA61" i="3"/>
  <c r="AZ61" i="3" s="1"/>
  <c r="BA68" i="3"/>
  <c r="AZ68" i="3" s="1"/>
  <c r="BA73" i="3"/>
  <c r="BA79" i="3"/>
  <c r="G82" i="3"/>
  <c r="G83" i="3"/>
  <c r="BA84" i="3"/>
  <c r="AZ84" i="3" s="1"/>
  <c r="BL88" i="3"/>
  <c r="AZ88" i="3" s="1"/>
  <c r="G90" i="3"/>
  <c r="BL90" i="3"/>
  <c r="G98" i="3"/>
  <c r="G99" i="3"/>
  <c r="BA105" i="3"/>
  <c r="BA106" i="3"/>
  <c r="BL108" i="3"/>
  <c r="G110" i="3"/>
  <c r="BL112" i="3"/>
  <c r="F40" i="68"/>
  <c r="C21" i="68"/>
  <c r="AC29" i="39"/>
  <c r="W29" i="39"/>
  <c r="D52" i="71"/>
  <c r="D51" i="71"/>
  <c r="E28" i="71"/>
  <c r="AA27" i="71"/>
  <c r="AA28" i="71"/>
  <c r="D38" i="71"/>
  <c r="C39" i="71"/>
  <c r="C31" i="71"/>
  <c r="Y30" i="71"/>
  <c r="Z30" i="71" s="1"/>
  <c r="AA38" i="71"/>
  <c r="AA39" i="71"/>
  <c r="D84" i="71"/>
  <c r="C83" i="71"/>
  <c r="F27" i="71"/>
  <c r="F26" i="71" s="1"/>
  <c r="AB27" i="71"/>
  <c r="AB26" i="71"/>
  <c r="BL121" i="3"/>
  <c r="AZ121" i="3" s="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L50" i="3"/>
  <c r="AZ50" i="3" s="1"/>
  <c r="BL51" i="3"/>
  <c r="BL53" i="3"/>
  <c r="BA56" i="3"/>
  <c r="BA57" i="3"/>
  <c r="AZ57" i="3" s="1"/>
  <c r="BL58" i="3"/>
  <c r="BA60" i="3"/>
  <c r="AZ60" i="3" s="1"/>
  <c r="BA63" i="3"/>
  <c r="AZ63" i="3" s="1"/>
  <c r="BA66" i="3"/>
  <c r="BA71" i="3"/>
  <c r="BL77" i="3"/>
  <c r="AZ77" i="3" s="1"/>
  <c r="BL81" i="3"/>
  <c r="BA82" i="3"/>
  <c r="AZ82" i="3" s="1"/>
  <c r="BL83" i="3"/>
  <c r="BA90" i="3"/>
  <c r="BA94" i="3"/>
  <c r="AZ94" i="3" s="1"/>
  <c r="BA100" i="3"/>
  <c r="BA103" i="3"/>
  <c r="AZ103" i="3" s="1"/>
  <c r="BA104" i="3"/>
  <c r="BA111" i="3"/>
  <c r="AZ111" i="3" s="1"/>
  <c r="C40" i="68"/>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V20" i="71" s="1"/>
  <c r="G81" i="3"/>
  <c r="G85" i="3"/>
  <c r="BL85" i="3"/>
  <c r="BA86" i="3"/>
  <c r="AZ86" i="3" s="1"/>
  <c r="BA87" i="3"/>
  <c r="BA91" i="3"/>
  <c r="AZ91" i="3" s="1"/>
  <c r="G96" i="3"/>
  <c r="BL97" i="3"/>
  <c r="AZ97" i="3" s="1"/>
  <c r="BL101" i="3"/>
  <c r="AZ101" i="3" s="1"/>
  <c r="BL102" i="3"/>
  <c r="AZ102" i="3" s="1"/>
  <c r="G104" i="3"/>
  <c r="G105" i="3"/>
  <c r="BL106" i="3"/>
  <c r="BA108" i="3"/>
  <c r="BA110" i="3"/>
  <c r="AZ110" i="3" s="1"/>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W35" i="39"/>
  <c r="F27" i="34"/>
  <c r="C21" i="39"/>
  <c r="U9" i="36"/>
  <c r="U14" i="37"/>
  <c r="H12" i="21"/>
  <c r="G526" i="3"/>
  <c r="AZ420" i="3"/>
  <c r="AZ424" i="3"/>
  <c r="AZ434" i="3"/>
  <c r="AZ446"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J53" i="15"/>
  <c r="L56" i="15" s="1"/>
  <c r="J57" i="15"/>
  <c r="J55" i="15" s="1"/>
  <c r="J58" i="15" s="1"/>
  <c r="Q50" i="15" s="1"/>
  <c r="I54" i="15"/>
  <c r="I1" i="73"/>
  <c r="B39" i="1" s="1"/>
  <c r="F51" i="67"/>
  <c r="F65" i="67"/>
  <c r="J53" i="67"/>
  <c r="J57" i="67"/>
  <c r="J55" i="67" s="1"/>
  <c r="J58" i="67" s="1"/>
  <c r="Q50" i="67" s="1"/>
  <c r="L56" i="67"/>
  <c r="I54" i="67"/>
  <c r="F66" i="67"/>
  <c r="Q71" i="67"/>
  <c r="C27" i="67"/>
  <c r="F71" i="67"/>
  <c r="N59" i="67"/>
  <c r="L59" i="67"/>
  <c r="L58" i="67"/>
  <c r="M59" i="67"/>
  <c r="B13" i="70"/>
  <c r="F64" i="67"/>
  <c r="C36" i="68"/>
  <c r="D9" i="69"/>
  <c r="C36" i="69"/>
  <c r="D9" i="68"/>
  <c r="F38" i="15"/>
  <c r="M6" i="15"/>
  <c r="F36" i="15"/>
  <c r="M26" i="15"/>
  <c r="D5" i="73"/>
  <c r="L47" i="15"/>
  <c r="D3" i="73"/>
  <c r="F16" i="15"/>
  <c r="M8" i="15"/>
  <c r="J15" i="15"/>
  <c r="M24" i="15"/>
  <c r="M29" i="15"/>
  <c r="M23" i="15"/>
  <c r="M22" i="67"/>
  <c r="F7" i="15"/>
  <c r="F26" i="15"/>
  <c r="F8" i="15"/>
  <c r="D7" i="73"/>
  <c r="M9" i="15"/>
  <c r="F40" i="15"/>
  <c r="F9" i="15"/>
  <c r="M22" i="15"/>
  <c r="F40" i="67"/>
  <c r="M28" i="15"/>
  <c r="D4" i="73"/>
  <c r="C76" i="15"/>
  <c r="F43" i="15"/>
  <c r="F42" i="15"/>
  <c r="F13" i="15"/>
  <c r="F37" i="15"/>
  <c r="F7" i="67"/>
  <c r="C16" i="67"/>
  <c r="F6" i="15"/>
  <c r="AC12" i="37" l="1"/>
  <c r="AB39" i="37"/>
  <c r="U39" i="37"/>
  <c r="U44" i="21"/>
  <c r="AB44" i="21"/>
  <c r="AA24" i="36"/>
  <c r="S24" i="36"/>
  <c r="AB38" i="40"/>
  <c r="U38" i="40"/>
  <c r="AA28" i="37"/>
  <c r="S28" i="37"/>
  <c r="AC30" i="21"/>
  <c r="W30" i="21"/>
  <c r="W46" i="34"/>
  <c r="AC46" i="34"/>
  <c r="W13" i="33"/>
  <c r="AC13" i="33"/>
  <c r="S38" i="40"/>
  <c r="AA38" i="40"/>
  <c r="AB9" i="33"/>
  <c r="U9" i="33"/>
  <c r="AZ494" i="3"/>
  <c r="S13" i="33"/>
  <c r="AA13" i="33"/>
  <c r="AZ534" i="3"/>
  <c r="AB32" i="36"/>
  <c r="U32" i="36"/>
  <c r="AA43" i="39"/>
  <c r="S43" i="39"/>
  <c r="AB28" i="21"/>
  <c r="U28" i="21"/>
  <c r="S34" i="36"/>
  <c r="AA34" i="36"/>
  <c r="AC9" i="33"/>
  <c r="W9" i="33"/>
  <c r="U46" i="21"/>
  <c r="AB46" i="21"/>
  <c r="W14" i="21"/>
  <c r="AC14" i="21"/>
  <c r="S46" i="34"/>
  <c r="AA46" i="34"/>
  <c r="S11" i="35"/>
  <c r="AA11" i="35"/>
  <c r="W26" i="33"/>
  <c r="AC26" i="33"/>
  <c r="AC43" i="39"/>
  <c r="W43" i="39"/>
  <c r="W28" i="21"/>
  <c r="AC28" i="21"/>
  <c r="AA13" i="40"/>
  <c r="S13" i="40"/>
  <c r="AZ541" i="3"/>
  <c r="AA31" i="33"/>
  <c r="S31" i="33"/>
  <c r="S14" i="21"/>
  <c r="AA14" i="21"/>
  <c r="AZ552" i="3"/>
  <c r="S30" i="34"/>
  <c r="AA30" i="34"/>
  <c r="AZ150" i="3"/>
  <c r="AZ425" i="3"/>
  <c r="AZ244" i="3"/>
  <c r="AA25" i="37"/>
  <c r="S25" i="37"/>
  <c r="AZ81" i="3"/>
  <c r="AZ295" i="3"/>
  <c r="E19" i="71"/>
  <c r="E18" i="71" s="1"/>
  <c r="E17" i="71" s="1"/>
  <c r="E16" i="71" s="1"/>
  <c r="AZ71" i="3"/>
  <c r="AZ221" i="3"/>
  <c r="AZ476" i="3"/>
  <c r="AZ438" i="3"/>
  <c r="AZ403" i="3"/>
  <c r="AZ461" i="3"/>
  <c r="AZ415" i="3"/>
  <c r="AZ402" i="3"/>
  <c r="S45" i="39"/>
  <c r="AA45" i="39"/>
  <c r="S12" i="36"/>
  <c r="AA12" i="36"/>
  <c r="AB27" i="21"/>
  <c r="U27" i="21"/>
  <c r="U12" i="36"/>
  <c r="AB12" i="36"/>
  <c r="AZ125" i="3"/>
  <c r="AZ451" i="3"/>
  <c r="AZ275" i="3"/>
  <c r="AZ397" i="3"/>
  <c r="AZ181" i="3"/>
  <c r="AZ422" i="3"/>
  <c r="AZ398" i="3"/>
  <c r="AZ353" i="3"/>
  <c r="AZ400" i="3"/>
  <c r="AZ274" i="3"/>
  <c r="AZ249" i="3"/>
  <c r="AZ401" i="3"/>
  <c r="AZ460" i="3"/>
  <c r="M90" i="43"/>
  <c r="N90" i="43" s="1"/>
  <c r="K90" i="43"/>
  <c r="M84" i="43"/>
  <c r="N84" i="43" s="1"/>
  <c r="K84" i="43"/>
  <c r="K87" i="43"/>
  <c r="M87" i="43"/>
  <c r="N87" i="43" s="1"/>
  <c r="K89" i="43"/>
  <c r="M89" i="43"/>
  <c r="N89" i="43" s="1"/>
  <c r="AZ104" i="3"/>
  <c r="AZ85" i="3"/>
  <c r="AZ299" i="3"/>
  <c r="AZ117" i="3"/>
  <c r="AZ209" i="3"/>
  <c r="AZ234" i="3"/>
  <c r="AZ277" i="3"/>
  <c r="AZ224" i="3"/>
  <c r="AZ228" i="3"/>
  <c r="AZ441" i="3"/>
  <c r="AZ405" i="3"/>
  <c r="F48" i="9"/>
  <c r="O52" i="9" s="1"/>
  <c r="AZ419" i="3"/>
  <c r="AA44" i="39"/>
  <c r="S44" i="39"/>
  <c r="AZ550" i="3"/>
  <c r="U33" i="36"/>
  <c r="AB33" i="36"/>
  <c r="K83" i="43"/>
  <c r="M83" i="43"/>
  <c r="N83" i="43" s="1"/>
  <c r="F54" i="9"/>
  <c r="B19" i="71"/>
  <c r="B18" i="71" s="1"/>
  <c r="B17" i="71" s="1"/>
  <c r="B16" i="71" s="1"/>
  <c r="S20" i="71"/>
  <c r="AZ282" i="3"/>
  <c r="AZ214" i="3"/>
  <c r="F15" i="71"/>
  <c r="F14" i="71" s="1"/>
  <c r="F13" i="71" s="1"/>
  <c r="F12" i="71" s="1"/>
  <c r="F11" i="71" s="1"/>
  <c r="F10" i="71" s="1"/>
  <c r="F9" i="71" s="1"/>
  <c r="F8" i="71" s="1"/>
  <c r="F7" i="71" s="1"/>
  <c r="F6" i="71" s="1"/>
  <c r="F5" i="71" s="1"/>
  <c r="M23" i="43"/>
  <c r="M88" i="43"/>
  <c r="N88" i="43" s="1"/>
  <c r="K88" i="43"/>
  <c r="M86" i="43"/>
  <c r="N86" i="43" s="1"/>
  <c r="K86" i="43"/>
  <c r="AZ206" i="3"/>
  <c r="AZ108" i="3"/>
  <c r="AZ45" i="3"/>
  <c r="AZ105" i="3"/>
  <c r="AZ49" i="3"/>
  <c r="AZ273" i="3"/>
  <c r="AZ302" i="3"/>
  <c r="AZ271" i="3"/>
  <c r="AZ251" i="3"/>
  <c r="AZ247" i="3"/>
  <c r="AZ464" i="3"/>
  <c r="AZ421" i="3"/>
  <c r="AZ414" i="3"/>
  <c r="F32" i="15"/>
  <c r="F60" i="15" s="1"/>
  <c r="AZ584" i="3"/>
  <c r="AZ189" i="3"/>
  <c r="C22" i="71"/>
  <c r="D23" i="71"/>
  <c r="AZ241" i="3"/>
  <c r="AZ210" i="3"/>
  <c r="AZ256" i="3"/>
  <c r="AZ239" i="3"/>
  <c r="N370" i="46"/>
  <c r="H26" i="43"/>
  <c r="E26" i="43"/>
  <c r="G26" i="43"/>
  <c r="F48" i="68"/>
  <c r="C30" i="68"/>
  <c r="C48" i="68"/>
  <c r="F52" i="9"/>
  <c r="F30" i="11"/>
  <c r="F32" i="67"/>
  <c r="F60" i="67" s="1"/>
  <c r="F28" i="67"/>
  <c r="C28" i="67" s="1"/>
  <c r="F30" i="69"/>
  <c r="M18" i="67"/>
  <c r="F31" i="12"/>
  <c r="C31" i="12" s="1"/>
  <c r="M18" i="15"/>
  <c r="F28" i="15"/>
  <c r="C28" i="15" s="1"/>
  <c r="D68" i="9"/>
  <c r="G30" i="6"/>
  <c r="G31" i="6" s="1"/>
  <c r="E28" i="6"/>
  <c r="K14" i="1" s="1"/>
  <c r="K16" i="1" s="1"/>
  <c r="P6" i="1"/>
  <c r="C13" i="12" s="1"/>
  <c r="J7" i="36"/>
  <c r="W7" i="36" s="1"/>
  <c r="F65" i="15"/>
  <c r="F71" i="15"/>
  <c r="N59" i="15"/>
  <c r="M59" i="15"/>
  <c r="L59" i="15"/>
  <c r="Q61" i="15" s="1"/>
  <c r="L58" i="15"/>
  <c r="Q73" i="15" s="1"/>
  <c r="C27" i="15"/>
  <c r="F64" i="15"/>
  <c r="Q71" i="15"/>
  <c r="F51" i="15"/>
  <c r="C6" i="15"/>
  <c r="C32" i="15" s="1"/>
  <c r="C6" i="67"/>
  <c r="M7" i="67"/>
  <c r="J6" i="67" s="1"/>
  <c r="F31" i="67"/>
  <c r="F50" i="67"/>
  <c r="C49" i="67" s="1"/>
  <c r="F31" i="15"/>
  <c r="F50" i="15"/>
  <c r="M7" i="15"/>
  <c r="J6" i="15" s="1"/>
  <c r="J18" i="15" s="1"/>
  <c r="F68" i="67"/>
  <c r="F68" i="15"/>
  <c r="F66" i="15"/>
  <c r="G5" i="3"/>
  <c r="B3" i="3" s="1"/>
  <c r="E510" i="3" s="1"/>
  <c r="AZ280" i="3"/>
  <c r="AZ238" i="3"/>
  <c r="AZ217" i="3"/>
  <c r="AZ457" i="3"/>
  <c r="AC23" i="35"/>
  <c r="W23" i="35"/>
  <c r="AB39" i="40"/>
  <c r="U39" i="40"/>
  <c r="W12" i="34"/>
  <c r="AC12" i="34"/>
  <c r="AA31" i="39"/>
  <c r="S31" i="39"/>
  <c r="AA23" i="36"/>
  <c r="S23" i="36"/>
  <c r="W28" i="34"/>
  <c r="AC28" i="34"/>
  <c r="G16" i="1"/>
  <c r="F10" i="39" s="1"/>
  <c r="S10" i="39" s="1"/>
  <c r="C82" i="71"/>
  <c r="D82" i="71" s="1"/>
  <c r="D83" i="71"/>
  <c r="AZ58" i="3"/>
  <c r="AZ51" i="3"/>
  <c r="AZ53" i="3"/>
  <c r="AZ137" i="3"/>
  <c r="AZ173" i="3"/>
  <c r="AA37" i="39"/>
  <c r="S37" i="39"/>
  <c r="U9" i="34"/>
  <c r="AB9" i="34"/>
  <c r="AC39" i="40"/>
  <c r="W39" i="40"/>
  <c r="W31" i="39"/>
  <c r="AC31" i="39"/>
  <c r="AC23" i="36"/>
  <c r="W23" i="36"/>
  <c r="AA28" i="34"/>
  <c r="S28" i="34"/>
  <c r="O65" i="71"/>
  <c r="D66" i="71"/>
  <c r="O66" i="71"/>
  <c r="C36" i="71"/>
  <c r="D35" i="71"/>
  <c r="C86" i="71"/>
  <c r="D86" i="71" s="1"/>
  <c r="D87" i="71"/>
  <c r="D31" i="71"/>
  <c r="C32" i="71"/>
  <c r="D60" i="71"/>
  <c r="T60" i="71"/>
  <c r="AZ29" i="3"/>
  <c r="AZ263" i="3"/>
  <c r="AZ223" i="3"/>
  <c r="AC37" i="39"/>
  <c r="W37" i="39"/>
  <c r="AC9" i="36"/>
  <c r="W9" i="36"/>
  <c r="AB31" i="39"/>
  <c r="U31" i="39"/>
  <c r="U23" i="36"/>
  <c r="AB23" i="36"/>
  <c r="U12" i="35"/>
  <c r="AB12" i="35"/>
  <c r="C44" i="71"/>
  <c r="D43" i="71"/>
  <c r="T28" i="71"/>
  <c r="D28" i="71"/>
  <c r="U28" i="71" s="1"/>
  <c r="C27" i="71"/>
  <c r="AZ100" i="3"/>
  <c r="AZ66" i="3"/>
  <c r="C40" i="71"/>
  <c r="D39" i="71"/>
  <c r="AZ79" i="3"/>
  <c r="C78" i="71"/>
  <c r="D78" i="71" s="1"/>
  <c r="D79" i="71"/>
  <c r="N65" i="71"/>
  <c r="N66" i="71"/>
  <c r="AZ39" i="3"/>
  <c r="AZ21" i="3"/>
  <c r="AZ298" i="3"/>
  <c r="AZ130" i="3"/>
  <c r="AZ284" i="3"/>
  <c r="AZ229" i="3"/>
  <c r="AZ218" i="3"/>
  <c r="AZ118" i="3"/>
  <c r="AZ483" i="3"/>
  <c r="C70" i="71"/>
  <c r="D70" i="71" s="1"/>
  <c r="D71" i="71"/>
  <c r="AZ297" i="3"/>
  <c r="AZ243" i="3"/>
  <c r="AZ368" i="3"/>
  <c r="AZ404" i="3"/>
  <c r="U23" i="35"/>
  <c r="AB23" i="35"/>
  <c r="J7" i="37"/>
  <c r="AC7" i="37" s="1"/>
  <c r="K1" i="73"/>
  <c r="E449" i="3"/>
  <c r="E241" i="3"/>
  <c r="E267" i="3"/>
  <c r="E34" i="3"/>
  <c r="E22" i="3"/>
  <c r="E405" i="3"/>
  <c r="E115" i="3"/>
  <c r="E220" i="3"/>
  <c r="E158" i="3"/>
  <c r="E393" i="3"/>
  <c r="E422" i="3"/>
  <c r="E440" i="3"/>
  <c r="E463" i="3"/>
  <c r="E276" i="3"/>
  <c r="E346" i="3"/>
  <c r="E15" i="3"/>
  <c r="E234" i="3"/>
  <c r="E299" i="3"/>
  <c r="E123" i="3"/>
  <c r="E62" i="3"/>
  <c r="E176" i="3"/>
  <c r="E165" i="3"/>
  <c r="E566" i="3"/>
  <c r="E460" i="3"/>
  <c r="E521" i="3"/>
  <c r="E250" i="3"/>
  <c r="E222" i="3"/>
  <c r="E500" i="3"/>
  <c r="E446" i="3"/>
  <c r="E138" i="3"/>
  <c r="E284" i="3"/>
  <c r="E323"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357" i="3"/>
  <c r="E14" i="3"/>
  <c r="E196" i="3"/>
  <c r="E207" i="3"/>
  <c r="U6" i="3"/>
  <c r="E411" i="3"/>
  <c r="E367" i="3"/>
  <c r="E547" i="3"/>
  <c r="E71" i="3"/>
  <c r="E92" i="3"/>
  <c r="E291" i="3"/>
  <c r="E317" i="3"/>
  <c r="E29" i="3"/>
  <c r="E53" i="3"/>
  <c r="E319" i="3"/>
  <c r="E153" i="3"/>
  <c r="E426" i="3"/>
  <c r="E328"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AA7" i="36"/>
  <c r="R36" i="36" s="1"/>
  <c r="F7" i="33"/>
  <c r="E58" i="21"/>
  <c r="AC7" i="36"/>
  <c r="V36" i="36" s="1"/>
  <c r="I36" i="36" s="1"/>
  <c r="F7" i="37"/>
  <c r="M17" i="67"/>
  <c r="P28" i="43"/>
  <c r="B66" i="40" s="1"/>
  <c r="P25" i="43"/>
  <c r="P29" i="43"/>
  <c r="P27" i="43"/>
  <c r="B70" i="39" s="1"/>
  <c r="Q60" i="67"/>
  <c r="Q73" i="67"/>
  <c r="M11" i="67"/>
  <c r="J10" i="67" s="1"/>
  <c r="F11" i="15"/>
  <c r="M11" i="15"/>
  <c r="J10" i="15" s="1"/>
  <c r="F11" i="67"/>
  <c r="F1" i="15"/>
  <c r="Q52" i="15"/>
  <c r="F1" i="67"/>
  <c r="Q52" i="67"/>
  <c r="Q61" i="67"/>
  <c r="Q74" i="67"/>
  <c r="AE11" i="1"/>
  <c r="AE9" i="1"/>
  <c r="F27" i="68"/>
  <c r="AE7" i="1"/>
  <c r="AE8" i="1"/>
  <c r="AE12" i="1"/>
  <c r="AE10" i="1"/>
  <c r="G1" i="73"/>
  <c r="C16" i="15"/>
  <c r="AE6" i="1"/>
  <c r="D26" i="43" l="1"/>
  <c r="C25" i="43" s="1"/>
  <c r="Q74" i="15"/>
  <c r="AZ5" i="3"/>
  <c r="AY6" i="3" s="1"/>
  <c r="C32" i="67"/>
  <c r="AB7" i="36"/>
  <c r="T36" i="36" s="1"/>
  <c r="G36" i="36" s="1"/>
  <c r="E416" i="3"/>
  <c r="E58" i="3"/>
  <c r="E524" i="3"/>
  <c r="E112" i="3"/>
  <c r="E473" i="3"/>
  <c r="E401" i="3"/>
  <c r="E105" i="3"/>
  <c r="E497" i="3"/>
  <c r="E18" i="3"/>
  <c r="D22" i="71"/>
  <c r="C21" i="71"/>
  <c r="D84" i="43"/>
  <c r="J84" i="43"/>
  <c r="D86" i="43"/>
  <c r="J86" i="43"/>
  <c r="J83" i="43"/>
  <c r="D83" i="43"/>
  <c r="D89" i="43"/>
  <c r="J89" i="43"/>
  <c r="D90" i="43"/>
  <c r="J90" i="43"/>
  <c r="E63" i="3"/>
  <c r="D88" i="43"/>
  <c r="J88" i="43"/>
  <c r="D87" i="43"/>
  <c r="J87" i="43"/>
  <c r="W7" i="37"/>
  <c r="Q60" i="15"/>
  <c r="F48" i="69"/>
  <c r="C48" i="69"/>
  <c r="C30" i="69"/>
  <c r="J18" i="67"/>
  <c r="C48" i="11"/>
  <c r="C30" i="11"/>
  <c r="J5" i="67"/>
  <c r="J24" i="67" s="1"/>
  <c r="J10" i="40"/>
  <c r="AC10" i="40" s="1"/>
  <c r="E506" i="3"/>
  <c r="E97" i="3"/>
  <c r="O6" i="3"/>
  <c r="E501" i="3"/>
  <c r="AM6" i="3"/>
  <c r="E126" i="3"/>
  <c r="E403" i="3"/>
  <c r="E548" i="3"/>
  <c r="E145" i="3"/>
  <c r="E93" i="3"/>
  <c r="E208" i="3"/>
  <c r="E471" i="3"/>
  <c r="E438" i="3"/>
  <c r="E313" i="3"/>
  <c r="E352" i="3"/>
  <c r="E82" i="3"/>
  <c r="E504" i="3"/>
  <c r="E154" i="3"/>
  <c r="E459" i="3"/>
  <c r="E66" i="3"/>
  <c r="E39" i="3"/>
  <c r="E341" i="3"/>
  <c r="E375" i="3"/>
  <c r="E149" i="3"/>
  <c r="E354" i="3"/>
  <c r="E520" i="3"/>
  <c r="E244" i="3"/>
  <c r="E386" i="3"/>
  <c r="E90" i="3"/>
  <c r="E141" i="3"/>
  <c r="E265" i="3"/>
  <c r="E340" i="3"/>
  <c r="E392" i="3"/>
  <c r="E38" i="3"/>
  <c r="L6" i="3"/>
  <c r="E108" i="3"/>
  <c r="AH6" i="3"/>
  <c r="E543" i="3"/>
  <c r="E16" i="3"/>
  <c r="E49" i="3"/>
  <c r="E428" i="3"/>
  <c r="E420" i="3"/>
  <c r="E408" i="3"/>
  <c r="E173" i="3"/>
  <c r="E102" i="3"/>
  <c r="E235" i="3"/>
  <c r="E198" i="3"/>
  <c r="E67" i="3"/>
  <c r="E409" i="3"/>
  <c r="E417" i="3"/>
  <c r="E575" i="3"/>
  <c r="E326" i="3"/>
  <c r="E324" i="3"/>
  <c r="E225" i="3"/>
  <c r="E13" i="3"/>
  <c r="E456" i="3"/>
  <c r="E205" i="3"/>
  <c r="E206" i="3"/>
  <c r="E96" i="3"/>
  <c r="E81" i="3"/>
  <c r="E249" i="3"/>
  <c r="E292" i="3"/>
  <c r="E255" i="3"/>
  <c r="E272" i="3"/>
  <c r="E546" i="3"/>
  <c r="E432" i="3"/>
  <c r="E379" i="3"/>
  <c r="E397" i="3"/>
  <c r="E257" i="3"/>
  <c r="E475" i="3"/>
  <c r="E288" i="3"/>
  <c r="E532" i="3"/>
  <c r="E306" i="3"/>
  <c r="E122" i="3"/>
  <c r="E98" i="3"/>
  <c r="E167" i="3"/>
  <c r="E488" i="3"/>
  <c r="Y6" i="3"/>
  <c r="E259" i="3"/>
  <c r="E373" i="3"/>
  <c r="E47" i="3"/>
  <c r="E464" i="3"/>
  <c r="E48" i="3"/>
  <c r="E110" i="3"/>
  <c r="E312" i="3"/>
  <c r="E24" i="3"/>
  <c r="E348" i="3"/>
  <c r="E552" i="3"/>
  <c r="E365" i="3"/>
  <c r="E364" i="3"/>
  <c r="AQ6" i="3"/>
  <c r="E170" i="3"/>
  <c r="E60" i="3"/>
  <c r="E178" i="3"/>
  <c r="J6" i="3"/>
  <c r="E427" i="3"/>
  <c r="E188" i="3"/>
  <c r="E232" i="3"/>
  <c r="E412" i="3"/>
  <c r="E26" i="3"/>
  <c r="E451" i="3"/>
  <c r="E525" i="3"/>
  <c r="E113" i="3"/>
  <c r="E383" i="3"/>
  <c r="E281" i="3"/>
  <c r="E33" i="3"/>
  <c r="E484" i="3"/>
  <c r="E479" i="3"/>
  <c r="E499"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AL6" i="3"/>
  <c r="E309" i="3"/>
  <c r="E233" i="3"/>
  <c r="E310" i="3"/>
  <c r="E64" i="3"/>
  <c r="E389" i="3"/>
  <c r="E95" i="3"/>
  <c r="E554" i="3"/>
  <c r="E442" i="3"/>
  <c r="E536"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2" i="3"/>
  <c r="E513" i="3"/>
  <c r="E355" i="3"/>
  <c r="E492" i="3"/>
  <c r="E46" i="3"/>
  <c r="E544" i="3"/>
  <c r="E152" i="3"/>
  <c r="E517" i="3"/>
  <c r="E466" i="3"/>
  <c r="E212" i="3"/>
  <c r="H10" i="40"/>
  <c r="AB10" i="40" s="1"/>
  <c r="C49" i="15"/>
  <c r="J5" i="15"/>
  <c r="J24" i="15" s="1"/>
  <c r="F59" i="67"/>
  <c r="J10" i="39"/>
  <c r="W10" i="39" s="1"/>
  <c r="AA10" i="39"/>
  <c r="F67" i="39"/>
  <c r="G67" i="39" s="1"/>
  <c r="F10" i="40"/>
  <c r="S10" i="40" s="1"/>
  <c r="F59" i="15"/>
  <c r="H10" i="39"/>
  <c r="U10" i="39" s="1"/>
  <c r="M17" i="15"/>
  <c r="C26" i="71"/>
  <c r="D26" i="71" s="1"/>
  <c r="D27" i="71"/>
  <c r="D44" i="71"/>
  <c r="T44" i="71"/>
  <c r="T32" i="71"/>
  <c r="D32" i="71"/>
  <c r="T40" i="71"/>
  <c r="D40" i="71"/>
  <c r="T36" i="71"/>
  <c r="D36" i="71"/>
  <c r="E3" i="6"/>
  <c r="E482" i="3"/>
  <c r="E391" i="3"/>
  <c r="E494" i="3"/>
  <c r="E283" i="3"/>
  <c r="E68" i="3"/>
  <c r="E184" i="3"/>
  <c r="E84" i="3"/>
  <c r="E371" i="3"/>
  <c r="E160" i="3"/>
  <c r="E467"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F41" i="67"/>
  <c r="F69" i="67" l="1"/>
  <c r="D21" i="71"/>
  <c r="C20" i="71"/>
  <c r="E83" i="43"/>
  <c r="B81" i="43" s="1"/>
  <c r="C28" i="43" s="1"/>
  <c r="AB10" i="39"/>
  <c r="AC10" i="39"/>
  <c r="F25" i="12"/>
  <c r="C26" i="12" s="1"/>
  <c r="D25" i="12" s="1"/>
  <c r="C48" i="15"/>
  <c r="C66" i="15" s="1"/>
  <c r="AC6" i="3"/>
  <c r="H6" i="3"/>
  <c r="E6" i="3" s="1"/>
  <c r="D116" i="43"/>
  <c r="AA10" i="40"/>
  <c r="I53" i="34"/>
  <c r="J53" i="34" s="1"/>
  <c r="I46" i="37"/>
  <c r="J46" i="37" s="1"/>
  <c r="F69" i="39"/>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T13" i="43" l="1"/>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C6" i="69" s="1"/>
  <c r="C7" i="69" s="1"/>
  <c r="T15" i="43"/>
  <c r="V15" i="43" s="1"/>
  <c r="T7" i="43"/>
  <c r="V7" i="43" s="1"/>
  <c r="T10" i="43"/>
  <c r="V10" i="43" s="1"/>
  <c r="T2" i="43"/>
  <c r="V2" i="43" s="1"/>
  <c r="C40" i="43"/>
  <c r="C42" i="43"/>
  <c r="C19" i="71"/>
  <c r="T20" i="71"/>
  <c r="D20" i="71"/>
  <c r="U20" i="71" s="1"/>
  <c r="C60" i="15"/>
  <c r="C26" i="11"/>
  <c r="D22" i="11" s="1"/>
  <c r="C44" i="11"/>
  <c r="D41" i="11" s="1"/>
  <c r="C26" i="68"/>
  <c r="D22" i="68" s="1"/>
  <c r="F41" i="68"/>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U19" i="1" s="1"/>
  <c r="U20" i="1" s="1"/>
  <c r="C42" i="37"/>
  <c r="I48" i="35"/>
  <c r="C48" i="33"/>
  <c r="C49" i="33"/>
  <c r="H58" i="21"/>
  <c r="E47" i="37"/>
  <c r="F47" i="37" s="1"/>
  <c r="E46" i="37"/>
  <c r="F46" i="37" s="1"/>
  <c r="I47" i="37"/>
  <c r="J47" i="37" s="1"/>
  <c r="E53" i="33"/>
  <c r="F53" i="33" s="1"/>
  <c r="E52" i="33"/>
  <c r="F52" i="33" s="1"/>
  <c r="C33" i="15"/>
  <c r="C33" i="67"/>
  <c r="J19" i="67"/>
  <c r="C34" i="68"/>
  <c r="C14" i="15"/>
  <c r="E2" i="70" l="1"/>
  <c r="C18" i="71"/>
  <c r="D19" i="71"/>
  <c r="E33" i="43"/>
  <c r="C34" i="43"/>
  <c r="E34" i="43" s="1"/>
  <c r="G41" i="43"/>
  <c r="I41" i="43" s="1"/>
  <c r="E41" i="43"/>
  <c r="G39" i="43"/>
  <c r="I39" i="43" s="1"/>
  <c r="E39" i="43"/>
  <c r="E42" i="43"/>
  <c r="G42" i="43"/>
  <c r="I42" i="43" s="1"/>
  <c r="E38" i="43"/>
  <c r="G38" i="43"/>
  <c r="I38" i="43" s="1"/>
  <c r="G40" i="43"/>
  <c r="I40" i="43" s="1"/>
  <c r="E40" i="43"/>
  <c r="G37" i="43"/>
  <c r="I37" i="43" s="1"/>
  <c r="E37" i="43"/>
  <c r="C8" i="69"/>
  <c r="C5" i="69" s="1"/>
  <c r="C23" i="69" s="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17" i="71"/>
  <c r="D18" i="71"/>
  <c r="C31" i="43"/>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D17" i="71"/>
  <c r="C16" i="71"/>
  <c r="B2" i="43"/>
  <c r="C20" i="68"/>
  <c r="C28" i="68" s="1"/>
  <c r="C27" i="68" s="1"/>
  <c r="C22" i="12"/>
  <c r="C27" i="12" s="1"/>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B6" i="76"/>
  <c r="M21" i="67"/>
  <c r="M21" i="15"/>
  <c r="B2" i="76" l="1"/>
  <c r="B3" i="76" s="1"/>
  <c r="C15" i="71"/>
  <c r="T16" i="71"/>
  <c r="D16" i="71"/>
  <c r="U16" i="71" s="1"/>
  <c r="B3" i="43"/>
  <c r="C25" i="68"/>
  <c r="C22" i="68" s="1"/>
  <c r="C31" i="68" s="1"/>
  <c r="C30" i="12"/>
  <c r="C28" i="12" s="1"/>
  <c r="C32" i="12" s="1"/>
  <c r="B2" i="12" s="1"/>
  <c r="B3" i="12"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19" i="9"/>
  <c r="D2" i="34"/>
  <c r="T12" i="71" l="1"/>
  <c r="D12" i="71"/>
  <c r="U12" i="71" s="1"/>
  <c r="C11" i="71"/>
  <c r="D102" i="9"/>
  <c r="D21" i="9"/>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D34" i="9"/>
  <c r="AO7" i="1"/>
  <c r="D20" i="9"/>
  <c r="AO8" i="1"/>
  <c r="AO12" i="1"/>
  <c r="C19" i="9"/>
  <c r="D35" i="9"/>
  <c r="AO6" i="1"/>
  <c r="D11" i="71" l="1"/>
  <c r="C10" i="71"/>
  <c r="C102" i="9"/>
  <c r="C21" i="9"/>
  <c r="G19" i="9"/>
  <c r="D22" i="9"/>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G21" i="9"/>
  <c r="D14" i="74"/>
  <c r="G14" i="74" s="1"/>
  <c r="C103" i="9"/>
  <c r="G20" i="9"/>
  <c r="R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S24" i="31"/>
  <c r="R27" i="31"/>
  <c r="S27" i="31" s="1"/>
  <c r="R25" i="31"/>
  <c r="S25" i="31" s="1"/>
  <c r="R26" i="31"/>
  <c r="S26" i="31" s="1"/>
  <c r="C32" i="9"/>
  <c r="C35" i="9" s="1"/>
  <c r="C34" i="9" s="1"/>
  <c r="E14" i="74"/>
  <c r="C42" i="40"/>
  <c r="C43" i="40"/>
  <c r="E47" i="40"/>
  <c r="F47" i="40" s="1"/>
  <c r="E46" i="40"/>
  <c r="F46" i="40" s="1"/>
  <c r="I47" i="40"/>
  <c r="J47" i="40" s="1"/>
  <c r="C7" i="71" l="1"/>
  <c r="D8" i="71"/>
  <c r="S22" i="3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R22" i="31"/>
  <c r="B20" i="31"/>
  <c r="B21" i="31" s="1"/>
  <c r="F14" i="74"/>
  <c r="D6" i="71" l="1"/>
  <c r="C5" i="71"/>
  <c r="D5" i="71" s="1"/>
  <c r="M24" i="43" s="1"/>
  <c r="G118" i="9"/>
  <c r="F118" i="9" s="1"/>
  <c r="I118" i="9"/>
  <c r="C105" i="9" s="1"/>
  <c r="I4" i="52" l="1"/>
  <c r="H102" i="9"/>
  <c r="D7" i="53" s="1"/>
  <c r="B21" i="72" s="1"/>
  <c r="F119" i="9"/>
  <c r="F5" i="52" s="1"/>
  <c r="B53" i="72" s="1"/>
  <c r="F4" i="52"/>
  <c r="B51" i="72" s="1"/>
  <c r="E118" i="9"/>
  <c r="G4" i="52"/>
  <c r="B52" i="72" s="1"/>
  <c r="H118" i="9"/>
  <c r="H4" i="52" l="1"/>
  <c r="H101" i="9"/>
  <c r="H119" i="9"/>
  <c r="H5" i="52" s="1"/>
  <c r="C104" i="9"/>
  <c r="D118" i="9"/>
  <c r="E4" i="52"/>
  <c r="B48" i="72" s="1"/>
  <c r="M48" i="9" l="1"/>
  <c r="H107" i="9"/>
  <c r="D5" i="53"/>
  <c r="D45" i="9"/>
  <c r="D119" i="9"/>
  <c r="D5" i="52" s="1"/>
  <c r="B49" i="72" s="1"/>
  <c r="D4" i="52"/>
  <c r="B47" i="72" s="1"/>
  <c r="C64" i="9" l="1"/>
  <c r="C63" i="9" s="1"/>
  <c r="C67" i="9" s="1"/>
  <c r="D52" i="9"/>
  <c r="D53" i="9"/>
  <c r="C72" i="9"/>
  <c r="C93" i="9"/>
  <c r="C86" i="9" s="1"/>
  <c r="D55" i="9"/>
  <c r="M53" i="9" s="1"/>
  <c r="C78" i="9"/>
  <c r="C73" i="9" s="1"/>
  <c r="C85" i="9"/>
  <c r="D6" i="53"/>
  <c r="B22" i="72" s="1"/>
  <c r="B20" i="72"/>
  <c r="M49" i="9"/>
  <c r="D122" i="9"/>
  <c r="H108" i="9"/>
  <c r="D13" i="53"/>
  <c r="C79" i="9" l="1"/>
  <c r="C80" i="9" s="1"/>
  <c r="E80" i="9" s="1"/>
  <c r="E81" i="9" s="1"/>
  <c r="C95" i="9"/>
  <c r="C96" i="9" s="1"/>
  <c r="E96" i="9" s="1"/>
  <c r="E97" i="9" s="1"/>
  <c r="L65" i="9"/>
  <c r="M65" i="9" s="1"/>
  <c r="L63" i="9"/>
  <c r="M63" i="9" s="1"/>
  <c r="L66" i="9"/>
  <c r="M66" i="9" s="1"/>
  <c r="L64" i="9"/>
  <c r="M64" i="9" s="1"/>
  <c r="L67" i="9"/>
  <c r="M67" i="9" s="1"/>
  <c r="L68" i="9"/>
  <c r="M68" i="9" s="1"/>
  <c r="D15" i="53"/>
  <c r="B31" i="72" s="1"/>
  <c r="D8" i="52"/>
  <c r="D123" i="9"/>
  <c r="D9" i="52" s="1"/>
  <c r="B30" i="72"/>
  <c r="D14" i="53"/>
  <c r="B32" i="72" s="1"/>
  <c r="D59" i="9"/>
  <c r="M55" i="9" s="1"/>
  <c r="C68" i="9"/>
  <c r="D54" i="9" s="1"/>
  <c r="C97" i="9" l="1"/>
  <c r="D58" i="9" s="1"/>
  <c r="D56" i="9" s="1"/>
  <c r="M54" i="9" s="1"/>
  <c r="N57" i="9" s="1"/>
  <c r="C81" i="9"/>
  <c r="M69" i="9"/>
  <c r="N69" i="9" s="1"/>
  <c r="P57" i="9" l="1"/>
  <c r="N58" i="9"/>
  <c r="N59" i="9"/>
  <c r="N60" i="9" l="1"/>
  <c r="N61" i="9"/>
  <c r="B6" i="74" l="1"/>
  <c r="F15" i="74"/>
  <c r="B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<sst xmlns="http://schemas.openxmlformats.org/spreadsheetml/2006/main" count="7973" uniqueCount="3500">
  <si>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</si>
  <si>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</si>
  <si>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</si>
  <si>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</si>
  <si>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</si>
  <si>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</si>
  <si>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</si>
  <si>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</si>
  <si>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</si>
  <si>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</si>
  <si>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</si>
  <si>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</si>
  <si>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</si>
  <si>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</si>
  <si>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</si>
  <si>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</si>
  <si>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</si>
  <si>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</si>
  <si>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</si>
  <si>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</si>
  <si>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</si>
  <si>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</si>
  <si>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</si>
  <si>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</si>
  <si>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</si>
  <si>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</si>
  <si>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</si>
  <si>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</si>
  <si>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</si>
  <si>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</si>
  <si>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</si>
  <si>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</si>
  <si>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</si>
  <si>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</si>
  <si>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</si>
  <si>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</si>
  <si>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</si>
  <si>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</si>
  <si>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</si>
  <si>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</si>
  <si>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</si>
  <si>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</si>
  <si>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</si>
  <si>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</si>
  <si>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</si>
  <si>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</si>
  <si>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</si>
  <si>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</si>
  <si>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</si>
  <si>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</si>
  <si>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</si>
  <si>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</si>
  <si>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</si>
  <si>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</si>
  <si>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</si>
  <si>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</si>
  <si>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</si>
  <si>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</si>
  <si>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</si>
  <si>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</si>
  <si>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</si>
  <si>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</si>
  <si>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</si>
  <si>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</si>
  <si>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</si>
  <si>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</si>
  <si>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</si>
  <si>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</si>
  <si>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</si>
  <si>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</si>
  <si>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</si>
  <si>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</si>
  <si>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</si>
  <si>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</si>
  <si>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</si>
  <si>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</si>
  <si>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</si>
  <si>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</si>
  <si>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</si>
  <si>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</si>
  <si>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</si>
  <si>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</si>
  <si>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</si>
  <si>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</si>
  <si>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</si>
  <si>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</si>
  <si>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</si>
  <si>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</si>
  <si>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</si>
  <si>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</si>
  <si>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</si>
  <si>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</si>
  <si>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</si>
  <si>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</si>
  <si>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</si>
  <si>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</si>
  <si>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</si>
  <si>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</si>
  <si>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</si>
  <si>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</si>
  <si>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</si>
  <si>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</si>
  <si>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</si>
  <si>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</si>
  <si>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</si>
  <si>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</si>
  <si>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</si>
  <si>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</si>
  <si>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</si>
  <si>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</si>
  <si>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</si>
  <si>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</si>
  <si>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</si>
  <si>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</si>
  <si>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</si>
  <si>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</si>
  <si>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</si>
  <si>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</si>
  <si>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</si>
  <si>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</si>
  <si>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</si>
  <si>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</si>
  <si>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</si>
  <si>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</si>
  <si>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</si>
  <si>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</si>
  <si>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</si>
  <si>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</si>
  <si>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</si>
  <si>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</si>
  <si>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</si>
  <si>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</si>
  <si>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</si>
  <si>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</si>
  <si>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</si>
  <si>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</si>
  <si>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</si>
  <si>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</si>
  <si>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</si>
  <si>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</si>
  <si>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</si>
  <si>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</si>
  <si>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</si>
  <si>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</si>
  <si>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</si>
  <si>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</si>
  <si>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</si>
  <si>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</si>
  <si>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</si>
  <si>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</si>
  <si>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</si>
  <si>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</si>
  <si>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</si>
  <si>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</si>
  <si>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</si>
  <si>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</si>
  <si>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</si>
  <si>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</si>
  <si>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</si>
  <si>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</si>
  <si>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</si>
  <si>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</si>
  <si>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</si>
  <si>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</si>
  <si>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</si>
  <si>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</si>
  <si>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</si>
  <si>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</si>
  <si>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</si>
  <si>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</si>
  <si>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</si>
  <si>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</si>
  <si>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</si>
  <si>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</si>
  <si>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</si>
  <si>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</si>
  <si>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</si>
  <si>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</si>
  <si>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</si>
  <si>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</si>
  <si>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</si>
  <si>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</si>
  <si>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</si>
  <si>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</si>
  <si>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</si>
  <si>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</si>
  <si>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</si>
  <si>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</si>
  <si>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</si>
  <si>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</si>
  <si>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</si>
  <si>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</si>
  <si>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</si>
  <si>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</si>
  <si>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</si>
  <si>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</si>
  <si>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</si>
  <si>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</si>
  <si>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</si>
  <si>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</si>
  <si>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</si>
  <si>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</si>
  <si>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</si>
  <si>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</si>
  <si>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</si>
  <si>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</si>
  <si>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</si>
  <si>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</si>
  <si>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</si>
  <si>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</si>
  <si>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</si>
  <si>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</si>
  <si>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</si>
  <si>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</si>
  <si>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</si>
  <si>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</si>
  <si>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</si>
  <si>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</si>
  <si>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</si>
  <si>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</si>
  <si>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</si>
  <si>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</si>
  <si>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</si>
  <si>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</si>
  <si>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</si>
  <si>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</si>
  <si>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</si>
  <si>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</si>
  <si>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</si>
  <si>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</si>
  <si>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</si>
  <si>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</si>
  <si>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</si>
  <si>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</si>
  <si>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</si>
  <si>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</si>
  <si>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</si>
  <si>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</si>
  <si>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</si>
  <si>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</si>
  <si>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</si>
  <si>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</si>
  <si>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</si>
  <si>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</si>
  <si>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</si>
  <si>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</si>
  <si>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</si>
  <si>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</si>
  <si>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</si>
  <si>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</si>
  <si>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</si>
  <si>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</si>
  <si>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</si>
  <si>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</si>
  <si>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</si>
  <si>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</si>
  <si>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</si>
  <si>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</si>
  <si>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</si>
  <si>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</si>
  <si>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</si>
  <si>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</si>
  <si>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</si>
  <si>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</si>
  <si>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</si>
  <si>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</si>
  <si>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</si>
  <si>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</si>
  <si>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</si>
  <si>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</si>
  <si>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</si>
  <si>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</si>
  <si>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</si>
  <si>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</si>
  <si>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</si>
  <si>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</si>
  <si>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</si>
  <si>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</si>
  <si>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</si>
  <si>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</si>
  <si>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</si>
  <si>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</si>
  <si>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</si>
  <si>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</si>
  <si>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</si>
  <si>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</si>
  <si>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</si>
  <si>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</si>
  <si>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</si>
  <si>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</si>
  <si>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</si>
  <si>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</si>
  <si>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</si>
  <si>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</si>
  <si>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</si>
  <si>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</si>
  <si>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</si>
  <si>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</si>
  <si>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</si>
  <si>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</si>
  <si>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</si>
  <si>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</si>
  <si>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</si>
  <si>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</si>
  <si>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</si>
  <si>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</si>
  <si>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</si>
  <si>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</si>
  <si>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</si>
  <si>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</si>
  <si>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</si>
  <si>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</si>
  <si>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</si>
  <si>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</si>
  <si>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</si>
  <si>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</si>
  <si>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</si>
  <si>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</si>
  <si>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</si>
  <si>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</si>
  <si>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</si>
  <si>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</si>
  <si>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</si>
  <si>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</si>
  <si>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</si>
  <si>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</si>
  <si>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</si>
  <si>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</si>
  <si>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</si>
  <si>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</si>
  <si>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</si>
  <si>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</si>
  <si>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</si>
  <si>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</si>
  <si>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</si>
  <si>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</si>
  <si>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</si>
  <si>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</si>
  <si>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</si>
  <si>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</si>
  <si>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</si>
  <si>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</si>
  <si>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</si>
  <si>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</si>
  <si>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</si>
  <si>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</si>
  <si>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</si>
  <si>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</si>
  <si>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</si>
  <si>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</si>
  <si>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</si>
  <si>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</si>
  <si>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</si>
  <si>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</si>
  <si>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</si>
  <si>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</si>
  <si>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</si>
  <si>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</si>
  <si>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</si>
  <si>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</si>
  <si>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</si>
  <si>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</si>
  <si>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</si>
  <si>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</si>
  <si>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</si>
  <si>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</si>
  <si>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</si>
  <si>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</si>
  <si>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</si>
  <si>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</si>
  <si>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</si>
  <si>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</si>
  <si>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</si>
  <si>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</si>
  <si>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</si>
  <si>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</si>
  <si>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</si>
  <si>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</si>
  <si>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</si>
  <si>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</si>
  <si>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</si>
  <si>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</si>
  <si>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</si>
  <si>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</si>
  <si>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</si>
  <si>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</si>
  <si>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</si>
  <si>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</si>
  <si>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</si>
  <si>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</si>
  <si>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</si>
  <si>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</si>
  <si>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</si>
  <si>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</si>
  <si>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</si>
  <si>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</si>
  <si>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</si>
  <si>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</si>
  <si>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</si>
  <si>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</si>
  <si>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</si>
  <si>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</si>
  <si>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</si>
  <si>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</si>
  <si>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</si>
  <si>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</si>
  <si>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</si>
  <si>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</si>
  <si>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</si>
  <si>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</si>
  <si>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</si>
  <si>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</si>
  <si>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</si>
  <si>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</si>
  <si>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</si>
  <si>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</si>
  <si>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</si>
  <si>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</si>
  <si>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</si>
  <si>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</si>
  <si>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</si>
  <si>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</si>
  <si>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</si>
  <si>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</si>
  <si>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</si>
  <si>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</si>
  <si>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</si>
  <si>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</si>
  <si>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</si>
  <si>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</si>
  <si>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</si>
  <si>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</si>
  <si>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</si>
  <si>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</si>
  <si>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</si>
  <si>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</si>
  <si>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</si>
  <si>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</si>
  <si>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</si>
  <si>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</si>
  <si>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</si>
  <si>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</si>
  <si>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</si>
  <si>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</si>
  <si>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</si>
  <si>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</si>
  <si>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</si>
  <si>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</si>
  <si>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</si>
  <si>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</si>
  <si>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</si>
  <si>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</si>
  <si>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</si>
  <si>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</si>
  <si>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</si>
  <si>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</si>
  <si>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</si>
  <si>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</si>
  <si>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</si>
  <si>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</si>
  <si>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</si>
  <si>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</si>
  <si>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</si>
  <si>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</si>
  <si>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</si>
  <si>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</si>
  <si>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</si>
  <si>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</si>
  <si>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</si>
  <si>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</si>
  <si>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</si>
  <si>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</si>
  <si>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</si>
  <si>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</si>
  <si>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</si>
  <si>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</si>
  <si>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</si>
  <si>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</si>
  <si>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</si>
  <si>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</si>
  <si>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</si>
  <si>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</si>
  <si>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</si>
  <si>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</si>
  <si>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</si>
  <si>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</si>
  <si>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</si>
  <si>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</si>
  <si>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</si>
  <si>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</si>
  <si>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</si>
  <si>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</si>
  <si>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</si>
  <si>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</si>
  <si>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</si>
  <si>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</si>
  <si>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</si>
  <si>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</si>
  <si>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</si>
  <si>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</si>
  <si>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</si>
  <si>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</si>
  <si>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</si>
  <si>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</si>
  <si>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</si>
  <si>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</si>
  <si>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</si>
  <si>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</si>
  <si>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</si>
  <si>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</si>
  <si>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</si>
  <si>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</si>
  <si>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</si>
  <si>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</si>
  <si>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</si>
  <si>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</si>
  <si>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</si>
  <si>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</si>
  <si>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</si>
  <si>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</si>
  <si>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</si>
  <si>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</si>
  <si>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</si>
  <si>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</si>
  <si>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</si>
  <si>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</si>
  <si>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</si>
  <si>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</si>
  <si>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</si>
  <si>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</si>
  <si>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</si>
  <si>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</si>
  <si>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</si>
  <si>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</si>
  <si>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</si>
  <si>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</si>
  <si>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</si>
  <si>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</si>
  <si>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</si>
  <si>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</si>
  <si>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</si>
  <si>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</si>
  <si>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</si>
  <si>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</si>
  <si>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</si>
  <si>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</si>
  <si>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</si>
  <si>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</si>
  <si>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</si>
  <si>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</si>
  <si>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</si>
  <si>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</si>
  <si>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</si>
  <si>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</si>
  <si>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</si>
  <si>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</si>
  <si>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</si>
  <si>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</si>
  <si>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</si>
  <si>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</si>
  <si>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</si>
  <si>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</si>
  <si>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</si>
  <si>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</si>
  <si>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</si>
  <si>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</si>
  <si>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</si>
  <si>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</si>
  <si>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</si>
  <si>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</si>
  <si>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</si>
  <si>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</si>
  <si>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</si>
  <si>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</si>
  <si>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</si>
  <si>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</si>
  <si>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</si>
  <si>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</si>
  <si>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</si>
  <si>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</si>
  <si>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</si>
  <si>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</si>
  <si>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</si>
  <si>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</si>
  <si>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</si>
  <si>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</si>
  <si>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</si>
  <si>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</si>
  <si>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</si>
  <si>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</si>
  <si>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</si>
  <si>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</si>
  <si>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</si>
  <si>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</si>
  <si>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</si>
  <si>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</si>
  <si>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</si>
  <si>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</si>
  <si>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</si>
  <si>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</si>
  <si>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</si>
  <si>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</si>
  <si>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</si>
  <si>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</si>
  <si>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</si>
  <si>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</si>
  <si>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</si>
  <si>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</si>
  <si>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</si>
  <si>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</si>
  <si>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</si>
  <si>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</si>
  <si>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</si>
  <si>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</si>
  <si>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</si>
  <si>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</si>
  <si>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</si>
  <si>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</si>
  <si>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</si>
  <si>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</si>
  <si>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</si>
  <si>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</si>
  <si>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</si>
  <si>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</si>
  <si>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</si>
  <si>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</si>
  <si>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</si>
  <si>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</si>
  <si>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</si>
  <si>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</si>
  <si>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</si>
  <si>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</si>
  <si>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</si>
  <si>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</si>
  <si>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</si>
  <si>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</si>
  <si>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</si>
  <si>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</si>
  <si>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</si>
  <si>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</si>
  <si>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</si>
  <si>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</si>
  <si>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</si>
  <si>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</si>
  <si>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</si>
  <si>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</si>
  <si>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</si>
  <si>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</si>
  <si>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</si>
  <si>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</si>
  <si>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</si>
  <si>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</si>
  <si>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</si>
  <si>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</si>
  <si>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</si>
  <si>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</si>
  <si>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</si>
  <si>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</si>
  <si>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</si>
  <si>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</si>
  <si>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</si>
  <si>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</si>
  <si>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</si>
  <si>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</si>
  <si>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</si>
  <si>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</si>
  <si>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</si>
  <si>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</si>
  <si>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</si>
  <si>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</si>
  <si>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</si>
  <si>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</si>
  <si>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</si>
  <si>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</si>
  <si>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</si>
  <si>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</si>
  <si>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</si>
  <si>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</si>
  <si>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</si>
  <si>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</si>
  <si>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</si>
  <si>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</si>
  <si>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</si>
  <si>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</si>
  <si>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</si>
  <si>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</si>
  <si>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</si>
  <si>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</si>
  <si>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</si>
  <si>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</si>
  <si>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</si>
  <si>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</si>
  <si>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</si>
  <si>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</si>
  <si>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</si>
  <si>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</si>
  <si>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</si>
  <si>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</si>
  <si>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</si>
  <si>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</si>
  <si>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</si>
  <si>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</si>
  <si>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</si>
  <si>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</si>
  <si>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</si>
  <si>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</si>
  <si>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</si>
  <si>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</si>
  <si>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</si>
  <si>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</si>
  <si>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</si>
  <si>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</si>
  <si>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</si>
  <si>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</si>
  <si>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</si>
  <si>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</si>
  <si>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</si>
  <si>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</si>
  <si>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</si>
  <si>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</si>
  <si>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</si>
  <si>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</si>
  <si>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</si>
  <si>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</si>
  <si>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</si>
  <si>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</si>
  <si>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</si>
  <si>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</si>
  <si>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</si>
  <si>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</si>
  <si>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</si>
  <si>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</si>
  <si>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</si>
  <si>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</si>
  <si>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</si>
  <si>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</si>
  <si>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</si>
  <si>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</si>
  <si>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</si>
  <si>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</si>
  <si>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</si>
  <si>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</si>
  <si>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</si>
  <si>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</si>
  <si>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</si>
  <si>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</si>
  <si>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</si>
  <si>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</si>
  <si>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</si>
  <si>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</si>
  <si>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</si>
  <si>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</si>
  <si>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</si>
  <si>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</si>
  <si>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</si>
  <si>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</si>
  <si>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</si>
  <si>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</si>
  <si>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</si>
  <si>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</si>
  <si>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</si>
  <si>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</si>
  <si>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</si>
  <si>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</si>
  <si>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</si>
  <si>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</si>
  <si>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</si>
  <si>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</si>
  <si>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</si>
  <si>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</si>
  <si>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</si>
  <si>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</si>
  <si>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</si>
  <si>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</si>
  <si>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</si>
  <si>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</si>
  <si>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</si>
  <si>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</si>
  <si>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</si>
  <si>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</si>
  <si>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</si>
  <si>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</si>
  <si>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</si>
  <si>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</si>
  <si>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</si>
  <si>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</si>
  <si>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</si>
  <si>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</si>
  <si>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</si>
  <si>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</si>
  <si>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</si>
  <si>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</si>
  <si>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</si>
  <si>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</si>
  <si>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</si>
  <si>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</si>
  <si>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</si>
  <si>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</si>
  <si>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</si>
  <si>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</si>
  <si>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</si>
  <si>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</si>
  <si>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</si>
  <si>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</si>
  <si>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</si>
  <si>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</si>
  <si>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</si>
  <si>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</si>
  <si>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</si>
  <si>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</si>
  <si>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</si>
  <si>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</si>
  <si>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</si>
  <si>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</si>
  <si>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</si>
  <si>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</si>
  <si>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</si>
  <si>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</si>
  <si>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</si>
  <si>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</si>
  <si>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</si>
  <si>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</si>
  <si>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</si>
  <si>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</si>
  <si>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</si>
  <si>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</si>
  <si>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</si>
  <si>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</si>
  <si>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</si>
  <si>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</si>
  <si>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</si>
  <si>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</si>
  <si>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</si>
  <si>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</si>
  <si>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</si>
  <si>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</si>
  <si>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</si>
  <si>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</si>
  <si>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</si>
  <si>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</si>
  <si>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</si>
  <si>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</si>
  <si>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</si>
  <si>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</si>
  <si>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</si>
  <si>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</si>
  <si>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</si>
  <si>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</si>
  <si>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</si>
  <si>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</si>
  <si>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</si>
  <si>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</si>
  <si>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</si>
  <si>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</si>
  <si>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</si>
  <si>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</si>
  <si>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</si>
  <si>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</si>
  <si>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</si>
  <si>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</si>
  <si>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</si>
  <si>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</si>
  <si>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</si>
  <si>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</si>
  <si>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</si>
  <si>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</si>
  <si>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</si>
  <si>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</si>
  <si>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</si>
  <si>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</si>
  <si>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</si>
  <si>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</si>
  <si>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</si>
  <si>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</si>
  <si>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</si>
  <si>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</si>
  <si>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</si>
  <si>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</si>
  <si>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</si>
  <si>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</si>
  <si>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</si>
  <si>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</si>
  <si>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</si>
  <si>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</si>
  <si>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</si>
  <si>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</si>
  <si>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</si>
  <si>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</si>
  <si>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</si>
  <si>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</si>
  <si>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</si>
  <si>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</si>
  <si>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</si>
  <si>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</si>
  <si>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</si>
  <si>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</si>
  <si>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</si>
  <si>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</si>
  <si>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</si>
  <si>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</si>
  <si>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</si>
  <si>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</si>
  <si>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</si>
  <si>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</si>
  <si>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</si>
  <si>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</si>
  <si>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</si>
  <si>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</si>
  <si>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</si>
  <si>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</si>
  <si>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</si>
  <si>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</si>
  <si>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</si>
  <si>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</si>
  <si>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</si>
  <si>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</si>
  <si>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</si>
  <si>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</si>
  <si>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</si>
  <si>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</si>
  <si>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</si>
  <si>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</si>
  <si>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</si>
  <si>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</si>
  <si>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</si>
  <si>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</si>
  <si>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</si>
  <si>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</si>
  <si>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</si>
  <si>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</si>
  <si>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</si>
  <si>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</si>
  <si>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</si>
  <si>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</si>
  <si>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</si>
  <si>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</si>
  <si>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</si>
  <si>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</si>
  <si>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</si>
  <si>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</si>
  <si>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</si>
  <si>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</si>
  <si>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</si>
  <si>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</si>
  <si>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</si>
  <si>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</si>
  <si>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</si>
  <si>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</si>
  <si>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</si>
  <si>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</si>
  <si>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</si>
  <si>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</si>
  <si>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</si>
  <si>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</si>
  <si>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</si>
  <si>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</si>
  <si>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</si>
  <si>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</si>
  <si>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</si>
  <si>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</si>
  <si>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</si>
  <si>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</si>
  <si>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</si>
  <si>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</si>
  <si>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</si>
  <si>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</si>
  <si>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</si>
  <si>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</si>
  <si>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</si>
  <si>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</si>
  <si>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</si>
  <si>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</si>
  <si>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</si>
  <si>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</si>
  <si>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</si>
  <si>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</si>
  <si>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</si>
  <si>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</si>
  <si>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</si>
  <si>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</si>
  <si>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</si>
  <si>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</si>
  <si>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</si>
  <si>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</si>
  <si>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</si>
  <si>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</si>
  <si>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</si>
  <si>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</si>
  <si>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</si>
  <si>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</si>
  <si>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</si>
  <si>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</si>
  <si>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</si>
  <si>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</si>
  <si>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</si>
  <si>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</si>
  <si>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</si>
  <si>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</si>
  <si>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</si>
  <si>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</si>
  <si>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</si>
  <si>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</si>
  <si>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</si>
  <si>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</si>
  <si>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</si>
  <si>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</si>
  <si>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</si>
  <si>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</si>
  <si>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</si>
  <si>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</si>
  <si>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</si>
  <si>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</si>
  <si>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</si>
  <si>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</si>
  <si>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</si>
  <si>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</si>
  <si>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</si>
  <si>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</si>
  <si>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</si>
  <si>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</si>
  <si>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</si>
  <si>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</si>
  <si>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</si>
  <si>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</si>
  <si>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</si>
  <si>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</si>
  <si>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</si>
  <si>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</si>
  <si>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</si>
  <si>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</si>
  <si>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</si>
  <si>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</si>
  <si>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</si>
  <si>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</si>
  <si>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</si>
  <si>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</si>
  <si>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</si>
  <si>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</si>
  <si>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</si>
  <si>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</si>
  <si>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</si>
  <si>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</si>
  <si>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</si>
  <si>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</si>
  <si>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</si>
  <si>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</si>
  <si>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</si>
  <si>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</si>
  <si>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</si>
  <si>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</si>
  <si>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</si>
  <si>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</si>
  <si>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</si>
  <si>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</si>
  <si>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</si>
  <si>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</si>
  <si>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</si>
  <si>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</si>
  <si>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</si>
  <si>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</si>
  <si>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</si>
  <si>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</si>
  <si>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</si>
  <si>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</si>
  <si>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</si>
  <si>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</si>
  <si>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</si>
  <si>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</si>
  <si>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</si>
  <si>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</si>
  <si>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</si>
  <si>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</si>
  <si>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</si>
  <si>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</si>
  <si>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</si>
  <si>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</si>
  <si>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</si>
  <si>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</si>
  <si>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</si>
  <si>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</si>
  <si>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</si>
  <si>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</si>
  <si>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</si>
  <si>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</si>
  <si>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</si>
  <si>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</si>
  <si>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</si>
  <si>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</si>
  <si>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</si>
  <si>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</si>
  <si>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</si>
  <si>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</si>
  <si>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</si>
  <si>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</si>
  <si>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</si>
  <si>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</si>
  <si>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</si>
  <si>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</si>
  <si>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</si>
  <si>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</si>
  <si>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</si>
  <si>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</si>
  <si>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</si>
  <si>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</si>
  <si>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</si>
  <si>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</si>
  <si>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</si>
  <si>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</si>
  <si>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</si>
  <si>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</si>
  <si>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</si>
  <si>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</si>
  <si>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</si>
  <si>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</si>
  <si>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</si>
  <si>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</si>
  <si>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</si>
  <si>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</si>
  <si>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</si>
  <si>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</si>
  <si>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</si>
  <si>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</si>
  <si>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</si>
  <si>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</si>
  <si>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</si>
  <si>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</si>
  <si>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</si>
  <si>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</si>
  <si>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</si>
  <si>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</si>
  <si>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</si>
  <si>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</si>
  <si>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</si>
  <si>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</si>
  <si>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</si>
  <si>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</si>
  <si>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</si>
  <si>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</si>
  <si>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</si>
  <si>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</si>
  <si>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</si>
  <si>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</si>
  <si>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</si>
  <si>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</si>
  <si>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</si>
  <si>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</si>
  <si>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</si>
  <si>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</si>
  <si>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</si>
  <si>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</si>
  <si>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</si>
  <si>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</si>
  <si>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</si>
  <si>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</si>
  <si>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</si>
  <si>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</si>
  <si>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</si>
  <si>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</si>
  <si>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</si>
  <si>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</si>
  <si>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</si>
  <si>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</si>
  <si>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</si>
  <si>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</si>
  <si>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</si>
  <si>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</si>
  <si>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</si>
  <si>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</si>
  <si>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</si>
  <si>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</si>
  <si>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</si>
  <si>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</si>
  <si>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</si>
  <si>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</si>
  <si>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</si>
  <si>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</si>
  <si>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</si>
  <si>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</si>
  <si>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</si>
  <si>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</si>
  <si>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</si>
  <si>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</si>
  <si>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</si>
  <si>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</si>
  <si>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</si>
  <si>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</si>
  <si>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</si>
  <si>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</si>
  <si>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</si>
  <si>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</si>
  <si>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</si>
  <si>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</si>
  <si>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</si>
  <si>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</si>
  <si>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</si>
  <si>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</si>
  <si>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</si>
  <si>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</si>
  <si>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</si>
  <si>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</si>
  <si>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</si>
  <si>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</si>
  <si>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</si>
  <si>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</si>
  <si>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</si>
  <si>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</si>
  <si>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</si>
  <si>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</si>
  <si>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</si>
  <si>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</si>
  <si>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</si>
  <si>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</si>
  <si>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</si>
  <si>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</si>
  <si>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</si>
  <si>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</si>
  <si>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</si>
  <si>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</si>
  <si>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</si>
  <si>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</si>
  <si>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</si>
  <si>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</si>
  <si>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</si>
  <si>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</si>
  <si>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</si>
  <si>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</si>
  <si>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</si>
  <si>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</si>
  <si>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</si>
  <si>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</si>
  <si>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</si>
  <si>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</si>
  <si>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</si>
  <si>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</si>
  <si>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</si>
  <si>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</si>
  <si>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</si>
  <si>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</si>
  <si>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</si>
  <si>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</si>
  <si>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</si>
  <si>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</si>
  <si>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</si>
  <si>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</si>
  <si>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</si>
  <si>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</si>
  <si>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</si>
  <si>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</si>
  <si>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</si>
  <si>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</si>
  <si>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</si>
  <si>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</si>
  <si>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</si>
  <si>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</si>
  <si>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</si>
  <si>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</si>
  <si>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</si>
  <si>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</si>
  <si>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</si>
  <si>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</si>
  <si>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</si>
  <si>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</si>
  <si>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</si>
  <si>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</si>
  <si>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</si>
  <si>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</si>
  <si>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</si>
  <si>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</si>
  <si>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</si>
  <si>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</si>
  <si>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</si>
  <si>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</si>
  <si>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</si>
  <si>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</si>
  <si>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</si>
  <si>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</si>
  <si>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</si>
  <si>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</si>
  <si>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</si>
  <si>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</si>
  <si>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</si>
  <si>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</si>
  <si>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</si>
  <si>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</si>
  <si>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</si>
  <si>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</si>
  <si>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</si>
  <si>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</si>
  <si>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</si>
  <si>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</si>
  <si>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</si>
  <si>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</si>
  <si>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</si>
  <si>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</si>
  <si>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</si>
  <si>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</si>
  <si>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</si>
  <si>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</si>
  <si>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</si>
  <si>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</si>
  <si>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</si>
  <si>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</si>
  <si>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</si>
  <si>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</si>
  <si>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</si>
  <si>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</si>
  <si>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</si>
  <si>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</si>
  <si>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</si>
  <si>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</si>
  <si>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</si>
  <si>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</si>
  <si>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</si>
  <si>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</si>
  <si>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</si>
  <si>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</si>
  <si>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</si>
  <si>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</si>
  <si>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</si>
  <si>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</si>
  <si>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</si>
  <si>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</si>
  <si>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</si>
  <si>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</si>
  <si>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</si>
  <si>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</si>
  <si>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</si>
  <si>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</si>
  <si>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</si>
  <si>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</si>
  <si>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</si>
  <si>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</si>
  <si>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</si>
  <si>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</si>
  <si>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</si>
  <si>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</si>
  <si>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</si>
  <si>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</si>
  <si>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</si>
  <si>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</si>
  <si>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</si>
  <si>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</si>
  <si>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</si>
  <si>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</si>
  <si>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</si>
  <si>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</si>
  <si>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</si>
  <si>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</si>
  <si>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</si>
  <si>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</si>
  <si>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</si>
  <si>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</si>
  <si>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</si>
  <si>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</si>
  <si>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</si>
  <si>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</si>
  <si>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</si>
  <si>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</si>
  <si>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</si>
  <si>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</si>
  <si>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</si>
  <si>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</si>
  <si>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</si>
  <si>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</si>
  <si>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</si>
  <si>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</si>
  <si>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</si>
  <si>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</si>
  <si>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</si>
  <si>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</si>
  <si>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</si>
  <si>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</si>
  <si>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</si>
  <si>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</si>
  <si>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</si>
  <si>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</si>
  <si>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</si>
  <si>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</si>
  <si>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</si>
  <si>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</si>
  <si>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</si>
  <si>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</si>
  <si>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</si>
  <si>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</si>
  <si>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</si>
  <si>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</si>
  <si>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</si>
  <si>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</si>
  <si>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</si>
  <si>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</si>
  <si>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</si>
  <si>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</si>
  <si>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</si>
  <si>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</si>
  <si>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</si>
  <si>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</si>
  <si>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</si>
  <si>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</si>
  <si>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</si>
  <si>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</si>
  <si>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</si>
  <si>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</si>
  <si>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</si>
  <si>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</si>
  <si>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</si>
  <si>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</si>
  <si>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</si>
  <si>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</si>
  <si>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</si>
  <si>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</si>
  <si>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</si>
  <si>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</si>
  <si>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</si>
  <si>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</si>
  <si>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</si>
  <si>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</si>
  <si>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</si>
  <si>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</si>
  <si>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</si>
  <si>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</si>
  <si>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</si>
  <si>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</si>
  <si>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</si>
  <si>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</si>
  <si>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</si>
  <si>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</si>
  <si>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</si>
  <si>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</si>
  <si>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</si>
  <si>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</si>
  <si>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</si>
  <si>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</si>
  <si>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</si>
  <si>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</si>
  <si>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</si>
  <si>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</si>
  <si>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</si>
  <si>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</si>
  <si>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</si>
  <si>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</si>
  <si>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</si>
  <si>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</si>
  <si>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</si>
  <si>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</si>
  <si>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</si>
  <si>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</si>
  <si>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</si>
  <si>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</si>
  <si>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</si>
  <si>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</si>
  <si>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</si>
  <si>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</si>
  <si>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</si>
  <si>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</si>
  <si>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</si>
  <si>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</si>
  <si>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</si>
  <si>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</si>
  <si>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</si>
  <si>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</si>
  <si>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</si>
  <si>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</si>
  <si>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</si>
  <si>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</si>
  <si>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</si>
  <si>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</si>
  <si>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</si>
  <si>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</si>
  <si>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</si>
  <si>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</si>
  <si>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</si>
  <si>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</si>
  <si>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</si>
  <si>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</si>
  <si>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</si>
  <si>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</si>
  <si>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</si>
  <si>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</si>
  <si>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</si>
  <si>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</si>
  <si>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</si>
  <si>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</si>
  <si>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</si>
  <si>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</si>
  <si>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</si>
  <si>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</si>
  <si>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</si>
  <si>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</si>
  <si>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</si>
  <si>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</si>
  <si>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</si>
  <si>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</si>
  <si>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</si>
  <si>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</si>
  <si>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</si>
  <si>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</si>
  <si>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</si>
  <si>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</si>
  <si>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</si>
  <si>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</si>
  <si>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</si>
  <si>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</si>
  <si>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</si>
  <si>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</si>
  <si>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</si>
  <si>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</si>
  <si>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</si>
  <si>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</si>
  <si>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</si>
  <si>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</si>
  <si>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</si>
  <si>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</si>
  <si>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</si>
  <si>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</si>
  <si>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</si>
  <si>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</si>
  <si>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</si>
  <si>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</si>
  <si>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</si>
  <si>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</si>
  <si>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</si>
  <si>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</si>
  <si>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</si>
  <si>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</si>
  <si>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</si>
  <si>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</si>
  <si>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</si>
  <si>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</si>
  <si>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</si>
  <si>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</si>
  <si>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</si>
  <si>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</si>
  <si>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</si>
  <si>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</si>
  <si>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</si>
  <si>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</si>
  <si>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</si>
  <si>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</si>
  <si>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</si>
  <si>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</si>
  <si>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</si>
  <si>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</si>
  <si>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</si>
  <si>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</si>
  <si>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</si>
  <si>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</si>
  <si>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</si>
  <si>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</si>
  <si>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</si>
  <si>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</si>
  <si>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</si>
  <si>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</si>
  <si>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</si>
  <si>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</si>
  <si>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</si>
  <si>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</si>
  <si>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</si>
  <si>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</si>
  <si>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</si>
  <si>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</si>
  <si>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</si>
  <si>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</si>
  <si>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</si>
  <si>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</si>
  <si>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</si>
  <si>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</si>
  <si>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</si>
  <si>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</si>
  <si>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</si>
  <si>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</si>
  <si>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</si>
  <si>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</si>
  <si>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</si>
  <si>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</si>
  <si>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</si>
  <si>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</si>
  <si>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</si>
  <si>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</si>
  <si>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</si>
  <si>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</si>
  <si>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</si>
  <si>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</si>
  <si>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</si>
  <si>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</si>
  <si>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</si>
  <si>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</si>
  <si>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</si>
  <si>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</si>
  <si>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</si>
  <si>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</si>
  <si>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</si>
  <si>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</si>
  <si>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</si>
  <si>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</si>
  <si>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</si>
  <si>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</si>
  <si>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</si>
  <si>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</si>
  <si>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</si>
  <si>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</si>
  <si>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</si>
  <si>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</si>
  <si>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</si>
  <si>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</si>
  <si>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</si>
  <si>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</si>
  <si>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</si>
  <si>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</si>
  <si>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</si>
  <si>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</si>
  <si>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</si>
  <si>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</si>
  <si>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</si>
  <si>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</si>
  <si>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</si>
  <si>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</si>
  <si>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</si>
  <si>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</si>
  <si>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</si>
  <si>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</si>
  <si>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</si>
  <si>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</si>
  <si>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</si>
  <si>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</si>
  <si>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</si>
  <si>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</si>
  <si>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</si>
  <si>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</si>
  <si>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</si>
  <si>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</si>
  <si>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</si>
  <si>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</si>
  <si>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</si>
  <si>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</si>
  <si>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</si>
  <si>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</si>
  <si>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</si>
  <si>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</si>
  <si>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</si>
  <si>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</si>
  <si>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</si>
  <si>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</si>
  <si>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</si>
  <si>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</si>
  <si>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</si>
  <si>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</si>
  <si>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</si>
  <si>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</si>
  <si>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</si>
  <si>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</si>
  <si>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</si>
  <si>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</si>
  <si>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</si>
  <si>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</si>
  <si>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</si>
  <si>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</si>
  <si>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</si>
  <si>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</si>
  <si>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</si>
  <si>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</si>
  <si>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</si>
  <si>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</si>
  <si>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</si>
  <si>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</si>
  <si>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</si>
  <si>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</si>
  <si>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</si>
  <si>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</si>
  <si>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</si>
  <si>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</si>
  <si>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</si>
  <si>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</si>
  <si>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</si>
  <si>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</si>
  <si>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</si>
  <si>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</si>
  <si>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</si>
  <si>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</si>
  <si>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</si>
  <si>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</si>
  <si>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</si>
  <si>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</si>
  <si>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</si>
  <si>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</si>
  <si>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</si>
  <si>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</si>
  <si>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</si>
  <si>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</si>
  <si>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</si>
  <si>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</si>
  <si>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</si>
  <si>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</si>
  <si>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</si>
  <si>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</si>
  <si>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</si>
  <si>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</si>
  <si>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</si>
  <si>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</si>
  <si>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</si>
  <si>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</si>
  <si>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</si>
  <si>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</si>
  <si>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</si>
  <si>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</si>
  <si>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</si>
  <si>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</si>
  <si>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</si>
  <si>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</si>
  <si>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</si>
  <si>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</si>
  <si>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</si>
  <si>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</si>
  <si>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</si>
  <si>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</si>
  <si>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</si>
  <si>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</si>
  <si>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</si>
  <si>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</si>
  <si>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</si>
  <si>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</si>
  <si>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</si>
  <si>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</si>
  <si>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</si>
  <si>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</si>
  <si>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</si>
  <si>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</si>
  <si>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</si>
  <si>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</si>
  <si>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</si>
  <si>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</si>
  <si>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</si>
  <si>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</si>
  <si>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</si>
  <si>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</si>
  <si>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</si>
  <si>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</si>
  <si>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</si>
  <si>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</si>
  <si>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</si>
  <si>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</si>
  <si>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</si>
  <si>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</si>
  <si>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</si>
  <si>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</si>
  <si>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</si>
  <si>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</si>
  <si>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</si>
  <si>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</si>
  <si>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</si>
  <si>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</si>
  <si>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</si>
  <si>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</si>
  <si>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</si>
  <si>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</si>
  <si>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</si>
  <si>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</si>
  <si>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</si>
  <si>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</si>
  <si>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</si>
  <si>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</si>
  <si>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</si>
  <si>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</si>
  <si>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</si>
  <si>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</si>
  <si>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</si>
  <si>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</si>
  <si>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</si>
  <si>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</si>
  <si>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</si>
  <si>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</si>
  <si>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</si>
  <si>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</si>
  <si>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</si>
  <si>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</si>
  <si>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</si>
  <si>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</si>
  <si>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</si>
  <si>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</si>
  <si>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</si>
  <si>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</si>
  <si>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</si>
  <si>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</si>
  <si>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</si>
  <si>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</si>
  <si>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</si>
  <si>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</si>
  <si>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</si>
  <si>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</si>
  <si>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</si>
  <si>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</si>
  <si>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</si>
  <si>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</si>
  <si>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</si>
  <si>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</si>
  <si>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</si>
  <si>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</si>
  <si>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</si>
  <si>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</si>
  <si>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</si>
  <si>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</si>
  <si>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</si>
  <si>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</si>
  <si>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</si>
  <si>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</si>
  <si>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</si>
  <si>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</si>
  <si>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</si>
  <si>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</si>
  <si>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</si>
  <si>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</si>
  <si>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</si>
  <si>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</si>
  <si>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</si>
  <si>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</si>
  <si>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</si>
  <si>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</si>
  <si>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</si>
  <si>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</si>
  <si>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</si>
  <si>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</si>
  <si>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</si>
  <si>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</si>
  <si>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</si>
  <si>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</si>
  <si>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</si>
  <si>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</si>
  <si>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</si>
  <si>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</si>
  <si>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</si>
  <si>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</si>
  <si>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</si>
  <si>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</si>
  <si>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</si>
  <si>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</si>
  <si>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</si>
  <si>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</si>
  <si>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</si>
  <si>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</si>
  <si>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</si>
  <si>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</si>
  <si>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</si>
  <si>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</si>
  <si>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</si>
  <si>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</si>
  <si>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</si>
  <si>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</si>
  <si>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</si>
  <si>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</si>
  <si>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</si>
  <si>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</si>
  <si>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</si>
  <si>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</si>
  <si>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</si>
  <si>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</si>
  <si>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</si>
  <si>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</si>
  <si>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</si>
  <si>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</si>
  <si>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</si>
  <si>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</si>
  <si>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</si>
  <si>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</si>
  <si>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</si>
  <si>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</si>
  <si>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</si>
  <si>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</si>
  <si>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</si>
  <si>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</si>
  <si>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</si>
  <si>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</si>
  <si>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</si>
  <si>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</si>
  <si>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</si>
  <si>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</si>
  <si>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</si>
  <si>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</si>
  <si>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</si>
  <si>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</si>
  <si>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</si>
  <si>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</si>
  <si>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</si>
  <si>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</si>
  <si>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</si>
  <si>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</si>
  <si>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</si>
  <si>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</si>
  <si>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</si>
  <si>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</si>
  <si>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</si>
  <si>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</si>
  <si>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</si>
  <si>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</si>
  <si>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</si>
  <si>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</si>
  <si>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</si>
  <si>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</si>
  <si>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</si>
  <si>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</si>
  <si>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</si>
  <si>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</si>
  <si>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</si>
  <si>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</si>
  <si>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</si>
  <si>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</si>
  <si>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</si>
  <si>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</si>
  <si>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</si>
  <si>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</si>
  <si>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</si>
  <si>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</si>
  <si>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</si>
  <si>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</si>
  <si>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</si>
  <si>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</si>
  <si>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</si>
  <si>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</si>
  <si>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</si>
  <si>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</si>
  <si>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</si>
  <si>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</si>
  <si>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</si>
  <si>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</si>
  <si>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</si>
  <si>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</si>
  <si>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</si>
  <si>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</si>
  <si>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</si>
  <si>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</si>
  <si>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</si>
  <si>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</si>
  <si>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</si>
  <si>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</si>
  <si>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</si>
  <si>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</si>
  <si>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</si>
  <si>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</si>
  <si>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</si>
  <si>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</si>
  <si>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</si>
  <si>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</si>
  <si>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</si>
  <si>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</si>
  <si>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</si>
  <si>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</si>
  <si>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</si>
  <si>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</si>
  <si>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</si>
  <si>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</si>
  <si>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</si>
  <si>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</si>
  <si>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</si>
  <si>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</si>
  <si>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</si>
  <si>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</si>
  <si>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</si>
  <si>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</si>
  <si>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</si>
  <si>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</si>
  <si>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</si>
  <si>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</si>
  <si>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</si>
  <si>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</si>
  <si>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</si>
  <si>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</si>
  <si>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</si>
  <si>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</si>
  <si>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</si>
  <si>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</si>
  <si>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</si>
  <si>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</si>
  <si>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</si>
  <si>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</si>
  <si>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</si>
  <si>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</si>
  <si>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</si>
  <si>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</si>
  <si>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</si>
  <si>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</si>
  <si>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</si>
  <si>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</si>
  <si>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</si>
  <si>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</si>
  <si>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</si>
  <si>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</si>
  <si>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</si>
  <si>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</si>
  <si>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</si>
  <si>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</si>
  <si>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</si>
  <si>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</si>
  <si>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</si>
  <si>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</si>
  <si>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</si>
  <si>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</si>
  <si>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</si>
  <si>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</si>
  <si>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</si>
  <si>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</si>
  <si>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</si>
  <si>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</si>
  <si>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</si>
  <si>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</si>
  <si>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</si>
  <si>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</si>
  <si>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</si>
  <si>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</si>
  <si>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</si>
  <si>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</si>
  <si>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</si>
  <si>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</si>
  <si>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</si>
  <si>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</si>
  <si>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</si>
  <si>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</si>
  <si>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</si>
  <si>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</si>
  <si>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</si>
  <si>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</si>
  <si>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</si>
  <si>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</si>
  <si>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</si>
  <si>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</si>
  <si>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</si>
  <si>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</si>
  <si>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</si>
  <si>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</si>
  <si>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</si>
  <si>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</si>
  <si>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</si>
  <si>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</si>
  <si>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</si>
  <si>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</si>
  <si>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</si>
  <si>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</si>
  <si>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</si>
  <si>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</si>
  <si>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</si>
  <si>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</si>
  <si>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</si>
  <si>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</si>
  <si>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</si>
  <si>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</si>
  <si>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</si>
  <si>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</si>
  <si>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</si>
  <si>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</si>
  <si>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</si>
  <si>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</si>
  <si>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</si>
  <si>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</si>
  <si>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</si>
  <si>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</si>
  <si>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</si>
  <si>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</si>
  <si>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</si>
  <si>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</si>
  <si>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</si>
  <si>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</si>
  <si>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</si>
  <si>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</si>
  <si>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</si>
  <si>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</si>
  <si>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</si>
  <si>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</si>
  <si>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</si>
  <si>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</si>
  <si>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</si>
  <si>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</si>
  <si>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</si>
  <si>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</si>
  <si>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</si>
  <si>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</si>
  <si>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</si>
  <si>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</si>
  <si>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</si>
  <si>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</si>
  <si>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</si>
  <si>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</si>
  <si>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</si>
  <si>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</si>
  <si>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</si>
  <si>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</si>
  <si>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</si>
  <si>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</si>
  <si>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</si>
  <si>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</si>
  <si>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</si>
  <si>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</si>
  <si>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</si>
  <si>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</si>
  <si>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</si>
  <si>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</si>
  <si>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</si>
  <si>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</si>
  <si>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</si>
  <si>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</si>
  <si>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</si>
  <si>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</si>
  <si>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</si>
  <si>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</si>
  <si>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</si>
  <si>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</si>
  <si>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</si>
  <si>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</si>
  <si>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</si>
  <si>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</si>
  <si>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</si>
  <si>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</si>
  <si>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</si>
  <si>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</si>
  <si>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</si>
  <si>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</si>
  <si>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</si>
  <si>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</si>
  <si>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</si>
  <si>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</si>
  <si>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</si>
  <si>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</si>
  <si>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</si>
  <si>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</si>
  <si>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</si>
  <si>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</si>
  <si>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</si>
  <si>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</si>
  <si>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</si>
  <si>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</si>
  <si>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</si>
  <si>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</si>
  <si>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</si>
  <si>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</si>
  <si>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</si>
  <si>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</si>
  <si>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</si>
  <si>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</si>
  <si>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</si>
  <si>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</si>
  <si>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</si>
  <si>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</si>
  <si>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</si>
  <si>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</si>
  <si>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</si>
  <si>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</si>
  <si>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</si>
  <si>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</si>
  <si>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</si>
  <si>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</si>
  <si>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</si>
  <si>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</si>
  <si>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</si>
  <si>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</si>
  <si>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</si>
  <si>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</si>
  <si>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</si>
  <si>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</si>
  <si>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</si>
  <si>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</si>
  <si>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</si>
  <si>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</si>
  <si>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</si>
  <si>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</si>
  <si>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</si>
  <si>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</si>
  <si>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</si>
  <si>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</si>
  <si>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</si>
  <si>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</si>
  <si>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</si>
  <si>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</si>
  <si>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</si>
  <si>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</si>
  <si>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</si>
  <si>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</si>
  <si>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</si>
  <si>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</si>
  <si>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</si>
  <si>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</si>
  <si>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</si>
  <si>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</si>
  <si>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</si>
  <si>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</si>
  <si>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</si>
  <si>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</si>
  <si>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</si>
  <si>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</si>
  <si>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</si>
  <si>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</si>
  <si>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</si>
  <si>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</si>
  <si>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</si>
  <si>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</si>
  <si>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</si>
  <si>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</si>
  <si>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</si>
  <si>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</si>
  <si>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</si>
  <si>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</si>
  <si>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</si>
  <si>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</si>
  <si>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</si>
  <si>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</si>
  <si>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</si>
  <si>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</si>
  <si>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</si>
  <si>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</si>
  <si>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</si>
  <si>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</si>
  <si>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</si>
  <si>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</si>
  <si>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</si>
  <si>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</si>
  <si>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</si>
  <si>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</si>
  <si>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</si>
  <si>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</si>
  <si>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</si>
  <si>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</si>
  <si>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</si>
  <si>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</si>
  <si>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</si>
  <si>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</si>
  <si>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</si>
  <si>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</si>
  <si>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</si>
  <si>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</si>
  <si>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</si>
  <si>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</si>
  <si>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</si>
  <si>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</si>
  <si>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</si>
  <si>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</si>
  <si>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</si>
  <si>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</si>
  <si>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</si>
  <si>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</si>
  <si>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</si>
  <si>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</si>
  <si>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</si>
  <si>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</si>
  <si>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</si>
  <si>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</si>
  <si>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</si>
  <si>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</si>
  <si>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</si>
  <si>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</si>
  <si>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</si>
  <si>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</si>
  <si>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</si>
  <si>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</si>
  <si>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</si>
  <si>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</si>
  <si>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</si>
  <si>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</si>
  <si>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</si>
  <si>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</si>
  <si>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</si>
  <si>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</si>
  <si>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</si>
  <si>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</si>
  <si>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</si>
  <si>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</si>
  <si>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</si>
  <si>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</si>
  <si>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</si>
  <si>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</si>
  <si>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</si>
  <si>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</si>
  <si>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</si>
  <si>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</si>
  <si>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</si>
  <si>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</si>
  <si>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</si>
  <si>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</si>
  <si>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</si>
  <si>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</si>
  <si>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</si>
  <si>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</si>
  <si>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</si>
  <si>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</si>
  <si>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</si>
  <si>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</si>
  <si>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</si>
  <si>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</si>
  <si>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</si>
  <si>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</si>
  <si>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</si>
  <si>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</si>
  <si>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</si>
  <si>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</si>
  <si>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</si>
  <si>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</si>
  <si>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</si>
  <si>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</si>
  <si>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</si>
  <si>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</si>
  <si>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</si>
  <si>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</si>
  <si>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</si>
  <si>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</si>
  <si>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</si>
  <si>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</si>
  <si>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</si>
  <si>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</si>
  <si>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</si>
  <si>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</si>
  <si>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</si>
  <si>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</si>
  <si>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</si>
  <si>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</si>
  <si>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</si>
  <si>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</si>
  <si>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</si>
  <si>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</si>
  <si>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</si>
  <si>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</si>
  <si>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</si>
  <si>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</si>
  <si>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</si>
  <si>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</si>
  <si>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</si>
  <si>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</si>
  <si>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</si>
  <si>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</si>
  <si>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</si>
  <si>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</si>
  <si>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</si>
  <si>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</si>
  <si>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</si>
  <si>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</si>
  <si>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</si>
  <si>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</si>
  <si>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</si>
  <si>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</si>
  <si>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</si>
  <si>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</si>
  <si>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</si>
  <si>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</si>
  <si>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</si>
  <si>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</si>
  <si>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</si>
  <si>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</si>
  <si>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</si>
  <si>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</si>
  <si>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</si>
  <si>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</si>
  <si>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</si>
  <si>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</si>
  <si>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</si>
  <si>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</si>
  <si>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</si>
  <si>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</si>
  <si>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</si>
  <si>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</si>
  <si>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</si>
  <si>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</si>
  <si>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</si>
  <si>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</si>
  <si>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</si>
  <si>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</si>
  <si>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</si>
  <si>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</si>
  <si>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</si>
  <si>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</si>
  <si>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</si>
  <si>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</si>
  <si>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</si>
  <si>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</si>
  <si>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</si>
  <si>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</si>
  <si>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</si>
  <si>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</si>
  <si>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</si>
  <si>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</si>
  <si>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</si>
  <si>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</si>
  <si>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</si>
  <si>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</si>
  <si>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</si>
  <si>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</si>
  <si>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</si>
  <si>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</si>
  <si>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</si>
  <si>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</si>
  <si>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</si>
  <si>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</si>
  <si>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</si>
  <si>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</si>
  <si>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</si>
  <si>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</si>
  <si>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</si>
  <si>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</si>
  <si>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</si>
  <si>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</si>
  <si>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</si>
  <si>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</si>
  <si>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</si>
  <si>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</si>
  <si>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</si>
  <si>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</si>
  <si>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</si>
  <si>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</si>
  <si>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</si>
  <si>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</si>
  <si>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</si>
  <si>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</si>
  <si>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</si>
  <si>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</si>
  <si>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</si>
  <si>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</si>
  <si>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</si>
  <si>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</si>
  <si>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</si>
  <si>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</si>
  <si>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</si>
  <si>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</si>
  <si>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</si>
  <si>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</si>
  <si>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</si>
  <si>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</si>
  <si>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</si>
  <si>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</si>
  <si>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</si>
  <si>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</si>
  <si>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</si>
  <si>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</si>
  <si>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</si>
  <si>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</si>
  <si>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</si>
  <si>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</si>
  <si>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</si>
  <si>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</si>
  <si>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</si>
  <si>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</si>
  <si>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</si>
  <si>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</si>
  <si>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</si>
  <si>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</si>
  <si>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</si>
  <si>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</si>
  <si>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</si>
  <si>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</si>
  <si>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</si>
  <si>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</si>
  <si>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</si>
  <si>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</si>
  <si>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</si>
  <si>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</si>
  <si>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</si>
  <si>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</si>
  <si>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</si>
  <si>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</si>
  <si>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</si>
  <si>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</si>
  <si>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</si>
  <si>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</si>
  <si>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</si>
  <si>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</si>
  <si>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</si>
  <si>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</si>
  <si>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</si>
  <si>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</si>
  <si>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</si>
  <si>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</si>
  <si>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</si>
  <si>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</si>
  <si>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</si>
  <si>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</si>
  <si>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</si>
  <si>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</si>
  <si>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</si>
  <si>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</si>
  <si>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</si>
  <si>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</si>
  <si>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</si>
  <si>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</si>
  <si>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</si>
  <si>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</si>
  <si>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</si>
  <si>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</si>
  <si>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</si>
  <si>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</si>
  <si>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</si>
  <si>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</si>
  <si>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</si>
  <si>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</si>
  <si>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</si>
  <si>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</si>
  <si>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</si>
  <si>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</si>
  <si>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</si>
  <si>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</si>
  <si>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</si>
  <si>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</si>
  <si>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</si>
  <si>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</si>
  <si>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</si>
  <si>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</si>
  <si>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</si>
  <si>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</si>
  <si>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</si>
  <si>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</si>
  <si>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</si>
  <si>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</si>
  <si>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</si>
  <si>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</si>
  <si>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</si>
  <si>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</si>
  <si>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</si>
  <si>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</si>
  <si>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</si>
  <si>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</si>
  <si>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</si>
  <si>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</si>
  <si>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</si>
  <si>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</si>
  <si>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</si>
  <si>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</si>
  <si>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</si>
  <si>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</si>
  <si>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</si>
  <si>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</si>
  <si>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</si>
  <si>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</si>
  <si>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</si>
  <si>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</si>
  <si>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</si>
  <si>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</si>
  <si>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</si>
  <si>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</si>
  <si>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</si>
  <si>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</si>
  <si>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</si>
  <si>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</si>
  <si>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</si>
  <si>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</si>
  <si>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</si>
  <si>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</si>
  <si>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</si>
  <si>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</si>
  <si>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</si>
  <si>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</si>
  <si>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</si>
  <si>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</si>
  <si>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</si>
  <si>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</si>
  <si>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</si>
  <si>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</si>
  <si>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</si>
  <si>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</si>
  <si>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</si>
  <si>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</si>
  <si>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</si>
  <si>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</si>
  <si>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</si>
  <si>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</si>
  <si>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</si>
  <si>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</si>
  <si>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</si>
  <si>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</si>
  <si>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</si>
  <si>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</si>
  <si>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</si>
  <si>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</si>
  <si>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</si>
  <si>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</si>
  <si>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</si>
  <si>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</si>
  <si>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</si>
  <si>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</si>
  <si>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</si>
  <si>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</si>
  <si>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</si>
  <si>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</si>
  <si>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</si>
  <si>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</si>
  <si>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</si>
  <si>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</si>
  <si>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</si>
  <si>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</si>
  <si>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</si>
  <si>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</si>
  <si>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</si>
  <si>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</si>
  <si>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</si>
  <si>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</si>
  <si>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</si>
  <si>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</si>
  <si>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</si>
  <si>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</si>
  <si>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</si>
  <si>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</si>
  <si>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</si>
  <si>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</si>
  <si>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</si>
  <si>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</si>
  <si>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</si>
  <si>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</si>
  <si>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</si>
  <si>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</si>
  <si>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</si>
  <si>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</si>
  <si>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</si>
  <si>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</si>
  <si>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</si>
  <si>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</si>
  <si>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</si>
  <si>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</si>
  <si>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</si>
  <si>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</si>
  <si>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</si>
  <si>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</si>
  <si>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</si>
  <si>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</si>
  <si>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</si>
  <si>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</si>
  <si>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</si>
  <si>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</si>
  <si>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</si>
  <si>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</si>
  <si>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</si>
  <si>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</si>
  <si>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</si>
  <si>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</si>
  <si>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</si>
  <si>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</si>
  <si>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</si>
  <si>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</si>
  <si>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</si>
  <si>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</si>
  <si>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</si>
  <si>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</si>
  <si>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</si>
  <si>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</si>
  <si>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</si>
  <si>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</si>
  <si>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</si>
  <si>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</si>
  <si>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</si>
  <si>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</si>
  <si>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</si>
  <si>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</si>
  <si>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</si>
  <si>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</si>
  <si>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</si>
  <si>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</si>
  <si>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</si>
  <si>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</si>
  <si>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</si>
  <si>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</si>
  <si>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</si>
  <si>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</si>
  <si>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</si>
  <si>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</si>
  <si>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</si>
  <si>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</si>
  <si>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</si>
  <si>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</si>
  <si>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</si>
  <si>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</si>
  <si>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</si>
  <si>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</si>
  <si>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</si>
  <si>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</si>
  <si>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</si>
  <si>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</si>
  <si>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</si>
  <si>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</si>
  <si>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</si>
  <si>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</si>
  <si>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</si>
  <si>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</si>
  <si>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</si>
  <si>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</si>
  <si>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</si>
  <si>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</si>
  <si>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</si>
  <si>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</si>
  <si>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</si>
  <si>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</si>
  <si>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</si>
  <si>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</si>
  <si>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</si>
  <si>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</si>
  <si>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</si>
  <si>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</si>
  <si>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</si>
  <si>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</si>
  <si>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</si>
  <si>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</si>
  <si>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</si>
  <si>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</si>
  <si>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</si>
  <si>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</si>
  <si>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</si>
  <si>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</si>
  <si>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</si>
  <si>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</si>
  <si>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</si>
  <si>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</si>
  <si>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</si>
  <si>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</si>
  <si>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</si>
  <si>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</si>
  <si>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</si>
  <si>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</si>
  <si>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</si>
  <si>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</si>
  <si>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</si>
  <si>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</si>
  <si>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</si>
  <si>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</si>
  <si>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</si>
  <si>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</si>
  <si>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</si>
  <si>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</si>
  <si>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</si>
  <si>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</si>
  <si>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</si>
  <si>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</si>
  <si>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</si>
  <si>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</si>
  <si>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</si>
  <si>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</si>
  <si>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</si>
  <si>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</si>
  <si>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</si>
  <si>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</si>
  <si>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</si>
  <si>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</si>
  <si>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</si>
  <si>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</si>
  <si>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</si>
  <si>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</si>
  <si>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</si>
  <si>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</si>
  <si>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</si>
  <si>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</si>
  <si>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</si>
  <si>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</si>
  <si>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</si>
  <si>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</si>
  <si>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</si>
  <si>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</si>
  <si>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</si>
  <si>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</si>
  <si>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</si>
  <si>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</si>
  <si>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</si>
  <si>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</si>
  <si>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</si>
  <si>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</si>
  <si>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</si>
  <si>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</si>
  <si>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</si>
  <si>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</si>
  <si>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</si>
  <si>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</si>
  <si>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</si>
  <si>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</si>
  <si>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</si>
  <si>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</si>
  <si>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</si>
  <si>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</si>
  <si>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</si>
  <si>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</si>
  <si>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</si>
  <si>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</si>
  <si>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</si>
  <si>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</si>
  <si>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</si>
  <si>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</si>
  <si>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</si>
  <si>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</si>
  <si>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</si>
  <si>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</si>
  <si>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</si>
  <si>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</si>
  <si>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</si>
  <si>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</si>
  <si>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</si>
  <si>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</si>
  <si>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</si>
  <si>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</si>
  <si>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</si>
  <si>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</si>
  <si>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</si>
  <si>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</si>
  <si>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</si>
  <si>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</si>
  <si>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</si>
  <si>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</si>
  <si>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</si>
  <si>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</si>
  <si>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</si>
  <si>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</si>
  <si>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</si>
  <si>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</si>
  <si>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</si>
  <si>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</si>
  <si>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</si>
  <si>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</si>
  <si>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</si>
  <si>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</si>
  <si>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</si>
  <si>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</si>
  <si>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</si>
  <si>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</si>
  <si>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</si>
  <si>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</si>
  <si>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</si>
  <si>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</si>
  <si>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</si>
  <si>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</si>
  <si>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</si>
  <si>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</si>
  <si>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</si>
  <si>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</si>
  <si>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</si>
  <si>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</si>
  <si>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</si>
  <si>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</si>
  <si>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</si>
  <si>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</si>
  <si>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</si>
  <si>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</si>
  <si>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</si>
  <si>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</si>
  <si>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</si>
  <si>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</si>
  <si>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</si>
  <si>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</si>
  <si>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</si>
  <si>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</si>
  <si>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</si>
  <si>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</si>
  <si>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</si>
  <si>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</si>
  <si>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</si>
  <si>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</si>
  <si>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</si>
  <si>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</si>
  <si>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</si>
  <si>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</si>
  <si>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</si>
  <si>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</si>
  <si>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</si>
  <si>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</si>
  <si>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</si>
  <si>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</si>
  <si>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</si>
  <si>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</si>
  <si>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</si>
  <si>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</si>
  <si>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</si>
  <si>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</si>
  <si>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</si>
  <si>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</si>
  <si>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</si>
  <si>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</si>
  <si>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</si>
  <si>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</si>
  <si>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</si>
  <si>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</si>
  <si>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</si>
  <si>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</si>
  <si>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</si>
  <si>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</si>
  <si>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</si>
  <si>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</si>
  <si>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</si>
  <si>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</si>
  <si>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</si>
  <si>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</si>
  <si>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</si>
  <si>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</si>
  <si>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</si>
  <si>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</si>
  <si>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</si>
  <si>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</si>
  <si>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</si>
  <si>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</si>
  <si>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</si>
  <si>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</si>
  <si>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</si>
  <si>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</si>
  <si>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</si>
  <si>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</si>
  <si>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</si>
  <si>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</si>
  <si>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</si>
  <si>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</si>
  <si>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</si>
  <si>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</si>
  <si>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</si>
  <si>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</si>
  <si>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</si>
  <si>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</si>
  <si>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</si>
  <si>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</si>
  <si>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</si>
  <si>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</si>
  <si>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</si>
  <si>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</si>
  <si>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</si>
  <si>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</si>
  <si>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</si>
  <si>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</si>
  <si>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</si>
  <si>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</si>
  <si>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</si>
  <si>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</si>
  <si>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</si>
  <si>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</si>
  <si>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</si>
  <si>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</si>
  <si>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</si>
  <si>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</si>
  <si>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</si>
  <si>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</si>
  <si>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</si>
  <si>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</si>
  <si>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</si>
  <si>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</si>
  <si>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</si>
  <si>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</si>
  <si>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</si>
  <si>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</si>
  <si>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</si>
  <si>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</si>
  <si>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</si>
  <si>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</si>
  <si>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</si>
  <si>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</si>
  <si>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</si>
  <si>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</si>
  <si>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</si>
  <si>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</si>
  <si>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</si>
  <si>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</si>
  <si>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</si>
  <si>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</si>
  <si>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</si>
  <si>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</si>
  <si>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</si>
  <si>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</si>
  <si>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</si>
  <si>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</si>
  <si>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</si>
  <si>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</si>
  <si>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</si>
  <si>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</si>
  <si>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</si>
  <si>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</si>
  <si>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</si>
  <si>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</si>
  <si>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</si>
  <si>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</si>
  <si>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</si>
  <si>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</si>
  <si>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</si>
  <si>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</si>
  <si>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</si>
  <si>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</si>
  <si>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</si>
  <si>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</si>
  <si>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</si>
  <si>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</si>
  <si>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</si>
  <si>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</si>
  <si>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</si>
  <si>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</si>
  <si>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</si>
  <si>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</si>
  <si>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</si>
  <si>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</si>
  <si>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</si>
  <si>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</si>
  <si>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</si>
  <si>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</si>
  <si>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</si>
  <si>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</si>
  <si>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</si>
  <si>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</si>
  <si>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</si>
  <si>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</si>
  <si>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</si>
  <si>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</si>
  <si>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</si>
  <si>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</si>
  <si>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</si>
  <si>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</si>
  <si>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</si>
  <si>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</si>
  <si>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</si>
  <si>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</si>
  <si>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</si>
  <si>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</si>
  <si>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</si>
  <si>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</si>
  <si>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</si>
  <si>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</si>
  <si>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</si>
  <si>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</si>
  <si>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</si>
  <si>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</si>
  <si>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</si>
  <si>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</si>
  <si>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</si>
  <si>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</si>
  <si>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</si>
  <si>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</si>
  <si>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</si>
  <si>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</si>
  <si>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</si>
  <si>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</si>
  <si>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</si>
  <si>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</si>
  <si>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</si>
  <si>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</si>
  <si>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</si>
  <si>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</si>
  <si>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</si>
  <si>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</si>
  <si>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</si>
  <si>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</si>
  <si>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</si>
  <si>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</si>
  <si>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</si>
  <si>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</si>
  <si>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</si>
  <si>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</si>
  <si>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</si>
  <si>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</si>
  <si>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</si>
  <si>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</si>
  <si>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</si>
  <si>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</si>
  <si>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</si>
  <si>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</si>
  <si>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</si>
  <si>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</si>
  <si>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</si>
  <si>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</si>
  <si>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</si>
  <si>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</si>
  <si>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</si>
  <si>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</si>
  <si>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</si>
  <si>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</si>
  <si>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</si>
  <si>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</si>
  <si>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</si>
  <si>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</si>
  <si>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</si>
  <si>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</si>
  <si>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</si>
  <si>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</si>
  <si>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</si>
  <si>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</si>
  <si>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</si>
  <si>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</si>
  <si>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</si>
  <si>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</si>
  <si>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</si>
  <si>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</si>
  <si>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</si>
  <si>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</si>
  <si>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</si>
  <si>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</si>
  <si>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</si>
  <si>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</si>
  <si>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</si>
  <si>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</si>
  <si>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</si>
  <si>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</si>
  <si>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</si>
  <si>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</si>
  <si>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</si>
  <si>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</si>
  <si>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</si>
  <si>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</si>
  <si>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</si>
  <si>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</si>
  <si>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</si>
  <si>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</si>
  <si>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</si>
  <si>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</si>
  <si>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</si>
  <si>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</si>
  <si>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</si>
  <si>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</si>
  <si>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</si>
  <si>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</si>
  <si>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</si>
  <si>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</si>
  <si>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</si>
  <si>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</si>
  <si>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</si>
  <si>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</si>
  <si>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</si>
  <si>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</si>
  <si>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</si>
  <si>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</si>
  <si>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</si>
  <si>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</si>
  <si>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</si>
  <si>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</si>
  <si>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</si>
  <si>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</si>
  <si>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</si>
  <si>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</si>
  <si>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</si>
  <si>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</si>
  <si>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</si>
  <si>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</si>
  <si>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</si>
  <si>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</si>
  <si>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</si>
  <si>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</si>
  <si>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</si>
  <si>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</si>
  <si>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</si>
  <si>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</si>
  <si>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</si>
  <si>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</si>
  <si>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</si>
  <si>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</si>
  <si>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</si>
  <si>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</si>
  <si>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</si>
  <si>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</si>
  <si>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</si>
  <si>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</si>
  <si>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</si>
  <si>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</si>
  <si>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</si>
  <si>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</si>
  <si>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</si>
  <si>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</si>
  <si>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</si>
  <si>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</si>
  <si>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</si>
  <si>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</si>
  <si>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</si>
  <si>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</si>
  <si>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</si>
  <si>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</si>
  <si>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</si>
  <si>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</si>
  <si>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</si>
  <si>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</si>
  <si>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</si>
  <si>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</si>
  <si>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</si>
  <si>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</si>
  <si>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</si>
  <si>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</si>
  <si>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</si>
  <si>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</si>
  <si>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</si>
  <si>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</si>
  <si>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</si>
  <si>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</si>
  <si>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</si>
  <si>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</si>
  <si>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</si>
  <si>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</si>
  <si>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</si>
  <si>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</si>
  <si>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</si>
  <si>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</si>
  <si>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</si>
  <si>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</si>
  <si>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</si>
  <si>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</si>
  <si>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</si>
  <si>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</si>
  <si>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</si>
  <si>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</si>
  <si>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</si>
  <si>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</si>
  <si>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</si>
  <si>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</si>
  <si>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</si>
  <si>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</si>
  <si>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</si>
  <si>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</si>
  <si>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</si>
  <si>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</si>
  <si>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</si>
  <si>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</si>
  <si>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</si>
  <si>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</si>
  <si>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</si>
  <si>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</si>
  <si>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</si>
  <si>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</si>
  <si>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</si>
  <si>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</si>
  <si>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</si>
  <si>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</si>
  <si>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</si>
  <si>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</si>
  <si>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</si>
  <si>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</si>
  <si>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</si>
  <si>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</si>
  <si>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</si>
  <si>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</si>
  <si>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</si>
  <si>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</si>
  <si>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</si>
  <si>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</si>
  <si>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</si>
  <si>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</si>
  <si>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</si>
  <si>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</si>
  <si>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</si>
  <si>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</si>
  <si>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</si>
  <si>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</si>
  <si>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</si>
  <si>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</si>
  <si>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</si>
  <si>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</si>
  <si>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</si>
  <si>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</si>
  <si>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</si>
  <si>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</si>
  <si>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</si>
  <si>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</si>
  <si>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</si>
  <si>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</si>
  <si>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</si>
  <si>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</si>
  <si>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</si>
  <si>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</si>
  <si>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</si>
  <si>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</si>
  <si>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</si>
  <si>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</si>
  <si>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</si>
  <si>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</si>
  <si>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</si>
  <si>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</si>
  <si>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</si>
  <si>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</si>
  <si>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</si>
  <si>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</si>
  <si>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</si>
  <si>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</si>
  <si>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</si>
  <si>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</si>
  <si>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</si>
  <si>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</si>
  <si>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</si>
  <si>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</si>
  <si>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</si>
  <si>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</si>
  <si>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</si>
  <si>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</si>
  <si>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</si>
  <si>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</si>
  <si>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</si>
  <si>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</si>
  <si>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</si>
  <si>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</si>
  <si>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</si>
  <si>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</si>
  <si>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</si>
  <si>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</si>
  <si>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</si>
  <si>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</si>
  <si>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</si>
  <si>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</si>
  <si>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</si>
  <si>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</si>
  <si>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</si>
  <si>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</si>
  <si>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</si>
  <si>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</si>
  <si>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</si>
  <si>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</si>
  <si>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</si>
  <si>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</si>
  <si>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</si>
  <si>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</si>
  <si>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</si>
  <si>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</si>
  <si>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</si>
  <si>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</si>
  <si>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</si>
  <si>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</si>
  <si>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</si>
  <si>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</si>
  <si>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</si>
  <si>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</si>
  <si>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</si>
  <si>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</si>
  <si>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</si>
  <si>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</si>
  <si>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</si>
  <si>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</si>
  <si>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</si>
  <si>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</si>
  <si>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</si>
  <si>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</si>
  <si>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</si>
  <si>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</si>
  <si>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</si>
  <si>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</si>
  <si>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</si>
  <si>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</si>
  <si>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</si>
  <si>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</si>
  <si>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</si>
  <si>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</si>
  <si>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</si>
  <si>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</si>
  <si>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</si>
  <si>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</si>
  <si>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</si>
  <si>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</si>
  <si>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</si>
  <si>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</si>
  <si>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</si>
  <si>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</si>
  <si>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</si>
  <si>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</si>
  <si>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</si>
  <si>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</si>
  <si>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</si>
  <si>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</si>
  <si>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</si>
  <si>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</si>
  <si>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</si>
  <si>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</si>
  <si>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</si>
  <si>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</si>
  <si>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</si>
  <si>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</si>
  <si>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</si>
  <si>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</si>
  <si>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</si>
  <si>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</si>
  <si>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</si>
  <si>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</si>
  <si>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</si>
  <si>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</si>
  <si>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</si>
  <si>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</si>
  <si>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</si>
  <si>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</si>
  <si>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</si>
  <si>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</si>
  <si>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</si>
  <si>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</si>
  <si>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</si>
  <si>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</si>
  <si>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</si>
  <si>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</si>
  <si>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</si>
  <si>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</si>
  <si>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</si>
  <si>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</si>
  <si>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</si>
  <si>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</si>
  <si>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</si>
  <si>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</si>
  <si>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</si>
  <si>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</si>
  <si>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</si>
  <si>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</si>
  <si>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</si>
  <si>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</si>
  <si>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</si>
  <si>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</si>
  <si>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</si>
  <si>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</si>
  <si>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</si>
  <si>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</si>
  <si>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</si>
  <si>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</si>
  <si>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</si>
  <si>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</si>
  <si>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</si>
  <si>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</si>
  <si>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</si>
  <si>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</si>
  <si>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</si>
  <si>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</si>
  <si>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</si>
  <si>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</si>
  <si>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</si>
  <si>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</si>
  <si>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</si>
  <si>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</si>
  <si>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</si>
  <si>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</si>
  <si>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</si>
  <si>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</si>
  <si>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</si>
  <si>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</si>
  <si>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</si>
  <si>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</si>
  <si>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</si>
  <si>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</si>
  <si>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</si>
  <si>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</si>
  <si>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</si>
  <si>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</si>
  <si>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</si>
  <si>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</si>
  <si>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</si>
  <si>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现房</t>
  </si>
  <si>
    <t>是</t>
  </si>
  <si>
    <t>地上</t>
  </si>
  <si>
    <t>办公楼</t>
  </si>
  <si>
    <t>工业101</t>
  </si>
  <si>
    <t>工业101</t>
    <phoneticPr fontId="7" type="noConversion"/>
  </si>
  <si>
    <t>成新度</t>
  </si>
  <si>
    <t>押一</t>
  </si>
  <si>
    <t>钢混</t>
  </si>
  <si>
    <t>非生产用房</t>
  </si>
  <si>
    <t>收益法 (元)</t>
  </si>
  <si>
    <t>比较法-工业</t>
  </si>
  <si>
    <t>楼面单价</t>
  </si>
  <si>
    <t>收益比率</t>
  </si>
  <si>
    <t>售价</t>
  </si>
  <si>
    <t>独栋，地上1层，地下1层，单价5500左右</t>
    <phoneticPr fontId="134" type="noConversion"/>
  </si>
  <si>
    <r>
      <t>基本都是整栋卖，有一套3</t>
    </r>
    <r>
      <rPr>
        <sz val="11"/>
        <color theme="1"/>
        <rFont val="宋体"/>
        <family val="3"/>
        <charset val="134"/>
        <scheme val="minor"/>
      </rPr>
      <t>00多平的，单价8000左右</t>
    </r>
    <phoneticPr fontId="134" type="noConversion"/>
  </si>
  <si>
    <t>在3层，层高7.9米，可做二层，毛坯，租金全含1.3块</t>
    <phoneticPr fontId="13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</si>
  <si>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</si>
  <si>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</si>
  <si>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</si>
  <si>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</si>
  <si>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</si>
  <si>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</si>
  <si>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</si>
  <si>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</si>
  <si>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</si>
  <si>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</si>
  <si>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</si>
  <si>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</si>
  <si>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</si>
  <si>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</si>
  <si>
    <t>五通</t>
    <phoneticPr fontId="31" type="noConversion"/>
  </si>
  <si>
    <t>报价</t>
  </si>
  <si>
    <t>报价</t>
    <phoneticPr fontId="31" type="noConversion"/>
  </si>
  <si>
    <t>正常</t>
  </si>
  <si>
    <t>工业</t>
    <phoneticPr fontId="31" type="noConversion"/>
  </si>
  <si>
    <t>单套模式</t>
  </si>
  <si>
    <t>层高</t>
    <phoneticPr fontId="31" type="noConversion"/>
  </si>
  <si>
    <t>较高层高</t>
  </si>
  <si>
    <t>标准层高</t>
  </si>
  <si>
    <t>标准层高</t>
    <phoneticPr fontId="31" type="noConversion"/>
  </si>
  <si>
    <t>自定义容积率</t>
  </si>
  <si>
    <t>不临65条商业街</t>
  </si>
  <si>
    <t>与级别开发程度一致</t>
  </si>
  <si>
    <t>通路</t>
  </si>
  <si>
    <t>通电</t>
  </si>
  <si>
    <t>通讯</t>
  </si>
  <si>
    <t>通上水</t>
  </si>
  <si>
    <t>通下水</t>
  </si>
  <si>
    <t>平整</t>
  </si>
  <si>
    <t>一般</t>
  </si>
  <si>
    <t>较好</t>
  </si>
  <si>
    <t>较差</t>
  </si>
  <si>
    <t>未包含在土地购买价格中</t>
  </si>
  <si>
    <t>已包含在土地取得成本中</t>
  </si>
  <si>
    <t>层高</t>
    <phoneticPr fontId="3" type="noConversion"/>
  </si>
  <si>
    <t>建筑面积</t>
    <phoneticPr fontId="134" type="noConversion"/>
  </si>
  <si>
    <t>租赁面积</t>
    <phoneticPr fontId="134" type="noConversion"/>
  </si>
  <si>
    <t>租赁终止日</t>
    <phoneticPr fontId="134" type="noConversion"/>
  </si>
  <si>
    <t>租赁起始日</t>
    <phoneticPr fontId="134" type="noConversion"/>
  </si>
  <si>
    <t>10年总租金（含税，不含物业费）</t>
    <phoneticPr fontId="134" type="noConversion"/>
  </si>
  <si>
    <t>日租金</t>
    <phoneticPr fontId="134" type="noConversion"/>
  </si>
  <si>
    <t>天数</t>
    <phoneticPr fontId="134" type="noConversion"/>
  </si>
  <si>
    <t>郑燚</t>
  </si>
  <si>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r>
      <rPr>
        <sz val="10"/>
        <color theme="9" tint="-0.249977111117893"/>
        <rFont val="宋体"/>
        <family val="3"/>
        <charset val="134"/>
      </rPr>
      <t>、</t>
    </r>
    <r>
      <rPr>
        <sz val="10"/>
        <color theme="9" tint="-0.249977111117893"/>
        <rFont val="Arial"/>
        <family val="2"/>
      </rPr>
      <t>203</t>
    </r>
    <r>
      <rPr>
        <sz val="10"/>
        <color theme="9" tint="-0.249977111117893"/>
        <rFont val="宋体"/>
        <family val="3"/>
        <charset val="134"/>
      </rPr>
      <t>工业用房</t>
    </r>
    <phoneticPr fontId="6" type="noConversion"/>
  </si>
  <si>
    <t>红金龙国际企业港</t>
    <phoneticPr fontId="3" type="noConversion"/>
  </si>
  <si>
    <t>长子营镇</t>
    <phoneticPr fontId="3" type="noConversion"/>
  </si>
  <si>
    <t>单套</t>
    <phoneticPr fontId="31" type="noConversion"/>
  </si>
  <si>
    <t>整栋</t>
    <phoneticPr fontId="31" type="noConversion"/>
  </si>
  <si>
    <t>联东U谷西区</t>
    <phoneticPr fontId="3" type="noConversion"/>
  </si>
  <si>
    <t>联东U谷中区</t>
    <phoneticPr fontId="3" type="noConversion"/>
  </si>
  <si>
    <t>好</t>
  </si>
  <si>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</si>
  <si>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</si>
  <si>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</si>
  <si>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</si>
  <si>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</si>
  <si>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建面</t>
    <phoneticPr fontId="3" type="noConversion"/>
  </si>
  <si>
    <t>租金</t>
    <phoneticPr fontId="3" type="noConversion"/>
  </si>
  <si>
    <t>系数</t>
    <phoneticPr fontId="3" type="noConversion"/>
  </si>
  <si>
    <t>工业立项办公楼</t>
  </si>
  <si>
    <t>工业立项办公楼</t>
    <phoneticPr fontId="31" type="noConversion"/>
  </si>
  <si>
    <t>单套</t>
    <phoneticPr fontId="31" type="noConversion"/>
  </si>
  <si>
    <t>整栋</t>
    <phoneticPr fontId="31" type="noConversion"/>
  </si>
  <si>
    <t>销售类型</t>
  </si>
  <si>
    <t>超高层高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</si>
</sst>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10" fontId="44" fillId="0" borderId="37"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4" fontId="0" fillId="0" borderId="0" xfId="0" applyNumberFormat="1">
      <alignment vertical="center"/>
    </xf>
    <xf numFmtId="178" fontId="0" fillId="0" borderId="0" xfId="0" applyNumberFormat="1">
      <alignment vertical="center"/>
    </xf>
    <xf numFmtId="0" fontId="128"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9</xdr:col>
      <xdr:colOff>609600</xdr:colOff>
      <xdr:row>18</xdr:row>
      <xdr:rowOff>155683</xdr:rowOff>
    </xdr:to>
    <xdr:pic>
      <xdr:nvPicPr>
        <xdr:cNvPr id="2" name="图片 1">
          <a:extLst>
            <a:ext uri="{FF2B5EF4-FFF2-40B4-BE49-F238E27FC236}">
              <a16:creationId xmlns="" xmlns:a16="http://schemas.microsoft.com/office/drawing/2014/main" id="{5D829ACF-66E4-01BA-7A3C-45A3092610E6}"/>
            </a:ext>
          </a:extLst>
        </xdr:cNvPr>
        <xdr:cNvPicPr>
          <a:picLocks noChangeAspect="1"/>
        </xdr:cNvPicPr>
      </xdr:nvPicPr>
      <xdr:blipFill>
        <a:blip xmlns:r="http://schemas.openxmlformats.org/officeDocument/2006/relationships" r:embed="rId1"/>
        <a:stretch>
          <a:fillRect/>
        </a:stretch>
      </xdr:blipFill>
      <xdr:spPr>
        <a:xfrm>
          <a:off x="0" y="85726"/>
          <a:ext cx="6781800" cy="3156057"/>
        </a:xfrm>
        <a:prstGeom prst="rect">
          <a:avLst/>
        </a:prstGeom>
      </xdr:spPr>
    </xdr:pic>
    <xdr:clientData/>
  </xdr:twoCellAnchor>
  <xdr:twoCellAnchor editAs="oneCell">
    <xdr:from>
      <xdr:col>0</xdr:col>
      <xdr:colOff>47624</xdr:colOff>
      <xdr:row>20</xdr:row>
      <xdr:rowOff>9526</xdr:rowOff>
    </xdr:from>
    <xdr:to>
      <xdr:col>9</xdr:col>
      <xdr:colOff>323849</xdr:colOff>
      <xdr:row>37</xdr:row>
      <xdr:rowOff>44920</xdr:rowOff>
    </xdr:to>
    <xdr:pic>
      <xdr:nvPicPr>
        <xdr:cNvPr id="3" name="图片 2">
          <a:extLst>
            <a:ext uri="{FF2B5EF4-FFF2-40B4-BE49-F238E27FC236}">
              <a16:creationId xmlns="" xmlns:a16="http://schemas.microsoft.com/office/drawing/2014/main" id="{A5697EFA-FBAB-8927-E2F3-35FED0D7E694}"/>
            </a:ext>
          </a:extLst>
        </xdr:cNvPr>
        <xdr:cNvPicPr>
          <a:picLocks noChangeAspect="1"/>
        </xdr:cNvPicPr>
      </xdr:nvPicPr>
      <xdr:blipFill>
        <a:blip xmlns:r="http://schemas.openxmlformats.org/officeDocument/2006/relationships" r:embed="rId2"/>
        <a:stretch>
          <a:fillRect/>
        </a:stretch>
      </xdr:blipFill>
      <xdr:spPr>
        <a:xfrm>
          <a:off x="47624" y="3438526"/>
          <a:ext cx="6448425" cy="2950044"/>
        </a:xfrm>
        <a:prstGeom prst="rect">
          <a:avLst/>
        </a:prstGeom>
      </xdr:spPr>
    </xdr:pic>
    <xdr:clientData/>
  </xdr:twoCellAnchor>
  <xdr:twoCellAnchor editAs="oneCell">
    <xdr:from>
      <xdr:col>0</xdr:col>
      <xdr:colOff>0</xdr:colOff>
      <xdr:row>37</xdr:row>
      <xdr:rowOff>133351</xdr:rowOff>
    </xdr:from>
    <xdr:to>
      <xdr:col>9</xdr:col>
      <xdr:colOff>581025</xdr:colOff>
      <xdr:row>55</xdr:row>
      <xdr:rowOff>73435</xdr:rowOff>
    </xdr:to>
    <xdr:pic>
      <xdr:nvPicPr>
        <xdr:cNvPr id="4" name="图片 3">
          <a:extLst>
            <a:ext uri="{FF2B5EF4-FFF2-40B4-BE49-F238E27FC236}">
              <a16:creationId xmlns="" xmlns:a16="http://schemas.microsoft.com/office/drawing/2014/main" id="{C85169D2-2895-4F03-1C03-8003D70B8935}"/>
            </a:ext>
          </a:extLst>
        </xdr:cNvPr>
        <xdr:cNvPicPr>
          <a:picLocks noChangeAspect="1"/>
        </xdr:cNvPicPr>
      </xdr:nvPicPr>
      <xdr:blipFill>
        <a:blip xmlns:r="http://schemas.openxmlformats.org/officeDocument/2006/relationships" r:embed="rId3"/>
        <a:stretch>
          <a:fillRect/>
        </a:stretch>
      </xdr:blipFill>
      <xdr:spPr>
        <a:xfrm>
          <a:off x="0" y="6477001"/>
          <a:ext cx="6753225" cy="3026184"/>
        </a:xfrm>
        <a:prstGeom prst="rect">
          <a:avLst/>
        </a:prstGeom>
      </xdr:spPr>
    </xdr:pic>
    <xdr:clientData/>
  </xdr:twoCellAnchor>
  <xdr:twoCellAnchor editAs="oneCell">
    <xdr:from>
      <xdr:col>0</xdr:col>
      <xdr:colOff>0</xdr:colOff>
      <xdr:row>141</xdr:row>
      <xdr:rowOff>123825</xdr:rowOff>
    </xdr:from>
    <xdr:to>
      <xdr:col>12</xdr:col>
      <xdr:colOff>28575</xdr:colOff>
      <xdr:row>168</xdr:row>
      <xdr:rowOff>160660</xdr:rowOff>
    </xdr:to>
    <xdr:pic>
      <xdr:nvPicPr>
        <xdr:cNvPr id="5" name="图片 4">
          <a:extLst>
            <a:ext uri="{FF2B5EF4-FFF2-40B4-BE49-F238E27FC236}">
              <a16:creationId xmlns="" xmlns:a16="http://schemas.microsoft.com/office/drawing/2014/main" id="{DF591BDD-1213-DAAD-E360-608870E80033}"/>
            </a:ext>
          </a:extLst>
        </xdr:cNvPr>
        <xdr:cNvPicPr>
          <a:picLocks noChangeAspect="1"/>
        </xdr:cNvPicPr>
      </xdr:nvPicPr>
      <xdr:blipFill>
        <a:blip xmlns:r="http://schemas.openxmlformats.org/officeDocument/2006/relationships" r:embed="rId4"/>
        <a:stretch>
          <a:fillRect/>
        </a:stretch>
      </xdr:blipFill>
      <xdr:spPr>
        <a:xfrm>
          <a:off x="0" y="13325475"/>
          <a:ext cx="8258175" cy="4665985"/>
        </a:xfrm>
        <a:prstGeom prst="rect">
          <a:avLst/>
        </a:prstGeom>
      </xdr:spPr>
    </xdr:pic>
    <xdr:clientData/>
  </xdr:twoCellAnchor>
  <xdr:twoCellAnchor editAs="oneCell">
    <xdr:from>
      <xdr:col>0</xdr:col>
      <xdr:colOff>0</xdr:colOff>
      <xdr:row>170</xdr:row>
      <xdr:rowOff>152400</xdr:rowOff>
    </xdr:from>
    <xdr:to>
      <xdr:col>11</xdr:col>
      <xdr:colOff>647700</xdr:colOff>
      <xdr:row>195</xdr:row>
      <xdr:rowOff>132405</xdr:rowOff>
    </xdr:to>
    <xdr:pic>
      <xdr:nvPicPr>
        <xdr:cNvPr id="6" name="图片 5">
          <a:extLst>
            <a:ext uri="{FF2B5EF4-FFF2-40B4-BE49-F238E27FC236}">
              <a16:creationId xmlns="" xmlns:a16="http://schemas.microsoft.com/office/drawing/2014/main" id="{850D6EFE-86A6-66C5-4527-3D15EFBF7442}"/>
            </a:ext>
          </a:extLst>
        </xdr:cNvPr>
        <xdr:cNvPicPr>
          <a:picLocks noChangeAspect="1"/>
        </xdr:cNvPicPr>
      </xdr:nvPicPr>
      <xdr:blipFill>
        <a:blip xmlns:r="http://schemas.openxmlformats.org/officeDocument/2006/relationships" r:embed="rId5"/>
        <a:stretch>
          <a:fillRect/>
        </a:stretch>
      </xdr:blipFill>
      <xdr:spPr>
        <a:xfrm>
          <a:off x="0" y="18326100"/>
          <a:ext cx="8191500" cy="4266255"/>
        </a:xfrm>
        <a:prstGeom prst="rect">
          <a:avLst/>
        </a:prstGeom>
      </xdr:spPr>
    </xdr:pic>
    <xdr:clientData/>
  </xdr:twoCellAnchor>
  <xdr:twoCellAnchor editAs="oneCell">
    <xdr:from>
      <xdr:col>0</xdr:col>
      <xdr:colOff>0</xdr:colOff>
      <xdr:row>276</xdr:row>
      <xdr:rowOff>76200</xdr:rowOff>
    </xdr:from>
    <xdr:to>
      <xdr:col>11</xdr:col>
      <xdr:colOff>238125</xdr:colOff>
      <xdr:row>296</xdr:row>
      <xdr:rowOff>26817</xdr:rowOff>
    </xdr:to>
    <xdr:pic>
      <xdr:nvPicPr>
        <xdr:cNvPr id="7" name="图片 6">
          <a:extLst>
            <a:ext uri="{FF2B5EF4-FFF2-40B4-BE49-F238E27FC236}">
              <a16:creationId xmlns="" xmlns:a16="http://schemas.microsoft.com/office/drawing/2014/main" id="{94A7F473-997B-FC21-D6E5-D188EE49D6C3}"/>
            </a:ext>
          </a:extLst>
        </xdr:cNvPr>
        <xdr:cNvPicPr>
          <a:picLocks noChangeAspect="1"/>
        </xdr:cNvPicPr>
      </xdr:nvPicPr>
      <xdr:blipFill>
        <a:blip xmlns:r="http://schemas.openxmlformats.org/officeDocument/2006/relationships" r:embed="rId6"/>
        <a:stretch>
          <a:fillRect/>
        </a:stretch>
      </xdr:blipFill>
      <xdr:spPr>
        <a:xfrm>
          <a:off x="0" y="22879050"/>
          <a:ext cx="7781925" cy="3379617"/>
        </a:xfrm>
        <a:prstGeom prst="rect">
          <a:avLst/>
        </a:prstGeom>
      </xdr:spPr>
    </xdr:pic>
    <xdr:clientData/>
  </xdr:twoCellAnchor>
  <xdr:twoCellAnchor editAs="oneCell">
    <xdr:from>
      <xdr:col>0</xdr:col>
      <xdr:colOff>0</xdr:colOff>
      <xdr:row>297</xdr:row>
      <xdr:rowOff>0</xdr:rowOff>
    </xdr:from>
    <xdr:to>
      <xdr:col>10</xdr:col>
      <xdr:colOff>246762</xdr:colOff>
      <xdr:row>332</xdr:row>
      <xdr:rowOff>132583</xdr:rowOff>
    </xdr:to>
    <xdr:pic>
      <xdr:nvPicPr>
        <xdr:cNvPr id="8" name="图片 7">
          <a:extLst>
            <a:ext uri="{FF2B5EF4-FFF2-40B4-BE49-F238E27FC236}">
              <a16:creationId xmlns="" xmlns:a16="http://schemas.microsoft.com/office/drawing/2014/main" id="{5417B6AD-CCBF-94E6-FADE-910A3FB21768}"/>
            </a:ext>
          </a:extLst>
        </xdr:cNvPr>
        <xdr:cNvPicPr>
          <a:picLocks noChangeAspect="1"/>
        </xdr:cNvPicPr>
      </xdr:nvPicPr>
      <xdr:blipFill>
        <a:blip xmlns:r="http://schemas.openxmlformats.org/officeDocument/2006/relationships" r:embed="rId7"/>
        <a:stretch>
          <a:fillRect/>
        </a:stretch>
      </xdr:blipFill>
      <xdr:spPr>
        <a:xfrm>
          <a:off x="0" y="26403300"/>
          <a:ext cx="7104762" cy="6133333"/>
        </a:xfrm>
        <a:prstGeom prst="rect">
          <a:avLst/>
        </a:prstGeom>
      </xdr:spPr>
    </xdr:pic>
    <xdr:clientData/>
  </xdr:twoCellAnchor>
  <xdr:twoCellAnchor editAs="oneCell">
    <xdr:from>
      <xdr:col>0</xdr:col>
      <xdr:colOff>0</xdr:colOff>
      <xdr:row>334</xdr:row>
      <xdr:rowOff>0</xdr:rowOff>
    </xdr:from>
    <xdr:to>
      <xdr:col>5</xdr:col>
      <xdr:colOff>656714</xdr:colOff>
      <xdr:row>367</xdr:row>
      <xdr:rowOff>94531</xdr:rowOff>
    </xdr:to>
    <xdr:pic>
      <xdr:nvPicPr>
        <xdr:cNvPr id="9" name="图片 8">
          <a:extLst>
            <a:ext uri="{FF2B5EF4-FFF2-40B4-BE49-F238E27FC236}">
              <a16:creationId xmlns="" xmlns:a16="http://schemas.microsoft.com/office/drawing/2014/main" id="{04528206-CE75-F8E6-0810-A01BABC24A6E}"/>
            </a:ext>
          </a:extLst>
        </xdr:cNvPr>
        <xdr:cNvPicPr>
          <a:picLocks noChangeAspect="1"/>
        </xdr:cNvPicPr>
      </xdr:nvPicPr>
      <xdr:blipFill>
        <a:blip xmlns:r="http://schemas.openxmlformats.org/officeDocument/2006/relationships" r:embed="rId8"/>
        <a:stretch>
          <a:fillRect/>
        </a:stretch>
      </xdr:blipFill>
      <xdr:spPr>
        <a:xfrm>
          <a:off x="0" y="32746950"/>
          <a:ext cx="4085714" cy="5752381"/>
        </a:xfrm>
        <a:prstGeom prst="rect">
          <a:avLst/>
        </a:prstGeom>
      </xdr:spPr>
    </xdr:pic>
    <xdr:clientData/>
  </xdr:twoCellAnchor>
  <xdr:twoCellAnchor editAs="oneCell">
    <xdr:from>
      <xdr:col>6</xdr:col>
      <xdr:colOff>0</xdr:colOff>
      <xdr:row>334</xdr:row>
      <xdr:rowOff>0</xdr:rowOff>
    </xdr:from>
    <xdr:to>
      <xdr:col>12</xdr:col>
      <xdr:colOff>75676</xdr:colOff>
      <xdr:row>359</xdr:row>
      <xdr:rowOff>170893</xdr:rowOff>
    </xdr:to>
    <xdr:pic>
      <xdr:nvPicPr>
        <xdr:cNvPr id="10" name="图片 9">
          <a:extLst>
            <a:ext uri="{FF2B5EF4-FFF2-40B4-BE49-F238E27FC236}">
              <a16:creationId xmlns="" xmlns:a16="http://schemas.microsoft.com/office/drawing/2014/main" id="{9F64B9E7-8EC4-62BF-F0E9-68FD84664951}"/>
            </a:ext>
          </a:extLst>
        </xdr:cNvPr>
        <xdr:cNvPicPr>
          <a:picLocks noChangeAspect="1"/>
        </xdr:cNvPicPr>
      </xdr:nvPicPr>
      <xdr:blipFill>
        <a:blip xmlns:r="http://schemas.openxmlformats.org/officeDocument/2006/relationships" r:embed="rId9"/>
        <a:stretch>
          <a:fillRect/>
        </a:stretch>
      </xdr:blipFill>
      <xdr:spPr>
        <a:xfrm>
          <a:off x="4114800" y="32746950"/>
          <a:ext cx="4190476" cy="4457143"/>
        </a:xfrm>
        <a:prstGeom prst="rect">
          <a:avLst/>
        </a:prstGeom>
      </xdr:spPr>
    </xdr:pic>
    <xdr:clientData/>
  </xdr:twoCellAnchor>
  <xdr:twoCellAnchor editAs="oneCell">
    <xdr:from>
      <xdr:col>12</xdr:col>
      <xdr:colOff>123825</xdr:colOff>
      <xdr:row>334</xdr:row>
      <xdr:rowOff>0</xdr:rowOff>
    </xdr:from>
    <xdr:to>
      <xdr:col>18</xdr:col>
      <xdr:colOff>209025</xdr:colOff>
      <xdr:row>366</xdr:row>
      <xdr:rowOff>75505</xdr:rowOff>
    </xdr:to>
    <xdr:pic>
      <xdr:nvPicPr>
        <xdr:cNvPr id="11" name="图片 10">
          <a:extLst>
            <a:ext uri="{FF2B5EF4-FFF2-40B4-BE49-F238E27FC236}">
              <a16:creationId xmlns="" xmlns:a16="http://schemas.microsoft.com/office/drawing/2014/main" id="{6C9CB34A-BB40-38C6-471A-08AF0BEB455E}"/>
            </a:ext>
          </a:extLst>
        </xdr:cNvPr>
        <xdr:cNvPicPr>
          <a:picLocks noChangeAspect="1"/>
        </xdr:cNvPicPr>
      </xdr:nvPicPr>
      <xdr:blipFill>
        <a:blip xmlns:r="http://schemas.openxmlformats.org/officeDocument/2006/relationships" r:embed="rId10"/>
        <a:stretch>
          <a:fillRect/>
        </a:stretch>
      </xdr:blipFill>
      <xdr:spPr>
        <a:xfrm>
          <a:off x="8353425" y="32746950"/>
          <a:ext cx="4200000" cy="5561905"/>
        </a:xfrm>
        <a:prstGeom prst="rect">
          <a:avLst/>
        </a:prstGeom>
      </xdr:spPr>
    </xdr:pic>
    <xdr:clientData/>
  </xdr:twoCellAnchor>
  <xdr:twoCellAnchor editAs="oneCell">
    <xdr:from>
      <xdr:col>0</xdr:col>
      <xdr:colOff>0</xdr:colOff>
      <xdr:row>197</xdr:row>
      <xdr:rowOff>0</xdr:rowOff>
    </xdr:from>
    <xdr:to>
      <xdr:col>11</xdr:col>
      <xdr:colOff>42706</xdr:colOff>
      <xdr:row>217</xdr:row>
      <xdr:rowOff>0</xdr:rowOff>
    </xdr:to>
    <xdr:pic>
      <xdr:nvPicPr>
        <xdr:cNvPr id="12" name="图片 11">
          <a:extLst>
            <a:ext uri="{FF2B5EF4-FFF2-40B4-BE49-F238E27FC236}">
              <a16:creationId xmlns="" xmlns:a16="http://schemas.microsoft.com/office/drawing/2014/main" id="{FED530A2-F683-A27F-7107-23F52E4C3B83}"/>
            </a:ext>
          </a:extLst>
        </xdr:cNvPr>
        <xdr:cNvPicPr>
          <a:picLocks noChangeAspect="1"/>
        </xdr:cNvPicPr>
      </xdr:nvPicPr>
      <xdr:blipFill>
        <a:blip xmlns:r="http://schemas.openxmlformats.org/officeDocument/2006/relationships" r:embed="rId11"/>
        <a:stretch>
          <a:fillRect/>
        </a:stretch>
      </xdr:blipFill>
      <xdr:spPr>
        <a:xfrm>
          <a:off x="0" y="22802850"/>
          <a:ext cx="7586506" cy="3429000"/>
        </a:xfrm>
        <a:prstGeom prst="rect">
          <a:avLst/>
        </a:prstGeom>
      </xdr:spPr>
    </xdr:pic>
    <xdr:clientData/>
  </xdr:twoCellAnchor>
  <xdr:twoCellAnchor editAs="oneCell">
    <xdr:from>
      <xdr:col>11</xdr:col>
      <xdr:colOff>133380</xdr:colOff>
      <xdr:row>197</xdr:row>
      <xdr:rowOff>9525</xdr:rowOff>
    </xdr:from>
    <xdr:to>
      <xdr:col>20</xdr:col>
      <xdr:colOff>437105</xdr:colOff>
      <xdr:row>213</xdr:row>
      <xdr:rowOff>142875</xdr:rowOff>
    </xdr:to>
    <xdr:pic>
      <xdr:nvPicPr>
        <xdr:cNvPr id="13" name="图片 12">
          <a:extLst>
            <a:ext uri="{FF2B5EF4-FFF2-40B4-BE49-F238E27FC236}">
              <a16:creationId xmlns="" xmlns:a16="http://schemas.microsoft.com/office/drawing/2014/main" id="{6F5AAE80-EC76-D916-C85B-0DCA599778AE}"/>
            </a:ext>
          </a:extLst>
        </xdr:cNvPr>
        <xdr:cNvPicPr>
          <a:picLocks noChangeAspect="1"/>
        </xdr:cNvPicPr>
      </xdr:nvPicPr>
      <xdr:blipFill>
        <a:blip xmlns:r="http://schemas.openxmlformats.org/officeDocument/2006/relationships" r:embed="rId12"/>
        <a:stretch>
          <a:fillRect/>
        </a:stretch>
      </xdr:blipFill>
      <xdr:spPr>
        <a:xfrm>
          <a:off x="7677180" y="22812375"/>
          <a:ext cx="6475925" cy="2876550"/>
        </a:xfrm>
        <a:prstGeom prst="rect">
          <a:avLst/>
        </a:prstGeom>
      </xdr:spPr>
    </xdr:pic>
    <xdr:clientData/>
  </xdr:twoCellAnchor>
  <xdr:twoCellAnchor editAs="oneCell">
    <xdr:from>
      <xdr:col>0</xdr:col>
      <xdr:colOff>0</xdr:colOff>
      <xdr:row>218</xdr:row>
      <xdr:rowOff>0</xdr:rowOff>
    </xdr:from>
    <xdr:to>
      <xdr:col>11</xdr:col>
      <xdr:colOff>333375</xdr:colOff>
      <xdr:row>246</xdr:row>
      <xdr:rowOff>30324</xdr:rowOff>
    </xdr:to>
    <xdr:pic>
      <xdr:nvPicPr>
        <xdr:cNvPr id="14" name="图片 13">
          <a:extLst>
            <a:ext uri="{FF2B5EF4-FFF2-40B4-BE49-F238E27FC236}">
              <a16:creationId xmlns="" xmlns:a16="http://schemas.microsoft.com/office/drawing/2014/main" id="{0CFA0962-8057-971E-B809-C902EB24CA9E}"/>
            </a:ext>
          </a:extLst>
        </xdr:cNvPr>
        <xdr:cNvPicPr>
          <a:picLocks noChangeAspect="1"/>
        </xdr:cNvPicPr>
      </xdr:nvPicPr>
      <xdr:blipFill>
        <a:blip xmlns:r="http://schemas.openxmlformats.org/officeDocument/2006/relationships" r:embed="rId13"/>
        <a:stretch>
          <a:fillRect/>
        </a:stretch>
      </xdr:blipFill>
      <xdr:spPr>
        <a:xfrm>
          <a:off x="0" y="26403300"/>
          <a:ext cx="7877175" cy="4830924"/>
        </a:xfrm>
        <a:prstGeom prst="rect">
          <a:avLst/>
        </a:prstGeom>
      </xdr:spPr>
    </xdr:pic>
    <xdr:clientData/>
  </xdr:twoCellAnchor>
  <xdr:twoCellAnchor editAs="oneCell">
    <xdr:from>
      <xdr:col>0</xdr:col>
      <xdr:colOff>0</xdr:colOff>
      <xdr:row>250</xdr:row>
      <xdr:rowOff>95250</xdr:rowOff>
    </xdr:from>
    <xdr:to>
      <xdr:col>11</xdr:col>
      <xdr:colOff>422587</xdr:colOff>
      <xdr:row>273</xdr:row>
      <xdr:rowOff>0</xdr:rowOff>
    </xdr:to>
    <xdr:pic>
      <xdr:nvPicPr>
        <xdr:cNvPr id="17" name="图片 16">
          <a:extLst>
            <a:ext uri="{FF2B5EF4-FFF2-40B4-BE49-F238E27FC236}">
              <a16:creationId xmlns="" xmlns:a16="http://schemas.microsoft.com/office/drawing/2014/main" id="{B0B677D1-F507-F355-4155-B7D7B6117B0E}"/>
            </a:ext>
          </a:extLst>
        </xdr:cNvPr>
        <xdr:cNvPicPr>
          <a:picLocks noChangeAspect="1"/>
        </xdr:cNvPicPr>
      </xdr:nvPicPr>
      <xdr:blipFill>
        <a:blip xmlns:r="http://schemas.openxmlformats.org/officeDocument/2006/relationships" r:embed="rId14"/>
        <a:stretch>
          <a:fillRect/>
        </a:stretch>
      </xdr:blipFill>
      <xdr:spPr>
        <a:xfrm>
          <a:off x="0" y="35756850"/>
          <a:ext cx="7966387" cy="3848100"/>
        </a:xfrm>
        <a:prstGeom prst="rect">
          <a:avLst/>
        </a:prstGeom>
      </xdr:spPr>
    </xdr:pic>
    <xdr:clientData/>
  </xdr:twoCellAnchor>
  <xdr:twoCellAnchor editAs="oneCell">
    <xdr:from>
      <xdr:col>12</xdr:col>
      <xdr:colOff>95249</xdr:colOff>
      <xdr:row>250</xdr:row>
      <xdr:rowOff>42654</xdr:rowOff>
    </xdr:from>
    <xdr:to>
      <xdr:col>19</xdr:col>
      <xdr:colOff>437252</xdr:colOff>
      <xdr:row>273</xdr:row>
      <xdr:rowOff>94554</xdr:rowOff>
    </xdr:to>
    <xdr:pic>
      <xdr:nvPicPr>
        <xdr:cNvPr id="18" name="图片 17">
          <a:extLst>
            <a:ext uri="{FF2B5EF4-FFF2-40B4-BE49-F238E27FC236}">
              <a16:creationId xmlns="" xmlns:a16="http://schemas.microsoft.com/office/drawing/2014/main" id="{182F4392-587F-0F0E-6331-79467132D7F3}"/>
            </a:ext>
          </a:extLst>
        </xdr:cNvPr>
        <xdr:cNvPicPr>
          <a:picLocks noChangeAspect="1"/>
        </xdr:cNvPicPr>
      </xdr:nvPicPr>
      <xdr:blipFill>
        <a:blip xmlns:r="http://schemas.openxmlformats.org/officeDocument/2006/relationships" r:embed="rId15"/>
        <a:stretch>
          <a:fillRect/>
        </a:stretch>
      </xdr:blipFill>
      <xdr:spPr>
        <a:xfrm>
          <a:off x="8324849" y="35704254"/>
          <a:ext cx="5142603" cy="3995250"/>
        </a:xfrm>
        <a:prstGeom prst="rect">
          <a:avLst/>
        </a:prstGeom>
      </xdr:spPr>
    </xdr:pic>
    <xdr:clientData/>
  </xdr:twoCellAnchor>
  <xdr:twoCellAnchor editAs="oneCell">
    <xdr:from>
      <xdr:col>0</xdr:col>
      <xdr:colOff>0</xdr:colOff>
      <xdr:row>56</xdr:row>
      <xdr:rowOff>0</xdr:rowOff>
    </xdr:from>
    <xdr:to>
      <xdr:col>6</xdr:col>
      <xdr:colOff>571500</xdr:colOff>
      <xdr:row>81</xdr:row>
      <xdr:rowOff>35865</xdr:rowOff>
    </xdr:to>
    <xdr:pic>
      <xdr:nvPicPr>
        <xdr:cNvPr id="21" name="图片 20">
          <a:extLst>
            <a:ext uri="{FF2B5EF4-FFF2-40B4-BE49-F238E27FC236}">
              <a16:creationId xmlns="" xmlns:a16="http://schemas.microsoft.com/office/drawing/2014/main" id="{00000000-0008-0000-1900-000015000000}"/>
            </a:ext>
          </a:extLst>
        </xdr:cNvPr>
        <xdr:cNvPicPr>
          <a:picLocks noChangeAspect="1"/>
        </xdr:cNvPicPr>
      </xdr:nvPicPr>
      <xdr:blipFill>
        <a:blip xmlns:r="http://schemas.openxmlformats.org/officeDocument/2006/relationships" r:embed="rId16"/>
        <a:stretch>
          <a:fillRect/>
        </a:stretch>
      </xdr:blipFill>
      <xdr:spPr>
        <a:xfrm>
          <a:off x="0" y="9601200"/>
          <a:ext cx="4686300" cy="4322115"/>
        </a:xfrm>
        <a:prstGeom prst="rect">
          <a:avLst/>
        </a:prstGeom>
      </xdr:spPr>
    </xdr:pic>
    <xdr:clientData/>
  </xdr:twoCellAnchor>
  <xdr:twoCellAnchor editAs="oneCell">
    <xdr:from>
      <xdr:col>7</xdr:col>
      <xdr:colOff>0</xdr:colOff>
      <xdr:row>56</xdr:row>
      <xdr:rowOff>1</xdr:rowOff>
    </xdr:from>
    <xdr:to>
      <xdr:col>12</xdr:col>
      <xdr:colOff>613586</xdr:colOff>
      <xdr:row>73</xdr:row>
      <xdr:rowOff>95251</xdr:rowOff>
    </xdr:to>
    <xdr:pic>
      <xdr:nvPicPr>
        <xdr:cNvPr id="22" name="图片 21">
          <a:extLst>
            <a:ext uri="{FF2B5EF4-FFF2-40B4-BE49-F238E27FC236}">
              <a16:creationId xmlns="" xmlns:a16="http://schemas.microsoft.com/office/drawing/2014/main" id="{00000000-0008-0000-1900-000016000000}"/>
            </a:ext>
          </a:extLst>
        </xdr:cNvPr>
        <xdr:cNvPicPr>
          <a:picLocks noChangeAspect="1"/>
        </xdr:cNvPicPr>
      </xdr:nvPicPr>
      <xdr:blipFill>
        <a:blip xmlns:r="http://schemas.openxmlformats.org/officeDocument/2006/relationships" r:embed="rId17"/>
        <a:stretch>
          <a:fillRect/>
        </a:stretch>
      </xdr:blipFill>
      <xdr:spPr>
        <a:xfrm>
          <a:off x="4800600" y="9601201"/>
          <a:ext cx="4042586" cy="3009900"/>
        </a:xfrm>
        <a:prstGeom prst="rect">
          <a:avLst/>
        </a:prstGeom>
      </xdr:spPr>
    </xdr:pic>
    <xdr:clientData/>
  </xdr:twoCellAnchor>
  <xdr:twoCellAnchor editAs="oneCell">
    <xdr:from>
      <xdr:col>0</xdr:col>
      <xdr:colOff>0</xdr:colOff>
      <xdr:row>83</xdr:row>
      <xdr:rowOff>1</xdr:rowOff>
    </xdr:from>
    <xdr:to>
      <xdr:col>7</xdr:col>
      <xdr:colOff>28575</xdr:colOff>
      <xdr:row>109</xdr:row>
      <xdr:rowOff>98803</xdr:rowOff>
    </xdr:to>
    <xdr:pic>
      <xdr:nvPicPr>
        <xdr:cNvPr id="19" name="图片 18">
          <a:extLst>
            <a:ext uri="{FF2B5EF4-FFF2-40B4-BE49-F238E27FC236}">
              <a16:creationId xmlns="" xmlns:a16="http://schemas.microsoft.com/office/drawing/2014/main" id="{00000000-0008-0000-1900-000013000000}"/>
            </a:ext>
          </a:extLst>
        </xdr:cNvPr>
        <xdr:cNvPicPr>
          <a:picLocks noChangeAspect="1"/>
        </xdr:cNvPicPr>
      </xdr:nvPicPr>
      <xdr:blipFill>
        <a:blip xmlns:r="http://schemas.openxmlformats.org/officeDocument/2006/relationships" r:embed="rId18"/>
        <a:stretch>
          <a:fillRect/>
        </a:stretch>
      </xdr:blipFill>
      <xdr:spPr>
        <a:xfrm>
          <a:off x="0" y="14230351"/>
          <a:ext cx="4829175" cy="4556502"/>
        </a:xfrm>
        <a:prstGeom prst="rect">
          <a:avLst/>
        </a:prstGeom>
      </xdr:spPr>
    </xdr:pic>
    <xdr:clientData/>
  </xdr:twoCellAnchor>
  <xdr:twoCellAnchor editAs="oneCell">
    <xdr:from>
      <xdr:col>7</xdr:col>
      <xdr:colOff>216582</xdr:colOff>
      <xdr:row>83</xdr:row>
      <xdr:rowOff>133350</xdr:rowOff>
    </xdr:from>
    <xdr:to>
      <xdr:col>15</xdr:col>
      <xdr:colOff>8744</xdr:colOff>
      <xdr:row>112</xdr:row>
      <xdr:rowOff>142138</xdr:rowOff>
    </xdr:to>
    <xdr:pic>
      <xdr:nvPicPr>
        <xdr:cNvPr id="20" name="图片 19">
          <a:extLst>
            <a:ext uri="{FF2B5EF4-FFF2-40B4-BE49-F238E27FC236}">
              <a16:creationId xmlns="" xmlns:a16="http://schemas.microsoft.com/office/drawing/2014/main" id="{00000000-0008-0000-1900-000014000000}"/>
            </a:ext>
          </a:extLst>
        </xdr:cNvPr>
        <xdr:cNvPicPr>
          <a:picLocks noChangeAspect="1"/>
        </xdr:cNvPicPr>
      </xdr:nvPicPr>
      <xdr:blipFill>
        <a:blip xmlns:r="http://schemas.openxmlformats.org/officeDocument/2006/relationships" r:embed="rId19"/>
        <a:stretch>
          <a:fillRect/>
        </a:stretch>
      </xdr:blipFill>
      <xdr:spPr>
        <a:xfrm>
          <a:off x="5017182" y="14363700"/>
          <a:ext cx="5278562" cy="4980838"/>
        </a:xfrm>
        <a:prstGeom prst="rect">
          <a:avLst/>
        </a:prstGeom>
      </xdr:spPr>
    </xdr:pic>
    <xdr:clientData/>
  </xdr:twoCellAnchor>
  <xdr:twoCellAnchor editAs="oneCell">
    <xdr:from>
      <xdr:col>0</xdr:col>
      <xdr:colOff>0</xdr:colOff>
      <xdr:row>115</xdr:row>
      <xdr:rowOff>0</xdr:rowOff>
    </xdr:from>
    <xdr:to>
      <xdr:col>11</xdr:col>
      <xdr:colOff>4833</xdr:colOff>
      <xdr:row>136</xdr:row>
      <xdr:rowOff>38100</xdr:rowOff>
    </xdr:to>
    <xdr:pic>
      <xdr:nvPicPr>
        <xdr:cNvPr id="23" name="图片 22">
          <a:extLst>
            <a:ext uri="{FF2B5EF4-FFF2-40B4-BE49-F238E27FC236}">
              <a16:creationId xmlns="" xmlns:a16="http://schemas.microsoft.com/office/drawing/2014/main" id="{FFC139D6-341F-BDB1-5A1B-EB142B570FAD}"/>
            </a:ext>
          </a:extLst>
        </xdr:cNvPr>
        <xdr:cNvPicPr>
          <a:picLocks noChangeAspect="1"/>
        </xdr:cNvPicPr>
      </xdr:nvPicPr>
      <xdr:blipFill>
        <a:blip xmlns:r="http://schemas.openxmlformats.org/officeDocument/2006/relationships" r:embed="rId20"/>
        <a:stretch>
          <a:fillRect/>
        </a:stretch>
      </xdr:blipFill>
      <xdr:spPr>
        <a:xfrm>
          <a:off x="0" y="19716750"/>
          <a:ext cx="7548633" cy="3638550"/>
        </a:xfrm>
        <a:prstGeom prst="rect">
          <a:avLst/>
        </a:prstGeom>
      </xdr:spPr>
    </xdr:pic>
    <xdr:clientData/>
  </xdr:twoCellAnchor>
  <xdr:twoCellAnchor editAs="oneCell">
    <xdr:from>
      <xdr:col>11</xdr:col>
      <xdr:colOff>114300</xdr:colOff>
      <xdr:row>115</xdr:row>
      <xdr:rowOff>9524</xdr:rowOff>
    </xdr:from>
    <xdr:to>
      <xdr:col>18</xdr:col>
      <xdr:colOff>608674</xdr:colOff>
      <xdr:row>135</xdr:row>
      <xdr:rowOff>133193</xdr:rowOff>
    </xdr:to>
    <xdr:pic>
      <xdr:nvPicPr>
        <xdr:cNvPr id="24" name="图片 23">
          <a:extLst>
            <a:ext uri="{FF2B5EF4-FFF2-40B4-BE49-F238E27FC236}">
              <a16:creationId xmlns="" xmlns:a16="http://schemas.microsoft.com/office/drawing/2014/main" id="{2937B164-55DF-9E4F-D058-B048971F7342}"/>
            </a:ext>
          </a:extLst>
        </xdr:cNvPr>
        <xdr:cNvPicPr>
          <a:picLocks noChangeAspect="1"/>
        </xdr:cNvPicPr>
      </xdr:nvPicPr>
      <xdr:blipFill>
        <a:blip xmlns:r="http://schemas.openxmlformats.org/officeDocument/2006/relationships" r:embed="rId21"/>
        <a:stretch>
          <a:fillRect/>
        </a:stretch>
      </xdr:blipFill>
      <xdr:spPr>
        <a:xfrm>
          <a:off x="7658100" y="19726274"/>
          <a:ext cx="5294974" cy="3552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170058</xdr:colOff>
      <xdr:row>20</xdr:row>
      <xdr:rowOff>132926</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71450"/>
          <a:ext cx="11142858" cy="3390476"/>
        </a:xfrm>
        <a:prstGeom prst="rect">
          <a:avLst/>
        </a:prstGeom>
      </xdr:spPr>
    </xdr:pic>
    <xdr:clientData/>
  </xdr:twoCellAnchor>
  <xdr:twoCellAnchor editAs="oneCell">
    <xdr:from>
      <xdr:col>0</xdr:col>
      <xdr:colOff>0</xdr:colOff>
      <xdr:row>21</xdr:row>
      <xdr:rowOff>0</xdr:rowOff>
    </xdr:from>
    <xdr:to>
      <xdr:col>15</xdr:col>
      <xdr:colOff>608239</xdr:colOff>
      <xdr:row>52</xdr:row>
      <xdr:rowOff>46955</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00450"/>
          <a:ext cx="10895239" cy="5361905"/>
        </a:xfrm>
        <a:prstGeom prst="rect">
          <a:avLst/>
        </a:prstGeom>
      </xdr:spPr>
    </xdr:pic>
    <xdr:clientData/>
  </xdr:twoCellAnchor>
  <xdr:twoCellAnchor editAs="oneCell">
    <xdr:from>
      <xdr:col>0</xdr:col>
      <xdr:colOff>0</xdr:colOff>
      <xdr:row>53</xdr:row>
      <xdr:rowOff>0</xdr:rowOff>
    </xdr:from>
    <xdr:to>
      <xdr:col>15</xdr:col>
      <xdr:colOff>560620</xdr:colOff>
      <xdr:row>83</xdr:row>
      <xdr:rowOff>161262</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9086850"/>
          <a:ext cx="10847620" cy="5304762"/>
        </a:xfrm>
        <a:prstGeom prst="rect">
          <a:avLst/>
        </a:prstGeom>
      </xdr:spPr>
    </xdr:pic>
    <xdr:clientData/>
  </xdr:twoCellAnchor>
  <xdr:twoCellAnchor editAs="oneCell">
    <xdr:from>
      <xdr:col>0</xdr:col>
      <xdr:colOff>0</xdr:colOff>
      <xdr:row>85</xdr:row>
      <xdr:rowOff>0</xdr:rowOff>
    </xdr:from>
    <xdr:to>
      <xdr:col>15</xdr:col>
      <xdr:colOff>617763</xdr:colOff>
      <xdr:row>116</xdr:row>
      <xdr:rowOff>132669</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14573250"/>
          <a:ext cx="10904763" cy="5447619"/>
        </a:xfrm>
        <a:prstGeom prst="rect">
          <a:avLst/>
        </a:prstGeom>
      </xdr:spPr>
    </xdr:pic>
    <xdr:clientData/>
  </xdr:twoCellAnchor>
  <xdr:twoCellAnchor editAs="oneCell">
    <xdr:from>
      <xdr:col>0</xdr:col>
      <xdr:colOff>0</xdr:colOff>
      <xdr:row>117</xdr:row>
      <xdr:rowOff>0</xdr:rowOff>
    </xdr:from>
    <xdr:to>
      <xdr:col>16</xdr:col>
      <xdr:colOff>65296</xdr:colOff>
      <xdr:row>148</xdr:row>
      <xdr:rowOff>123146</xdr:rowOff>
    </xdr:to>
    <xdr:pic>
      <xdr:nvPicPr>
        <xdr:cNvPr id="6" name="图片 5">
          <a:extLst>
            <a:ext uri="{FF2B5EF4-FFF2-40B4-BE49-F238E27FC236}">
              <a16:creationId xmlns=""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20059650"/>
          <a:ext cx="11038096" cy="5438096"/>
        </a:xfrm>
        <a:prstGeom prst="rect">
          <a:avLst/>
        </a:prstGeom>
      </xdr:spPr>
    </xdr:pic>
    <xdr:clientData/>
  </xdr:twoCellAnchor>
  <xdr:twoCellAnchor editAs="oneCell">
    <xdr:from>
      <xdr:col>17</xdr:col>
      <xdr:colOff>0</xdr:colOff>
      <xdr:row>1</xdr:row>
      <xdr:rowOff>0</xdr:rowOff>
    </xdr:from>
    <xdr:to>
      <xdr:col>30</xdr:col>
      <xdr:colOff>122696</xdr:colOff>
      <xdr:row>31</xdr:row>
      <xdr:rowOff>8881</xdr:rowOff>
    </xdr:to>
    <xdr:pic>
      <xdr:nvPicPr>
        <xdr:cNvPr id="7" name="图片 6">
          <a:extLst>
            <a:ext uri="{FF2B5EF4-FFF2-40B4-BE49-F238E27FC236}">
              <a16:creationId xmlns=""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11658600" y="171450"/>
          <a:ext cx="9038096" cy="5152381"/>
        </a:xfrm>
        <a:prstGeom prst="rect">
          <a:avLst/>
        </a:prstGeom>
      </xdr:spPr>
    </xdr:pic>
    <xdr:clientData/>
  </xdr:twoCellAnchor>
  <xdr:twoCellAnchor editAs="oneCell">
    <xdr:from>
      <xdr:col>0</xdr:col>
      <xdr:colOff>0</xdr:colOff>
      <xdr:row>151</xdr:row>
      <xdr:rowOff>0</xdr:rowOff>
    </xdr:from>
    <xdr:to>
      <xdr:col>15</xdr:col>
      <xdr:colOff>608239</xdr:colOff>
      <xdr:row>177</xdr:row>
      <xdr:rowOff>85157</xdr:rowOff>
    </xdr:to>
    <xdr:pic>
      <xdr:nvPicPr>
        <xdr:cNvPr id="9" name="图片 8">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7"/>
        <a:stretch>
          <a:fillRect/>
        </a:stretch>
      </xdr:blipFill>
      <xdr:spPr>
        <a:xfrm>
          <a:off x="0" y="25888950"/>
          <a:ext cx="10895239" cy="4542857"/>
        </a:xfrm>
        <a:prstGeom prst="rect">
          <a:avLst/>
        </a:prstGeom>
      </xdr:spPr>
    </xdr:pic>
    <xdr:clientData/>
  </xdr:twoCellAnchor>
  <xdr:twoCellAnchor editAs="oneCell">
    <xdr:from>
      <xdr:col>0</xdr:col>
      <xdr:colOff>0</xdr:colOff>
      <xdr:row>180</xdr:row>
      <xdr:rowOff>0</xdr:rowOff>
    </xdr:from>
    <xdr:to>
      <xdr:col>16</xdr:col>
      <xdr:colOff>217677</xdr:colOff>
      <xdr:row>199</xdr:row>
      <xdr:rowOff>161498</xdr:rowOff>
    </xdr:to>
    <xdr:pic>
      <xdr:nvPicPr>
        <xdr:cNvPr id="10" name="图片 9">
          <a:extLst>
            <a:ext uri="{FF2B5EF4-FFF2-40B4-BE49-F238E27FC236}">
              <a16:creationId xmlns="" xmlns:a16="http://schemas.microsoft.com/office/drawing/2014/main" id="{00000000-0008-0000-1A00-00000A000000}"/>
            </a:ext>
          </a:extLst>
        </xdr:cNvPr>
        <xdr:cNvPicPr>
          <a:picLocks noChangeAspect="1"/>
        </xdr:cNvPicPr>
      </xdr:nvPicPr>
      <xdr:blipFill>
        <a:blip xmlns:r="http://schemas.openxmlformats.org/officeDocument/2006/relationships" r:embed="rId8"/>
        <a:stretch>
          <a:fillRect/>
        </a:stretch>
      </xdr:blipFill>
      <xdr:spPr>
        <a:xfrm>
          <a:off x="0" y="30861000"/>
          <a:ext cx="11190477" cy="3419048"/>
        </a:xfrm>
        <a:prstGeom prst="rect">
          <a:avLst/>
        </a:prstGeom>
      </xdr:spPr>
    </xdr:pic>
    <xdr:clientData/>
  </xdr:twoCellAnchor>
  <xdr:twoCellAnchor editAs="oneCell">
    <xdr:from>
      <xdr:col>0</xdr:col>
      <xdr:colOff>0</xdr:colOff>
      <xdr:row>200</xdr:row>
      <xdr:rowOff>0</xdr:rowOff>
    </xdr:from>
    <xdr:to>
      <xdr:col>15</xdr:col>
      <xdr:colOff>532048</xdr:colOff>
      <xdr:row>226</xdr:row>
      <xdr:rowOff>142300</xdr:rowOff>
    </xdr:to>
    <xdr:pic>
      <xdr:nvPicPr>
        <xdr:cNvPr id="11" name="图片 10">
          <a:extLst>
            <a:ext uri="{FF2B5EF4-FFF2-40B4-BE49-F238E27FC236}">
              <a16:creationId xmlns="" xmlns:a16="http://schemas.microsoft.com/office/drawing/2014/main" id="{00000000-0008-0000-1A00-00000B000000}"/>
            </a:ext>
          </a:extLst>
        </xdr:cNvPr>
        <xdr:cNvPicPr>
          <a:picLocks noChangeAspect="1"/>
        </xdr:cNvPicPr>
      </xdr:nvPicPr>
      <xdr:blipFill>
        <a:blip xmlns:r="http://schemas.openxmlformats.org/officeDocument/2006/relationships" r:embed="rId9"/>
        <a:stretch>
          <a:fillRect/>
        </a:stretch>
      </xdr:blipFill>
      <xdr:spPr>
        <a:xfrm>
          <a:off x="0" y="34290000"/>
          <a:ext cx="10819048"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398800</xdr:colOff>
      <xdr:row>36</xdr:row>
      <xdr:rowOff>18276</xdr:rowOff>
    </xdr:to>
    <xdr:pic>
      <xdr:nvPicPr>
        <xdr:cNvPr id="2" name="图片 1">
          <a:extLst>
            <a:ext uri="{FF2B5EF4-FFF2-40B4-BE49-F238E27FC236}">
              <a16:creationId xmlns="" xmlns:a16="http://schemas.microsoft.com/office/drawing/2014/main" id="{6E7B6F0A-29DC-1894-72C4-D43DC157D2A5}"/>
            </a:ext>
          </a:extLst>
        </xdr:cNvPr>
        <xdr:cNvPicPr>
          <a:picLocks noChangeAspect="1"/>
        </xdr:cNvPicPr>
      </xdr:nvPicPr>
      <xdr:blipFill>
        <a:blip xmlns:r="http://schemas.openxmlformats.org/officeDocument/2006/relationships" r:embed="rId1"/>
        <a:stretch>
          <a:fillRect/>
        </a:stretch>
      </xdr:blipFill>
      <xdr:spPr>
        <a:xfrm>
          <a:off x="0" y="0"/>
          <a:ext cx="10000000" cy="6190476"/>
        </a:xfrm>
        <a:prstGeom prst="rect">
          <a:avLst/>
        </a:prstGeom>
      </xdr:spPr>
    </xdr:pic>
    <xdr:clientData/>
  </xdr:twoCellAnchor>
  <xdr:twoCellAnchor editAs="oneCell">
    <xdr:from>
      <xdr:col>0</xdr:col>
      <xdr:colOff>0</xdr:colOff>
      <xdr:row>38</xdr:row>
      <xdr:rowOff>0</xdr:rowOff>
    </xdr:from>
    <xdr:to>
      <xdr:col>11</xdr:col>
      <xdr:colOff>494295</xdr:colOff>
      <xdr:row>76</xdr:row>
      <xdr:rowOff>113471</xdr:rowOff>
    </xdr:to>
    <xdr:pic>
      <xdr:nvPicPr>
        <xdr:cNvPr id="3" name="图片 2">
          <a:extLst>
            <a:ext uri="{FF2B5EF4-FFF2-40B4-BE49-F238E27FC236}">
              <a16:creationId xmlns="" xmlns:a16="http://schemas.microsoft.com/office/drawing/2014/main" id="{2BC06023-0F37-8D0B-9BA5-99D6C9AC4A86}"/>
            </a:ext>
          </a:extLst>
        </xdr:cNvPr>
        <xdr:cNvPicPr>
          <a:picLocks noChangeAspect="1"/>
        </xdr:cNvPicPr>
      </xdr:nvPicPr>
      <xdr:blipFill>
        <a:blip xmlns:r="http://schemas.openxmlformats.org/officeDocument/2006/relationships" r:embed="rId2"/>
        <a:stretch>
          <a:fillRect/>
        </a:stretch>
      </xdr:blipFill>
      <xdr:spPr>
        <a:xfrm>
          <a:off x="0" y="6515100"/>
          <a:ext cx="8038095" cy="6628571"/>
        </a:xfrm>
        <a:prstGeom prst="rect">
          <a:avLst/>
        </a:prstGeom>
      </xdr:spPr>
    </xdr:pic>
    <xdr:clientData/>
  </xdr:twoCellAnchor>
  <xdr:twoCellAnchor editAs="oneCell">
    <xdr:from>
      <xdr:col>0</xdr:col>
      <xdr:colOff>0</xdr:colOff>
      <xdr:row>78</xdr:row>
      <xdr:rowOff>0</xdr:rowOff>
    </xdr:from>
    <xdr:to>
      <xdr:col>11</xdr:col>
      <xdr:colOff>141914</xdr:colOff>
      <xdr:row>97</xdr:row>
      <xdr:rowOff>171021</xdr:rowOff>
    </xdr:to>
    <xdr:pic>
      <xdr:nvPicPr>
        <xdr:cNvPr id="4" name="图片 3">
          <a:extLst>
            <a:ext uri="{FF2B5EF4-FFF2-40B4-BE49-F238E27FC236}">
              <a16:creationId xmlns="" xmlns:a16="http://schemas.microsoft.com/office/drawing/2014/main" id="{66E7D16D-4C5F-09AA-2FAE-4FBB7C072350}"/>
            </a:ext>
          </a:extLst>
        </xdr:cNvPr>
        <xdr:cNvPicPr>
          <a:picLocks noChangeAspect="1"/>
        </xdr:cNvPicPr>
      </xdr:nvPicPr>
      <xdr:blipFill>
        <a:blip xmlns:r="http://schemas.openxmlformats.org/officeDocument/2006/relationships" r:embed="rId3"/>
        <a:stretch>
          <a:fillRect/>
        </a:stretch>
      </xdr:blipFill>
      <xdr:spPr>
        <a:xfrm>
          <a:off x="0" y="13373100"/>
          <a:ext cx="7685714"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418;&#37329;&#40857;&#22269;&#38469;&#20225;&#19994;&#28207;20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418;&#37329;&#40857;&#22269;&#38469;&#20225;&#19994;&#28207;202-&#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418;&#37329;&#40857;&#22269;&#38469;&#20225;&#19994;&#28207;20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收益法 (元)"/>
      <sheetName val="成本法 (元)"/>
      <sheetName val="假设开发法"/>
      <sheetName val="收益法"/>
      <sheetName val="基准地价修正"/>
      <sheetName val="市调"/>
      <sheetName val="中指成交"/>
      <sheetName val="Sheet3"/>
      <sheetName val="租赁合同"/>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309.42</v>
          </cell>
          <cell r="E14">
            <v>8527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收益法 (元)"/>
      <sheetName val="成本法 (元)"/>
      <sheetName val="假设开发法"/>
      <sheetName val="收益法"/>
      <sheetName val="基准地价修正"/>
      <sheetName val="市调"/>
      <sheetName val="中指成交"/>
      <sheetName val="Sheet3"/>
      <sheetName val="租赁合同"/>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320.33</v>
          </cell>
          <cell r="E14">
            <v>8527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收益法 (元)"/>
      <sheetName val="成本法 (元)"/>
      <sheetName val="假设开发法"/>
      <sheetName val="收益法"/>
      <sheetName val="基准地价修正"/>
      <sheetName val="市调"/>
      <sheetName val="中指成交"/>
      <sheetName val="Sheet3"/>
      <sheetName val="租赁合同"/>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312.41000000000003</v>
          </cell>
          <cell r="E14">
            <v>8527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北京市大兴区马朱路长子营段16号院17号楼1层101、2层201、202、203工业用房房地产抵押价值预评估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受贵公司委托，我公司对北京市大兴区马朱路长子营段16号院17号楼1层101、2层201、202、203工业用房房地产抵押价值进行了预评估。</v>
      </c>
    </row>
    <row r="7" spans="1:2">
      <c r="A7" s="1119" t="s">
        <v>566</v>
      </c>
      <c r="B7" s="1120" t="str">
        <f>'预评函-1'!A7</f>
        <v>估价对象为北京市大兴区马朱路长子营段16号院17号楼1层101、2层201、202、203工业用房房地产，为所有。根据《国有土地使用证》[]，估价对象（分摊）出让国有建设用地使用权面积为0平方米，建筑面积为491.32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491.32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2025年5月9日（评估专业人员实地查勘之日）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553</v>
      </c>
    </row>
    <row r="21" spans="1:2">
      <c r="A21" s="1119" t="s">
        <v>537</v>
      </c>
      <c r="B21" s="1120">
        <f ca="1">'预评函-2'!D7</f>
        <v>11252</v>
      </c>
    </row>
    <row r="22" spans="1:2">
      <c r="A22" s="1119" t="s">
        <v>538</v>
      </c>
      <c r="B22" s="1120" t="str">
        <f ca="1">'预评函-2'!D6</f>
        <v>伍佰伍拾叁万元整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553</v>
      </c>
    </row>
    <row r="31" spans="1:2">
      <c r="A31" s="1119" t="s">
        <v>576</v>
      </c>
      <c r="B31" s="1120">
        <f ca="1">'预评函-2'!D15</f>
        <v>11252</v>
      </c>
    </row>
    <row r="32" spans="1:2">
      <c r="A32" s="1119" t="s">
        <v>543</v>
      </c>
      <c r="B32" s="1120" t="str">
        <f ca="1">'预评函-2'!D14</f>
        <v>伍佰伍拾叁万元整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北京市大兴区马朱路长子营段16号院17号楼1层101、2层201、202、203工业用房房地产</v>
      </c>
    </row>
    <row r="42" spans="1:2">
      <c r="A42" s="1119" t="s">
        <v>590</v>
      </c>
      <c r="B42" s="1120" t="str">
        <f>'预评函-3'!B2</f>
        <v>建筑面积</v>
      </c>
    </row>
    <row r="43" spans="1:2">
      <c r="A43" s="1119" t="s">
        <v>591</v>
      </c>
      <c r="B43" s="1120">
        <f>'预评函-3'!B4</f>
        <v>491.32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140</v>
      </c>
    </row>
    <row r="48" spans="1:2">
      <c r="A48" s="1119" t="s">
        <v>549</v>
      </c>
      <c r="B48" s="1120">
        <f ca="1">'预评函-3'!E4</f>
        <v>2858</v>
      </c>
    </row>
    <row r="49" spans="1:2">
      <c r="A49" s="1119" t="s">
        <v>550</v>
      </c>
      <c r="B49" s="1120" t="str">
        <f ca="1">'预评函-3'!D5</f>
        <v>壹佰肆拾万元整</v>
      </c>
    </row>
    <row r="50" spans="1:2">
      <c r="A50" s="1119" t="s">
        <v>574</v>
      </c>
      <c r="B50" s="1120" t="str">
        <f>'预评函-3'!F2</f>
        <v>在建建筑物价值</v>
      </c>
    </row>
    <row r="51" spans="1:2">
      <c r="A51" s="1119" t="s">
        <v>551</v>
      </c>
      <c r="B51" s="1120">
        <f ca="1">'预评函-3'!F4</f>
        <v>412</v>
      </c>
    </row>
    <row r="52" spans="1:2">
      <c r="A52" s="1119" t="s">
        <v>552</v>
      </c>
      <c r="B52" s="1120">
        <f ca="1">'预评函-3'!G4</f>
        <v>8394</v>
      </c>
    </row>
    <row r="53" spans="1:2">
      <c r="A53" s="1119" t="s">
        <v>580</v>
      </c>
      <c r="B53" s="1120" t="str">
        <f ca="1">'预评函-3'!F5</f>
        <v>肆佰壹拾贰万元整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973</v>
      </c>
      <c r="C1" s="1438" t="s">
        <v>314</v>
      </c>
      <c r="D1" s="1439" t="s">
        <v>3345</v>
      </c>
      <c r="E1" s="1438" t="s">
        <v>974</v>
      </c>
      <c r="F1" s="1438" t="s">
        <v>975</v>
      </c>
      <c r="G1" s="1438" t="s">
        <v>976</v>
      </c>
      <c r="H1" s="1438" t="s">
        <v>977</v>
      </c>
      <c r="I1" s="1438" t="s">
        <v>978</v>
      </c>
      <c r="J1" s="1438" t="s">
        <v>979</v>
      </c>
      <c r="K1" s="1438" t="s">
        <v>980</v>
      </c>
      <c r="L1" s="1438" t="s">
        <v>981</v>
      </c>
      <c r="M1" s="1438" t="s">
        <v>982</v>
      </c>
      <c r="N1" s="1438" t="s">
        <v>983</v>
      </c>
      <c r="O1" s="1438" t="s">
        <v>984</v>
      </c>
      <c r="P1" s="1439" t="s">
        <v>309</v>
      </c>
      <c r="Q1" s="1439" t="s">
        <v>447</v>
      </c>
      <c r="R1" s="1438" t="s">
        <v>441</v>
      </c>
      <c r="S1" s="1438" t="s">
        <v>985</v>
      </c>
      <c r="T1" s="1439" t="s">
        <v>986</v>
      </c>
      <c r="U1" s="1438" t="s">
        <v>987</v>
      </c>
      <c r="V1" s="1438" t="s">
        <v>988</v>
      </c>
      <c r="W1" s="1438" t="s">
        <v>311</v>
      </c>
    </row>
    <row r="2" spans="1:23">
      <c r="A2" s="1441" t="s">
        <v>19</v>
      </c>
      <c r="B2" s="1441" t="s">
        <v>989</v>
      </c>
      <c r="C2" s="1442" t="s">
        <v>315</v>
      </c>
      <c r="D2" s="1443" t="s">
        <v>990</v>
      </c>
      <c r="E2" s="1443" t="s">
        <v>991</v>
      </c>
      <c r="F2" s="1443" t="s">
        <v>992</v>
      </c>
      <c r="G2" s="1443">
        <v>20</v>
      </c>
      <c r="H2" s="1443" t="s">
        <v>992</v>
      </c>
      <c r="I2" s="1443" t="s">
        <v>3331</v>
      </c>
      <c r="J2" s="1443" t="s">
        <v>993</v>
      </c>
      <c r="K2" s="1443" t="s">
        <v>994</v>
      </c>
      <c r="L2" s="1443" t="s">
        <v>994</v>
      </c>
      <c r="M2" s="1443" t="s">
        <v>994</v>
      </c>
      <c r="N2" s="1443" t="s">
        <v>994</v>
      </c>
      <c r="O2" s="1443" t="s">
        <v>994</v>
      </c>
      <c r="P2" s="1443" t="s">
        <v>994</v>
      </c>
      <c r="Q2" s="1443" t="s">
        <v>994</v>
      </c>
      <c r="R2" s="1443" t="s">
        <v>443</v>
      </c>
      <c r="S2" s="1443" t="s">
        <v>994</v>
      </c>
      <c r="T2" s="1443" t="s">
        <v>995</v>
      </c>
      <c r="U2" s="1443" t="s">
        <v>994</v>
      </c>
      <c r="V2" s="1443" t="s">
        <v>996</v>
      </c>
      <c r="W2" s="1443" t="s">
        <v>994</v>
      </c>
    </row>
    <row r="3" spans="1:23">
      <c r="A3" s="1441" t="s">
        <v>997</v>
      </c>
      <c r="B3" s="1444" t="s">
        <v>448</v>
      </c>
      <c r="C3" s="1442" t="s">
        <v>316</v>
      </c>
      <c r="D3" s="1443" t="s">
        <v>998</v>
      </c>
      <c r="E3" s="1443" t="s">
        <v>13</v>
      </c>
      <c r="F3" s="1443" t="s">
        <v>999</v>
      </c>
      <c r="G3" s="1443">
        <v>40</v>
      </c>
      <c r="H3" s="1443" t="s">
        <v>999</v>
      </c>
      <c r="I3" s="1443" t="s">
        <v>3332</v>
      </c>
      <c r="J3" s="1443" t="s">
        <v>1000</v>
      </c>
      <c r="K3" s="1443" t="s">
        <v>1001</v>
      </c>
      <c r="L3" s="1443" t="s">
        <v>1001</v>
      </c>
      <c r="M3" s="1443" t="s">
        <v>1001</v>
      </c>
      <c r="N3" s="1443" t="s">
        <v>1001</v>
      </c>
      <c r="O3" s="1443" t="s">
        <v>1001</v>
      </c>
      <c r="P3" s="1443" t="s">
        <v>1001</v>
      </c>
      <c r="Q3" s="1443" t="s">
        <v>1001</v>
      </c>
      <c r="R3" s="1443" t="s">
        <v>442</v>
      </c>
      <c r="S3" s="1443" t="s">
        <v>1001</v>
      </c>
      <c r="T3" s="1443" t="s">
        <v>1002</v>
      </c>
      <c r="U3" s="1443" t="s">
        <v>1001</v>
      </c>
      <c r="V3" s="1443" t="s">
        <v>1003</v>
      </c>
      <c r="W3" s="1443" t="s">
        <v>1001</v>
      </c>
    </row>
    <row r="4" spans="1:23">
      <c r="A4" s="1441" t="s">
        <v>1004</v>
      </c>
      <c r="B4" s="1441" t="s">
        <v>1005</v>
      </c>
      <c r="C4" s="1442" t="s">
        <v>317</v>
      </c>
      <c r="D4" s="1443" t="s">
        <v>389</v>
      </c>
      <c r="E4" s="1443" t="s">
        <v>1006</v>
      </c>
      <c r="F4" s="1443" t="s">
        <v>1007</v>
      </c>
      <c r="G4" s="1443">
        <v>50</v>
      </c>
      <c r="H4" s="1443" t="s">
        <v>1007</v>
      </c>
      <c r="I4" s="1443" t="s">
        <v>3333</v>
      </c>
      <c r="K4" s="1443" t="s">
        <v>1008</v>
      </c>
      <c r="L4" s="1443" t="s">
        <v>1008</v>
      </c>
      <c r="M4" s="1443" t="s">
        <v>1008</v>
      </c>
      <c r="N4" s="1443" t="s">
        <v>1008</v>
      </c>
      <c r="O4" s="1443" t="s">
        <v>1008</v>
      </c>
      <c r="P4" s="1443" t="s">
        <v>1008</v>
      </c>
      <c r="Q4" s="1443" t="s">
        <v>1008</v>
      </c>
      <c r="R4" s="1443" t="s">
        <v>444</v>
      </c>
      <c r="S4" s="1443" t="s">
        <v>1008</v>
      </c>
      <c r="T4" s="1443" t="s">
        <v>1009</v>
      </c>
      <c r="U4" s="1443" t="s">
        <v>1008</v>
      </c>
      <c r="W4" s="1443" t="s">
        <v>1008</v>
      </c>
    </row>
    <row r="5" spans="1:23">
      <c r="A5" s="1441" t="s">
        <v>1010</v>
      </c>
      <c r="B5" s="1441" t="s">
        <v>1011</v>
      </c>
      <c r="C5" s="1442" t="s">
        <v>318</v>
      </c>
      <c r="F5" s="1443" t="s">
        <v>1012</v>
      </c>
      <c r="G5" s="1443">
        <v>70</v>
      </c>
      <c r="H5" s="1443" t="s">
        <v>1013</v>
      </c>
      <c r="I5" s="1443" t="s">
        <v>3334</v>
      </c>
      <c r="K5" s="1443" t="s">
        <v>1014</v>
      </c>
      <c r="L5" s="1443" t="s">
        <v>1014</v>
      </c>
      <c r="M5" s="1443" t="s">
        <v>1014</v>
      </c>
      <c r="N5" s="1443" t="s">
        <v>1014</v>
      </c>
      <c r="O5" s="1443" t="s">
        <v>1014</v>
      </c>
      <c r="P5" s="1443" t="s">
        <v>1014</v>
      </c>
      <c r="Q5" s="1443" t="s">
        <v>1014</v>
      </c>
      <c r="R5" s="1443" t="s">
        <v>445</v>
      </c>
      <c r="S5" s="1443" t="s">
        <v>1014</v>
      </c>
      <c r="T5" s="1443" t="s">
        <v>1015</v>
      </c>
      <c r="U5" s="1443" t="s">
        <v>1014</v>
      </c>
      <c r="W5" s="1443" t="s">
        <v>1014</v>
      </c>
    </row>
    <row r="6" spans="1:23">
      <c r="A6" s="1441" t="s">
        <v>1016</v>
      </c>
      <c r="B6" s="1444" t="s">
        <v>449</v>
      </c>
      <c r="C6" s="1446" t="s">
        <v>24</v>
      </c>
      <c r="F6" s="1443" t="s">
        <v>1013</v>
      </c>
      <c r="H6" s="1443" t="s">
        <v>1017</v>
      </c>
      <c r="I6" s="1443" t="s">
        <v>3335</v>
      </c>
      <c r="K6" s="1443" t="s">
        <v>1018</v>
      </c>
      <c r="L6" s="1443" t="s">
        <v>1018</v>
      </c>
      <c r="M6" s="1443" t="s">
        <v>1018</v>
      </c>
      <c r="N6" s="1443" t="s">
        <v>1018</v>
      </c>
      <c r="O6" s="1443" t="s">
        <v>1018</v>
      </c>
      <c r="P6" s="1443" t="s">
        <v>1018</v>
      </c>
      <c r="Q6" s="1443" t="s">
        <v>1018</v>
      </c>
      <c r="R6" s="1443" t="s">
        <v>446</v>
      </c>
      <c r="S6" s="1443" t="s">
        <v>1018</v>
      </c>
      <c r="T6" s="1443"/>
      <c r="U6" s="1443" t="s">
        <v>1018</v>
      </c>
      <c r="W6" s="1443" t="s">
        <v>1018</v>
      </c>
    </row>
    <row r="7" spans="1:23">
      <c r="A7" s="1441" t="s">
        <v>1019</v>
      </c>
      <c r="B7" s="1444" t="s">
        <v>450</v>
      </c>
      <c r="C7" s="1442" t="s">
        <v>25</v>
      </c>
      <c r="F7" s="1443" t="s">
        <v>1020</v>
      </c>
      <c r="H7" s="1443" t="s">
        <v>1021</v>
      </c>
      <c r="I7" s="1443" t="s">
        <v>3336</v>
      </c>
    </row>
    <row r="8" spans="1:23">
      <c r="A8" s="1441" t="s">
        <v>1022</v>
      </c>
      <c r="B8" s="1441" t="s">
        <v>1023</v>
      </c>
      <c r="C8" s="1442" t="s">
        <v>319</v>
      </c>
      <c r="F8" s="1443" t="s">
        <v>1024</v>
      </c>
      <c r="H8" s="1443" t="s">
        <v>2571</v>
      </c>
      <c r="I8" s="1443" t="s">
        <v>3337</v>
      </c>
    </row>
    <row r="9" spans="1:23">
      <c r="A9" s="1441" t="s">
        <v>1025</v>
      </c>
      <c r="B9" s="1441" t="s">
        <v>1026</v>
      </c>
      <c r="C9" s="1442" t="s">
        <v>320</v>
      </c>
      <c r="F9" s="1443" t="s">
        <v>1027</v>
      </c>
      <c r="H9" s="1443"/>
      <c r="I9" s="1445" t="s">
        <v>3338</v>
      </c>
    </row>
    <row r="10" spans="1:23">
      <c r="A10" s="1441" t="s">
        <v>1028</v>
      </c>
      <c r="B10" s="1441" t="s">
        <v>1029</v>
      </c>
      <c r="C10" s="1442" t="s">
        <v>321</v>
      </c>
      <c r="F10" s="1443" t="s">
        <v>2572</v>
      </c>
      <c r="I10" s="1445" t="s">
        <v>3339</v>
      </c>
    </row>
    <row r="11" spans="1:23">
      <c r="A11" s="1441" t="s">
        <v>1030</v>
      </c>
      <c r="B11" s="1441" t="s">
        <v>1031</v>
      </c>
      <c r="C11" s="1442" t="s">
        <v>322</v>
      </c>
      <c r="F11" s="1443" t="s">
        <v>13</v>
      </c>
      <c r="I11" s="1445" t="s">
        <v>3340</v>
      </c>
    </row>
    <row r="12" spans="1:23">
      <c r="A12" s="1441" t="s">
        <v>1032</v>
      </c>
      <c r="B12" s="1441" t="s">
        <v>1033</v>
      </c>
      <c r="C12" s="1442" t="s">
        <v>323</v>
      </c>
      <c r="I12" s="1445" t="s">
        <v>3341</v>
      </c>
    </row>
    <row r="13" spans="1:23">
      <c r="A13" s="1441" t="s">
        <v>1034</v>
      </c>
      <c r="B13" s="1441" t="s">
        <v>1035</v>
      </c>
      <c r="C13" s="1442" t="s">
        <v>324</v>
      </c>
      <c r="I13" s="1445" t="s">
        <v>3342</v>
      </c>
    </row>
    <row r="14" spans="1:23">
      <c r="A14" s="1441" t="s">
        <v>1036</v>
      </c>
      <c r="B14" s="1441" t="s">
        <v>1037</v>
      </c>
      <c r="C14" s="1443" t="s">
        <v>13</v>
      </c>
      <c r="I14" s="1445" t="s">
        <v>3343</v>
      </c>
    </row>
    <row r="15" spans="1:23">
      <c r="A15" s="1441" t="s">
        <v>1038</v>
      </c>
      <c r="B15" s="1441" t="s">
        <v>1039</v>
      </c>
      <c r="C15" s="1442"/>
      <c r="I15" s="1445" t="s">
        <v>3344</v>
      </c>
    </row>
    <row r="16" spans="1:23">
      <c r="A16" s="1441" t="s">
        <v>1040</v>
      </c>
      <c r="B16" s="1441" t="s">
        <v>312</v>
      </c>
      <c r="C16" s="1442"/>
    </row>
    <row r="17" spans="1:3">
      <c r="A17" s="1441" t="s">
        <v>1041</v>
      </c>
      <c r="B17" s="1441" t="s">
        <v>2287</v>
      </c>
      <c r="C17" s="1442"/>
    </row>
    <row r="18" spans="1:3">
      <c r="A18" s="1441" t="s">
        <v>1042</v>
      </c>
      <c r="B18" s="1441" t="s">
        <v>2427</v>
      </c>
      <c r="C18" s="1442"/>
    </row>
    <row r="19" spans="1:3">
      <c r="A19" s="1441" t="s">
        <v>1043</v>
      </c>
      <c r="B19" s="1441" t="s">
        <v>313</v>
      </c>
      <c r="C19" s="1442"/>
    </row>
    <row r="20" spans="1:3">
      <c r="A20" s="1441" t="s">
        <v>1044</v>
      </c>
      <c r="B20" s="1441" t="s">
        <v>313</v>
      </c>
      <c r="C20" s="1442"/>
    </row>
    <row r="21" spans="1:3">
      <c r="A21" s="1441" t="s">
        <v>1045</v>
      </c>
      <c r="B21" s="1441" t="s">
        <v>313</v>
      </c>
      <c r="C21" s="1442"/>
    </row>
    <row r="22" spans="1:3">
      <c r="A22" s="1441" t="s">
        <v>1046</v>
      </c>
      <c r="B22" s="1441" t="s">
        <v>313</v>
      </c>
      <c r="C22" s="1442"/>
    </row>
    <row r="23" spans="1:3">
      <c r="A23" s="1441" t="s">
        <v>1047</v>
      </c>
      <c r="B23" s="1441" t="s">
        <v>313</v>
      </c>
      <c r="C23" s="1442"/>
    </row>
    <row r="24" spans="1:3">
      <c r="A24" s="1441" t="s">
        <v>1048</v>
      </c>
      <c r="B24" s="1441" t="s">
        <v>313</v>
      </c>
      <c r="C24" s="1442"/>
    </row>
    <row r="25" spans="1:3">
      <c r="A25" s="1441" t="s">
        <v>1049</v>
      </c>
      <c r="B25" s="1441" t="s">
        <v>313</v>
      </c>
      <c r="C25" s="1442"/>
    </row>
    <row r="26" spans="1:3">
      <c r="A26" s="1441" t="s">
        <v>1050</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2494</v>
      </c>
      <c r="B1" s="2756"/>
      <c r="C1" s="2756"/>
      <c r="D1" s="2756"/>
      <c r="E1" s="2756"/>
      <c r="F1" s="2757"/>
      <c r="I1" s="3134" t="s">
        <v>2587</v>
      </c>
      <c r="J1" s="2782"/>
      <c r="K1" s="2782"/>
      <c r="L1" s="2782"/>
      <c r="M1" s="2782"/>
      <c r="N1" s="2967"/>
      <c r="O1" s="2967"/>
      <c r="P1" s="2967"/>
      <c r="Q1" s="2967"/>
      <c r="R1" s="2967"/>
    </row>
    <row r="2" spans="1:18">
      <c r="A2" s="2759"/>
      <c r="B2" s="2760"/>
      <c r="C2" s="2760"/>
      <c r="D2" s="2760"/>
      <c r="E2" s="2760"/>
      <c r="F2" s="2761"/>
      <c r="I2" s="3221" t="s">
        <v>2574</v>
      </c>
      <c r="J2" s="3221"/>
      <c r="K2" s="3221"/>
      <c r="L2" s="3221"/>
      <c r="M2" s="3221"/>
      <c r="N2" s="3221"/>
      <c r="O2" s="3221"/>
      <c r="P2" s="3221"/>
      <c r="Q2" s="3221"/>
      <c r="R2" s="3221"/>
    </row>
    <row r="3" spans="1:18">
      <c r="A3" s="2762" t="s">
        <v>2495</v>
      </c>
      <c r="B3" s="2763">
        <f>项目基本情况!D3</f>
        <v>45786</v>
      </c>
      <c r="C3" s="2765"/>
      <c r="D3" s="2765"/>
      <c r="E3" s="2765"/>
      <c r="F3" s="2761"/>
      <c r="I3" s="2777"/>
      <c r="J3" s="2777" t="s">
        <v>2578</v>
      </c>
      <c r="K3" s="2777" t="s">
        <v>2579</v>
      </c>
      <c r="L3" s="2777" t="s">
        <v>2580</v>
      </c>
      <c r="M3" s="2777" t="s">
        <v>2581</v>
      </c>
      <c r="N3" s="3135" t="s">
        <v>2582</v>
      </c>
      <c r="O3" s="3135" t="s">
        <v>2583</v>
      </c>
      <c r="P3" s="3135" t="s">
        <v>2584</v>
      </c>
      <c r="Q3" s="3135" t="s">
        <v>2585</v>
      </c>
      <c r="R3" s="3135" t="s">
        <v>2586</v>
      </c>
    </row>
    <row r="4" spans="1:18">
      <c r="A4" s="2762" t="s">
        <v>2496</v>
      </c>
      <c r="B4" s="2765" t="s">
        <v>2497</v>
      </c>
      <c r="C4" s="2765" t="s">
        <v>2498</v>
      </c>
      <c r="D4" s="2765" t="s">
        <v>2499</v>
      </c>
      <c r="E4" s="2765" t="s">
        <v>2500</v>
      </c>
      <c r="F4" s="2761"/>
      <c r="I4" s="2777" t="s">
        <v>2575</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2576</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2577</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2501</v>
      </c>
      <c r="B9" s="2765"/>
      <c r="C9" s="2765"/>
      <c r="D9" s="2765"/>
      <c r="E9" s="2765"/>
      <c r="F9" s="2769"/>
    </row>
    <row r="10" spans="1:18">
      <c r="A10" s="2762" t="s">
        <v>2502</v>
      </c>
      <c r="B10" s="2765"/>
      <c r="C10" s="2765"/>
      <c r="D10" s="2765" t="s">
        <v>2500</v>
      </c>
      <c r="E10" s="2765"/>
      <c r="F10" s="2769" t="s">
        <v>2499</v>
      </c>
    </row>
    <row r="11" spans="1:18">
      <c r="A11" s="2762" t="s">
        <v>2503</v>
      </c>
      <c r="B11" s="2770">
        <v>70</v>
      </c>
      <c r="C11" s="2765" t="s">
        <v>2504</v>
      </c>
      <c r="D11" s="2770">
        <v>4.4999999999999998E-2</v>
      </c>
      <c r="E11" s="2765" t="s">
        <v>2505</v>
      </c>
      <c r="F11" s="2771">
        <f>ROUND(1-(1/(POWER(1+D11,B11))),4)</f>
        <v>0.95409999999999995</v>
      </c>
    </row>
    <row r="12" spans="1:18">
      <c r="A12" s="2762" t="s">
        <v>2506</v>
      </c>
      <c r="B12" s="2770">
        <v>40</v>
      </c>
      <c r="C12" s="2765" t="s">
        <v>2507</v>
      </c>
      <c r="D12" s="2770">
        <v>4.4999999999999998E-2</v>
      </c>
      <c r="E12" s="2765" t="s">
        <v>2508</v>
      </c>
      <c r="F12" s="2771">
        <f>ROUND(1-(1/(POWER(1+D12,B12))),4)</f>
        <v>0.82809999999999995</v>
      </c>
    </row>
    <row r="13" spans="1:18">
      <c r="A13" s="2762" t="s">
        <v>2509</v>
      </c>
      <c r="B13" s="2765"/>
      <c r="C13" s="2765"/>
      <c r="D13" s="2760"/>
      <c r="E13" s="2760"/>
      <c r="F13" s="2761"/>
    </row>
    <row r="14" spans="1:18">
      <c r="A14" s="2762" t="s">
        <v>2510</v>
      </c>
      <c r="B14" s="2770">
        <v>5000</v>
      </c>
      <c r="C14" s="2764"/>
      <c r="D14" s="2760"/>
      <c r="E14" s="2760"/>
      <c r="F14" s="2761"/>
    </row>
    <row r="15" spans="1:18">
      <c r="A15" s="2762" t="s">
        <v>2511</v>
      </c>
      <c r="B15" s="2765">
        <f>ROUND(B14*F12/F11,2)</f>
        <v>4339.6899999999996</v>
      </c>
      <c r="C15" s="2765">
        <f>ROUND(F12/F11,4)</f>
        <v>0.8679</v>
      </c>
      <c r="D15" s="2760"/>
      <c r="E15" s="2760"/>
      <c r="F15" s="2761"/>
    </row>
    <row r="16" spans="1:18">
      <c r="A16" s="2762" t="s">
        <v>2512</v>
      </c>
      <c r="B16" s="2765"/>
      <c r="C16" s="2765"/>
      <c r="D16" s="2760"/>
      <c r="E16" s="2760"/>
      <c r="F16" s="2761"/>
    </row>
    <row r="17" spans="1:14">
      <c r="A17" s="2762" t="s">
        <v>2511</v>
      </c>
      <c r="B17" s="2770">
        <v>4810</v>
      </c>
      <c r="C17" s="2764"/>
      <c r="D17" s="2760"/>
      <c r="E17" s="2760"/>
      <c r="F17" s="2761"/>
    </row>
    <row r="18" spans="1:14" ht="14.25" thickBot="1">
      <c r="A18" s="2772" t="s">
        <v>2510</v>
      </c>
      <c r="B18" s="2773">
        <f>ROUND(B17*F11/F12,2)</f>
        <v>5541.87</v>
      </c>
      <c r="C18" s="2773">
        <f>ROUND(F11/F12,4)</f>
        <v>1.1521999999999999</v>
      </c>
      <c r="D18" s="2774"/>
      <c r="E18" s="2774"/>
      <c r="F18" s="2775"/>
    </row>
    <row r="19" spans="1:14" ht="14.25" thickBot="1"/>
    <row r="20" spans="1:14" s="2808" customFormat="1" ht="14.25" thickTop="1">
      <c r="A20" s="2805" t="s">
        <v>2513</v>
      </c>
      <c r="B20" s="2806"/>
      <c r="C20" s="2806"/>
      <c r="D20" s="2806"/>
      <c r="E20" s="2806"/>
      <c r="F20" s="2806"/>
      <c r="G20" s="2807"/>
      <c r="I20" s="2809" t="s">
        <v>2558</v>
      </c>
      <c r="J20" s="2809" t="s">
        <v>2563</v>
      </c>
      <c r="K20" s="2809"/>
      <c r="L20" s="2809"/>
      <c r="M20" s="2809"/>
    </row>
    <row r="21" spans="1:14">
      <c r="A21" s="2776"/>
      <c r="B21" s="2777" t="s">
        <v>2514</v>
      </c>
      <c r="C21" s="2777" t="s">
        <v>2515</v>
      </c>
      <c r="D21" s="2777" t="s">
        <v>2516</v>
      </c>
      <c r="E21" s="2777" t="s">
        <v>2517</v>
      </c>
      <c r="F21" s="2777" t="s">
        <v>2518</v>
      </c>
      <c r="G21" s="2778" t="s">
        <v>2519</v>
      </c>
      <c r="I21" s="2799">
        <v>5</v>
      </c>
      <c r="J21" s="2799">
        <v>54.2</v>
      </c>
    </row>
    <row r="22" spans="1:14">
      <c r="A22" s="2776" t="s">
        <v>2520</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2521</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2561</v>
      </c>
      <c r="N23" s="3152" t="s">
        <v>2562</v>
      </c>
    </row>
    <row r="24" spans="1:14">
      <c r="A24" s="2776" t="s">
        <v>2522</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2560</v>
      </c>
      <c r="N24" s="3152">
        <v>10</v>
      </c>
    </row>
    <row r="25" spans="1:14">
      <c r="A25" s="2776" t="s">
        <v>2523</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2564</v>
      </c>
      <c r="N25" s="3152">
        <v>8</v>
      </c>
    </row>
    <row r="26" spans="1:14">
      <c r="A26" s="2781"/>
      <c r="B26" s="2782"/>
      <c r="C26" s="2782"/>
      <c r="D26" s="2782"/>
      <c r="E26" s="2782"/>
      <c r="F26" s="2782"/>
      <c r="G26" s="2783"/>
      <c r="I26" s="2799">
        <v>30</v>
      </c>
      <c r="J26" s="2799">
        <v>90.5</v>
      </c>
      <c r="K26" s="2799">
        <f t="shared" si="2"/>
        <v>4.2000000000000028</v>
      </c>
      <c r="L26" s="2799" t="s">
        <v>2565</v>
      </c>
      <c r="N26" s="3152">
        <v>5</v>
      </c>
    </row>
    <row r="27" spans="1:14">
      <c r="A27" s="2781" t="s">
        <v>2524</v>
      </c>
      <c r="B27" s="2782"/>
      <c r="C27" s="2782"/>
      <c r="D27" s="2782"/>
      <c r="E27" s="2782"/>
      <c r="F27" s="2782"/>
      <c r="G27" s="2783"/>
      <c r="I27" s="2799">
        <v>35</v>
      </c>
      <c r="J27" s="2799">
        <v>93.8</v>
      </c>
      <c r="K27" s="2799">
        <f t="shared" si="2"/>
        <v>3.2999999999999972</v>
      </c>
      <c r="L27" s="2799" t="s">
        <v>2566</v>
      </c>
      <c r="N27" s="3152">
        <v>3</v>
      </c>
    </row>
    <row r="28" spans="1:14">
      <c r="A28" s="2781" t="s">
        <v>2525</v>
      </c>
      <c r="B28" s="2782"/>
      <c r="C28" s="2782"/>
      <c r="D28" s="2782"/>
      <c r="E28" s="2782"/>
      <c r="F28" s="2782"/>
      <c r="G28" s="2783"/>
      <c r="I28" s="2799">
        <v>40</v>
      </c>
      <c r="J28" s="2799">
        <v>96.4</v>
      </c>
      <c r="K28" s="2799">
        <f t="shared" si="2"/>
        <v>2.6000000000000085</v>
      </c>
      <c r="L28" s="2799" t="s">
        <v>2567</v>
      </c>
      <c r="N28" s="3152">
        <v>2</v>
      </c>
    </row>
    <row r="29" spans="1:14">
      <c r="A29" s="2781" t="s">
        <v>2526</v>
      </c>
      <c r="B29" s="2782"/>
      <c r="C29" s="2782"/>
      <c r="D29" s="2782"/>
      <c r="E29" s="2782"/>
      <c r="F29" s="2782"/>
      <c r="G29" s="2783"/>
      <c r="I29" s="2799">
        <v>45</v>
      </c>
      <c r="J29" s="2799">
        <v>98.4</v>
      </c>
      <c r="K29" s="2799">
        <f t="shared" si="2"/>
        <v>2</v>
      </c>
    </row>
    <row r="30" spans="1:14">
      <c r="A30" s="2781" t="s">
        <v>2527</v>
      </c>
      <c r="B30" s="2782"/>
      <c r="C30" s="2782"/>
      <c r="D30" s="2782"/>
      <c r="E30" s="2782"/>
      <c r="F30" s="2782"/>
      <c r="G30" s="2783"/>
      <c r="I30" s="2799">
        <v>50</v>
      </c>
      <c r="J30" s="2799">
        <v>100</v>
      </c>
      <c r="K30" s="2799">
        <f t="shared" si="2"/>
        <v>1.5999999999999943</v>
      </c>
    </row>
    <row r="31" spans="1:14">
      <c r="A31" s="2781" t="s">
        <v>2528</v>
      </c>
      <c r="B31" s="2782"/>
      <c r="C31" s="2782"/>
      <c r="D31" s="2782"/>
      <c r="E31" s="2782"/>
      <c r="F31" s="2782"/>
      <c r="G31" s="2783"/>
      <c r="I31" s="2799" t="s">
        <v>2559</v>
      </c>
    </row>
    <row r="32" spans="1:14">
      <c r="A32" s="2781" t="s">
        <v>2529</v>
      </c>
      <c r="B32" s="2782"/>
      <c r="C32" s="2782"/>
      <c r="D32" s="2782"/>
      <c r="E32" s="2782"/>
      <c r="F32" s="2782"/>
      <c r="G32" s="2783"/>
    </row>
    <row r="33" spans="1:14">
      <c r="A33" s="2781" t="s">
        <v>2530</v>
      </c>
      <c r="B33" s="2782"/>
      <c r="C33" s="2782"/>
      <c r="D33" s="2782"/>
      <c r="E33" s="2782"/>
      <c r="F33" s="2782"/>
      <c r="G33" s="2783"/>
      <c r="I33" s="2799" t="s">
        <v>2558</v>
      </c>
      <c r="J33" s="2799" t="s">
        <v>2568</v>
      </c>
    </row>
    <row r="34" spans="1:14">
      <c r="A34" s="2781" t="s">
        <v>2531</v>
      </c>
      <c r="B34" s="2782"/>
      <c r="C34" s="2782"/>
      <c r="D34" s="2782"/>
      <c r="E34" s="2782"/>
      <c r="F34" s="2782"/>
      <c r="G34" s="2783"/>
      <c r="I34" s="2799">
        <v>5</v>
      </c>
      <c r="J34" s="2799">
        <v>55.1</v>
      </c>
    </row>
    <row r="35" spans="1:14">
      <c r="A35" s="2781" t="s">
        <v>2532</v>
      </c>
      <c r="B35" s="2782"/>
      <c r="C35" s="2782"/>
      <c r="D35" s="2782"/>
      <c r="E35" s="2782"/>
      <c r="F35" s="2782"/>
      <c r="G35" s="2783"/>
      <c r="I35" s="2799">
        <v>10</v>
      </c>
      <c r="J35" s="2799">
        <v>67</v>
      </c>
      <c r="K35" s="2799">
        <f>J35-J34</f>
        <v>11.899999999999999</v>
      </c>
    </row>
    <row r="36" spans="1:14">
      <c r="A36" s="2781" t="s">
        <v>2533</v>
      </c>
      <c r="B36" s="2782"/>
      <c r="C36" s="2782"/>
      <c r="D36" s="2782"/>
      <c r="E36" s="2782"/>
      <c r="F36" s="2782"/>
      <c r="G36" s="2783"/>
      <c r="I36" s="2799">
        <v>15</v>
      </c>
      <c r="J36" s="2799">
        <v>76.3</v>
      </c>
      <c r="K36" s="2799">
        <f t="shared" ref="K36:K41" si="3">J36-J35</f>
        <v>9.2999999999999972</v>
      </c>
      <c r="L36" s="2799" t="s">
        <v>2561</v>
      </c>
      <c r="N36" s="3152" t="s">
        <v>2562</v>
      </c>
    </row>
    <row r="37" spans="1:14">
      <c r="A37" s="2781" t="s">
        <v>2534</v>
      </c>
      <c r="B37" s="2782"/>
      <c r="C37" s="2782"/>
      <c r="D37" s="2782"/>
      <c r="E37" s="2782"/>
      <c r="F37" s="2782"/>
      <c r="G37" s="2783"/>
      <c r="I37" s="2799">
        <v>20</v>
      </c>
      <c r="J37" s="2799">
        <v>83.6</v>
      </c>
      <c r="K37" s="2799">
        <f t="shared" si="3"/>
        <v>7.2999999999999972</v>
      </c>
      <c r="L37" s="2799" t="s">
        <v>2560</v>
      </c>
      <c r="N37" s="3152">
        <v>10</v>
      </c>
    </row>
    <row r="38" spans="1:14">
      <c r="A38" s="2781" t="s">
        <v>2535</v>
      </c>
      <c r="B38" s="2782"/>
      <c r="C38" s="2782"/>
      <c r="D38" s="2782"/>
      <c r="E38" s="2782"/>
      <c r="F38" s="2782"/>
      <c r="G38" s="2783"/>
      <c r="I38" s="2799">
        <v>25</v>
      </c>
      <c r="J38" s="2799">
        <v>89.3</v>
      </c>
      <c r="K38" s="2799">
        <f t="shared" si="3"/>
        <v>5.7000000000000028</v>
      </c>
      <c r="L38" s="2799" t="s">
        <v>2564</v>
      </c>
      <c r="N38" s="3152">
        <v>8</v>
      </c>
    </row>
    <row r="39" spans="1:14">
      <c r="A39" s="2781"/>
      <c r="B39" s="2782"/>
      <c r="C39" s="2782"/>
      <c r="D39" s="2782"/>
      <c r="E39" s="2782"/>
      <c r="F39" s="2782"/>
      <c r="G39" s="2783"/>
      <c r="I39" s="2799">
        <v>30</v>
      </c>
      <c r="J39" s="2799">
        <v>93.8</v>
      </c>
      <c r="K39" s="2799">
        <f t="shared" si="3"/>
        <v>4.5</v>
      </c>
      <c r="L39" s="2799" t="s">
        <v>2565</v>
      </c>
      <c r="N39" s="3152">
        <v>6</v>
      </c>
    </row>
    <row r="40" spans="1:14">
      <c r="A40" s="2784" t="s">
        <v>2536</v>
      </c>
      <c r="B40" s="2785"/>
      <c r="C40" s="2785"/>
      <c r="D40" s="2785"/>
      <c r="E40" s="2785"/>
      <c r="F40" s="2785"/>
      <c r="G40" s="2786"/>
      <c r="I40" s="2799">
        <v>35</v>
      </c>
      <c r="J40" s="2799">
        <v>97.2</v>
      </c>
      <c r="K40" s="2799">
        <f t="shared" si="3"/>
        <v>3.4000000000000057</v>
      </c>
      <c r="L40" s="2799" t="s">
        <v>2566</v>
      </c>
      <c r="N40" s="3152">
        <v>3</v>
      </c>
    </row>
    <row r="41" spans="1:14">
      <c r="A41" s="2787" t="s">
        <v>2537</v>
      </c>
      <c r="B41" s="2788" t="s">
        <v>2538</v>
      </c>
      <c r="C41" s="2789" t="s">
        <v>2539</v>
      </c>
      <c r="D41" s="2789" t="s">
        <v>2540</v>
      </c>
      <c r="E41" s="2790"/>
      <c r="F41" s="2791"/>
      <c r="G41" s="2792"/>
      <c r="I41" s="2799">
        <v>40</v>
      </c>
      <c r="J41" s="2799">
        <v>100</v>
      </c>
      <c r="K41" s="2799">
        <f t="shared" si="3"/>
        <v>2.7999999999999972</v>
      </c>
    </row>
    <row r="42" spans="1:14">
      <c r="A42" s="2787" t="s">
        <v>2541</v>
      </c>
      <c r="B42" s="2788" t="s">
        <v>2542</v>
      </c>
      <c r="C42" s="2789" t="s">
        <v>2543</v>
      </c>
      <c r="D42" s="2793" t="s">
        <v>2544</v>
      </c>
      <c r="E42" s="2785" t="s">
        <v>2545</v>
      </c>
      <c r="F42" s="2785"/>
      <c r="G42" s="2786"/>
    </row>
    <row r="43" spans="1:14">
      <c r="A43" s="2787" t="s">
        <v>2546</v>
      </c>
      <c r="B43" s="2788" t="s">
        <v>2547</v>
      </c>
      <c r="C43" s="2789" t="s">
        <v>2548</v>
      </c>
      <c r="D43" s="2789" t="s">
        <v>2549</v>
      </c>
      <c r="E43" s="2790" t="s">
        <v>2550</v>
      </c>
      <c r="F43" s="2791"/>
      <c r="G43" s="2792"/>
      <c r="I43" s="2799" t="s">
        <v>2558</v>
      </c>
      <c r="J43" s="2799" t="s">
        <v>2569</v>
      </c>
    </row>
    <row r="44" spans="1:14">
      <c r="A44" s="2787" t="s">
        <v>2551</v>
      </c>
      <c r="B44" s="2788" t="s">
        <v>2552</v>
      </c>
      <c r="C44" s="2789" t="s">
        <v>2553</v>
      </c>
      <c r="D44" s="2793">
        <v>0.5</v>
      </c>
      <c r="E44" s="2790" t="s">
        <v>2554</v>
      </c>
      <c r="F44" s="2791"/>
      <c r="G44" s="2792"/>
      <c r="I44" s="2799">
        <v>30</v>
      </c>
      <c r="J44" s="2799">
        <v>81.7</v>
      </c>
    </row>
    <row r="45" spans="1:14" ht="14.25" thickBot="1">
      <c r="A45" s="2794" t="s">
        <v>2555</v>
      </c>
      <c r="B45" s="2795" t="s">
        <v>2542</v>
      </c>
      <c r="C45" s="2796" t="s">
        <v>2542</v>
      </c>
      <c r="D45" s="2796" t="s">
        <v>2556</v>
      </c>
      <c r="E45" s="2797" t="s">
        <v>2557</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3381</v>
      </c>
    </row>
    <row r="50" spans="1:4">
      <c r="A50" s="3144" t="s">
        <v>3382</v>
      </c>
      <c r="B50" s="3144" t="s">
        <v>3383</v>
      </c>
      <c r="C50" s="3144" t="s">
        <v>3384</v>
      </c>
      <c r="D50" s="3144" t="s">
        <v>3385</v>
      </c>
    </row>
    <row r="51" spans="1:4">
      <c r="A51" s="3144" t="s">
        <v>3386</v>
      </c>
      <c r="B51" s="2764">
        <f>B52+B53</f>
        <v>15000</v>
      </c>
      <c r="C51" s="3145">
        <f>D51/B51</f>
        <v>2666.6666666666665</v>
      </c>
      <c r="D51" s="2764">
        <f>D52+D53</f>
        <v>40000000</v>
      </c>
    </row>
    <row r="52" spans="1:4">
      <c r="A52" s="3146" t="s">
        <v>3387</v>
      </c>
      <c r="B52" s="3147">
        <v>10000</v>
      </c>
      <c r="C52" s="3147">
        <v>1500</v>
      </c>
      <c r="D52" s="3148">
        <f>C52*B52</f>
        <v>15000000</v>
      </c>
    </row>
    <row r="53" spans="1:4">
      <c r="A53" s="3146" t="s">
        <v>3388</v>
      </c>
      <c r="B53" s="3147">
        <v>5000</v>
      </c>
      <c r="C53" s="3147">
        <v>5000</v>
      </c>
      <c r="D53" s="3148">
        <f>C53*B53</f>
        <v>25000000</v>
      </c>
    </row>
    <row r="54" spans="1:4">
      <c r="A54" s="3144" t="s">
        <v>3389</v>
      </c>
      <c r="B54" s="2764">
        <f>B51</f>
        <v>15000</v>
      </c>
      <c r="C54" s="2770">
        <v>700</v>
      </c>
      <c r="D54" s="2764">
        <f t="shared" ref="D54:D55" si="5">C54*B54</f>
        <v>10500000</v>
      </c>
    </row>
    <row r="55" spans="1:4">
      <c r="A55" s="3144" t="s">
        <v>3390</v>
      </c>
      <c r="B55" s="2764">
        <f>B51</f>
        <v>15000</v>
      </c>
      <c r="C55" s="2770">
        <v>1500</v>
      </c>
      <c r="D55" s="2764">
        <f t="shared" si="5"/>
        <v>22500000</v>
      </c>
    </row>
    <row r="56" spans="1:4">
      <c r="A56" s="3144" t="s">
        <v>3391</v>
      </c>
      <c r="B56" s="2764">
        <f>B51</f>
        <v>15000</v>
      </c>
      <c r="C56" s="3149">
        <f>C51+C54+C55</f>
        <v>4866.6666666666661</v>
      </c>
      <c r="D56" s="2764">
        <f>D51+D54+D55</f>
        <v>73000000</v>
      </c>
    </row>
    <row r="58" spans="1:4">
      <c r="A58" s="3144" t="s">
        <v>3392</v>
      </c>
      <c r="B58" s="3150">
        <v>0.05</v>
      </c>
      <c r="C58" s="2764">
        <f>C56*(1+B58)</f>
        <v>5110</v>
      </c>
      <c r="D58" s="2764">
        <f>D56*B58</f>
        <v>3650000</v>
      </c>
    </row>
    <row r="60" spans="1:4">
      <c r="A60" s="3144" t="s">
        <v>3393</v>
      </c>
      <c r="B60" s="2770">
        <v>3500</v>
      </c>
      <c r="C60" s="2770">
        <f>C53</f>
        <v>5000</v>
      </c>
      <c r="D60" s="2764">
        <f>C60*B60</f>
        <v>17500000</v>
      </c>
    </row>
    <row r="62" spans="1:4">
      <c r="A62" s="3144" t="s">
        <v>3394</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2" sqref="K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29" t="str">
        <f>IF(B10="北京市","北京市",C10)&amp;F10&amp;IF(结果表!G1="在建","出让国有建设用地使用权及在建建筑物",IF(结果表!G1="土地","出让国有建设用地使用权",))&amp;B9&amp;"预评估"</f>
        <v>北京市大兴区马朱路长子营段16号院17号楼1层101、2层201、202、203工业用房房地产抵押价值预评估</v>
      </c>
      <c r="C1" s="3230"/>
      <c r="D1" s="3230"/>
      <c r="E1" s="3230"/>
      <c r="F1" s="3230"/>
      <c r="G1" s="3230"/>
      <c r="H1" s="3230"/>
      <c r="I1" s="323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北京市大兴区马朱路长子营段16号院17号楼1层101、2层201、202、203工业用房房地产抵押价值</v>
      </c>
      <c r="T1" s="1618"/>
      <c r="U1" s="1618"/>
      <c r="V1" s="1618"/>
      <c r="W1" s="1618"/>
      <c r="X1" s="1618"/>
      <c r="Y1" s="1618"/>
      <c r="Z1" s="1618"/>
      <c r="AA1" s="1618"/>
      <c r="AB1" s="1618"/>
    </row>
    <row r="2" spans="1:30">
      <c r="A2" s="2182" t="s">
        <v>2163</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北京市大兴区马朱路长子营段16号院17号楼1层101、2层201、202、203工业用房房地产</v>
      </c>
      <c r="T2" s="1618"/>
      <c r="U2" s="1618"/>
      <c r="V2" s="1618"/>
      <c r="W2" s="1618"/>
      <c r="X2" s="1618"/>
      <c r="Y2" s="1618"/>
      <c r="Z2" s="1618"/>
      <c r="AA2" s="1618"/>
      <c r="AB2" s="1618"/>
    </row>
    <row r="3" spans="1:30">
      <c r="A3" s="294" t="s">
        <v>2164</v>
      </c>
      <c r="B3" s="2185">
        <v>45786</v>
      </c>
      <c r="C3" s="2186" t="s">
        <v>2165</v>
      </c>
      <c r="D3" s="2185">
        <f>B3</f>
        <v>45786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t="s">
        <v>3477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2168</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2169</v>
      </c>
      <c r="B7" s="2198"/>
      <c r="C7" s="2196"/>
      <c r="D7" s="2197"/>
      <c r="E7" s="2441"/>
      <c r="F7" s="2442"/>
      <c r="G7" s="2442"/>
      <c r="H7" s="2442"/>
      <c r="I7" s="2442"/>
      <c r="J7" s="2245"/>
      <c r="K7" s="2402"/>
      <c r="L7" s="2399"/>
      <c r="M7" s="2399"/>
      <c r="N7" s="2245"/>
      <c r="O7" s="1670"/>
      <c r="P7" s="2245"/>
      <c r="Q7" s="2245"/>
      <c r="R7" s="2245"/>
    </row>
    <row r="8" spans="1:30">
      <c r="A8" s="2199" t="s">
        <v>2170</v>
      </c>
      <c r="B8" s="2200" t="s">
        <v>3406</v>
      </c>
      <c r="C8" s="2201"/>
      <c r="D8" s="3232" t="s">
        <v>2171</v>
      </c>
      <c r="E8" s="2202" t="s">
        <v>3407</v>
      </c>
      <c r="F8" s="2203"/>
      <c r="G8" s="2442"/>
      <c r="H8" s="2442"/>
      <c r="I8" s="2442"/>
      <c r="J8" s="2245"/>
      <c r="K8" s="2400"/>
      <c r="L8" s="2399"/>
      <c r="M8" s="2399"/>
      <c r="N8" s="2245"/>
      <c r="O8" s="1670"/>
      <c r="P8" s="2245"/>
      <c r="Q8" s="2245"/>
      <c r="R8" s="2245"/>
    </row>
    <row r="9" spans="1:30" ht="13.5" thickBot="1">
      <c r="A9" s="2204" t="s">
        <v>2172</v>
      </c>
      <c r="B9" s="2205" t="s">
        <v>3407</v>
      </c>
      <c r="C9" s="2206"/>
      <c r="D9" s="3233"/>
      <c r="E9" s="2205"/>
      <c r="F9" s="2207"/>
      <c r="G9" s="2443"/>
      <c r="H9" s="2443"/>
      <c r="I9" s="2443"/>
      <c r="J9" s="2245"/>
      <c r="K9" s="2402"/>
      <c r="L9" s="2399"/>
      <c r="M9" s="2399"/>
      <c r="N9" s="2245"/>
      <c r="O9" s="1670"/>
      <c r="P9" s="2245"/>
      <c r="Q9" s="2245"/>
      <c r="R9" s="2245"/>
    </row>
    <row r="10" spans="1:30" ht="13.5" thickTop="1">
      <c r="A10" s="2208" t="s">
        <v>2173</v>
      </c>
      <c r="B10" s="2209" t="s">
        <v>3408</v>
      </c>
      <c r="C10" s="2210"/>
      <c r="D10" s="2193"/>
      <c r="E10" s="2211" t="s">
        <v>2174</v>
      </c>
      <c r="F10" s="3162" t="s">
        <v>3478</v>
      </c>
      <c r="G10" s="2444"/>
      <c r="H10" s="2445"/>
      <c r="I10" s="2446"/>
      <c r="J10" s="2245"/>
      <c r="K10" s="2402"/>
      <c r="L10" s="2399"/>
      <c r="M10" s="2399"/>
      <c r="N10" s="2245"/>
      <c r="O10" s="1670"/>
      <c r="P10" s="2245"/>
      <c r="Q10" s="2245"/>
      <c r="R10" s="2245"/>
    </row>
    <row r="11" spans="1:30">
      <c r="A11" s="2212" t="s">
        <v>2175</v>
      </c>
      <c r="B11" s="2213" t="s">
        <v>3409</v>
      </c>
      <c r="C11" s="2214"/>
      <c r="D11" s="2215"/>
      <c r="E11" s="2182"/>
      <c r="F11" s="2182"/>
      <c r="G11" s="2182"/>
      <c r="H11" s="2182"/>
      <c r="I11" s="2182"/>
      <c r="J11" s="2801"/>
      <c r="K11" s="2399"/>
      <c r="L11" s="2399"/>
      <c r="M11" s="2399"/>
      <c r="N11" s="2245"/>
      <c r="O11" s="1670"/>
      <c r="P11" s="2245"/>
      <c r="Q11" s="2245"/>
      <c r="R11" s="2245"/>
    </row>
    <row r="12" spans="1:30">
      <c r="A12" s="2216" t="s">
        <v>2176</v>
      </c>
      <c r="B12" s="315" t="s">
        <v>2177</v>
      </c>
      <c r="C12" s="2217" t="s">
        <v>2178</v>
      </c>
      <c r="D12" s="2217" t="s">
        <v>2179</v>
      </c>
      <c r="E12" s="2217" t="s">
        <v>2180</v>
      </c>
      <c r="F12" s="2217" t="s">
        <v>2181</v>
      </c>
      <c r="G12" s="2217" t="s">
        <v>2182</v>
      </c>
      <c r="H12" s="2217" t="s">
        <v>2183</v>
      </c>
      <c r="I12" s="2800" t="s">
        <v>2570</v>
      </c>
      <c r="J12" s="2802"/>
      <c r="K12" s="2399"/>
      <c r="L12" s="2399"/>
      <c r="M12" s="2245"/>
      <c r="N12" s="1670"/>
      <c r="O12" s="2245"/>
      <c r="P12" s="2245"/>
      <c r="Q12" s="2245"/>
      <c r="AD12" s="1618"/>
    </row>
    <row r="13" spans="1:30">
      <c r="A13" s="3121" t="s">
        <v>3326</v>
      </c>
      <c r="B13" s="2218" t="s">
        <v>2184</v>
      </c>
      <c r="C13" s="803"/>
      <c r="D13" s="803"/>
      <c r="E13" s="803"/>
      <c r="F13" s="803"/>
      <c r="G13" s="803"/>
      <c r="H13" s="803">
        <v>55635</v>
      </c>
      <c r="I13" s="803"/>
      <c r="J13" s="2802"/>
      <c r="K13" s="2399"/>
      <c r="L13" s="2399"/>
      <c r="M13" s="2245"/>
      <c r="N13" s="1670"/>
      <c r="O13" s="2245"/>
      <c r="P13" s="2245"/>
      <c r="Q13" s="2245"/>
      <c r="AD13" s="1618"/>
    </row>
    <row r="14" spans="1:30">
      <c r="A14" s="1018"/>
      <c r="B14" s="2218" t="s">
        <v>2185</v>
      </c>
      <c r="C14" s="2219"/>
      <c r="D14" s="2219"/>
      <c r="E14" s="2219"/>
      <c r="F14" s="2219"/>
      <c r="G14" s="2219"/>
      <c r="H14" s="2219">
        <v>50</v>
      </c>
      <c r="I14" s="2219"/>
      <c r="J14" s="2803"/>
      <c r="K14" s="2399"/>
      <c r="L14" s="2399"/>
      <c r="M14" s="2245"/>
      <c r="N14" s="1670"/>
      <c r="O14" s="2245"/>
      <c r="P14" s="2245"/>
      <c r="Q14" s="2245"/>
      <c r="AD14" s="1618"/>
    </row>
    <row r="15" spans="1:30">
      <c r="A15" s="312"/>
      <c r="B15" s="2220" t="s">
        <v>2186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26.98</v>
      </c>
      <c r="I15" s="2221" t="str">
        <f>IF(A13="出让",IF(I13="","",ROUNDDOWN(MIN((I13-$D$3)/365,I14),2)),I14)</f>
        <v/>
      </c>
      <c r="J15" s="2804"/>
      <c r="K15" s="1670"/>
      <c r="L15" s="1670"/>
      <c r="M15" s="2245"/>
      <c r="N15" s="1670"/>
      <c r="O15" s="2245"/>
      <c r="P15" s="2245"/>
      <c r="Q15" s="2245"/>
      <c r="AD15" s="1618"/>
    </row>
    <row r="16" spans="1:30">
      <c r="A16" s="2211" t="s">
        <v>2187</v>
      </c>
      <c r="B16" s="3239"/>
      <c r="C16" s="3240"/>
      <c r="D16" s="3241"/>
      <c r="E16" s="2222" t="s">
        <v>2188</v>
      </c>
      <c r="F16" s="3242"/>
      <c r="G16" s="3243"/>
      <c r="H16" s="3243"/>
      <c r="I16" s="3244"/>
      <c r="J16" s="2245"/>
      <c r="K16" s="2403"/>
      <c r="L16" s="1670"/>
      <c r="M16" s="1670"/>
      <c r="N16" s="2245"/>
      <c r="O16" s="1670"/>
      <c r="P16" s="2245"/>
      <c r="Q16" s="2245"/>
      <c r="R16" s="2245"/>
    </row>
    <row r="17" spans="1:28">
      <c r="A17" s="305" t="s">
        <v>2189</v>
      </c>
      <c r="B17" s="294" t="s">
        <v>2190</v>
      </c>
      <c r="C17" s="8">
        <f>'数据-汇总表'!E3</f>
        <v>491.32</v>
      </c>
      <c r="D17" s="1256" t="s">
        <v>2191</v>
      </c>
      <c r="E17" s="3245" t="s">
        <v>2192</v>
      </c>
      <c r="F17" s="3246"/>
      <c r="G17" s="3246"/>
      <c r="H17" s="3246"/>
      <c r="I17" s="3247"/>
      <c r="J17" s="2245"/>
      <c r="K17" s="2404"/>
      <c r="L17" s="1670"/>
      <c r="M17" s="1670"/>
      <c r="N17" s="2245"/>
      <c r="O17" s="1670"/>
      <c r="P17" s="2245"/>
      <c r="Q17" s="2245"/>
      <c r="R17" s="2245"/>
      <c r="S17" s="2245"/>
      <c r="T17" s="2245"/>
      <c r="U17" s="2245"/>
      <c r="V17" s="2245"/>
    </row>
    <row r="18" spans="1:28" ht="24.75" thickBot="1">
      <c r="A18" s="2223" t="s">
        <v>2193</v>
      </c>
      <c r="B18" s="1027" t="s">
        <v>2194</v>
      </c>
      <c r="C18" s="2224">
        <f>'数据-汇总表'!D3</f>
        <v>0</v>
      </c>
      <c r="D18" s="1029" t="s">
        <v>2195</v>
      </c>
      <c r="E18" s="3248" t="s">
        <v>2196</v>
      </c>
      <c r="F18" s="3249"/>
      <c r="G18" s="3249"/>
      <c r="H18" s="3249"/>
      <c r="I18" s="3250"/>
      <c r="J18" s="2245"/>
      <c r="K18" s="2404"/>
      <c r="L18" s="1670"/>
      <c r="M18" s="1670"/>
      <c r="N18" s="2245"/>
      <c r="O18" s="1670"/>
      <c r="P18" s="2245"/>
      <c r="Q18" s="2245"/>
      <c r="R18" s="2245"/>
      <c r="S18" s="2245"/>
      <c r="T18" s="2245"/>
      <c r="U18" s="2245"/>
      <c r="V18" s="2245"/>
    </row>
    <row r="19" spans="1:28" ht="37.5" thickTop="1" thickBot="1">
      <c r="A19" s="319" t="s">
        <v>1051</v>
      </c>
      <c r="B19" s="299" t="s">
        <v>2197</v>
      </c>
      <c r="C19" s="1455"/>
      <c r="D19" s="1456" t="s">
        <v>2198</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2199</v>
      </c>
      <c r="B20" s="3235" t="s">
        <v>2200</v>
      </c>
      <c r="C20" s="3236"/>
      <c r="D20" s="3237" t="s">
        <v>2201</v>
      </c>
      <c r="E20" s="3238"/>
      <c r="F20" s="2430" t="s">
        <v>1052</v>
      </c>
      <c r="G20" s="2442"/>
      <c r="H20" s="2442"/>
      <c r="I20" s="2442"/>
      <c r="J20" s="2245"/>
      <c r="K20" s="3234"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2203</v>
      </c>
      <c r="C21" s="2296" t="s">
        <v>1053</v>
      </c>
      <c r="D21" s="1460" t="s">
        <v>2204</v>
      </c>
      <c r="E21" s="2419" t="s">
        <v>1053</v>
      </c>
      <c r="F21" s="2431"/>
      <c r="G21" s="2442"/>
      <c r="H21" s="2442"/>
      <c r="I21" s="2442"/>
      <c r="J21" s="2245"/>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2205</v>
      </c>
      <c r="C22" s="2296" t="s">
        <v>1054</v>
      </c>
      <c r="D22" s="2442"/>
      <c r="E22" s="2442"/>
      <c r="F22" s="2442"/>
      <c r="G22" s="2442"/>
      <c r="H22" s="2442"/>
      <c r="I22" s="2442"/>
      <c r="J22" s="2245"/>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2206</v>
      </c>
      <c r="B23" s="2293" t="s">
        <v>2207</v>
      </c>
      <c r="C23" s="2422"/>
      <c r="D23" s="2423" t="s">
        <v>2207</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1055</v>
      </c>
      <c r="C24" s="2271"/>
      <c r="D24" s="2421" t="s">
        <v>1055</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1056</v>
      </c>
      <c r="C25" s="2271"/>
      <c r="D25" s="2421" t="s">
        <v>1056</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1057</v>
      </c>
      <c r="C26" s="2428"/>
      <c r="D26" s="2426" t="s">
        <v>1057</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2208</v>
      </c>
      <c r="B27" s="312" t="s">
        <v>2209</v>
      </c>
      <c r="C27" s="2225" t="s">
        <v>3410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2210</v>
      </c>
      <c r="C28" s="2227" t="s">
        <v>3411</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2211</v>
      </c>
      <c r="C29" s="2229" t="s">
        <v>3412</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2212</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2213</v>
      </c>
      <c r="B31" s="2231" t="s">
        <v>3413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2214</v>
      </c>
      <c r="B34" s="1870"/>
      <c r="C34" s="1870"/>
      <c r="D34" s="1870"/>
      <c r="E34" s="1870"/>
      <c r="F34" s="1870"/>
      <c r="G34" s="1870"/>
      <c r="H34" s="1870"/>
      <c r="I34" s="2442"/>
      <c r="J34" s="2245"/>
      <c r="K34" s="8">
        <f>COUNTIF(B34:H34,"——")</f>
        <v>0</v>
      </c>
      <c r="L34" s="315" t="s">
        <v>2215</v>
      </c>
      <c r="M34" s="315" t="s">
        <v>2216</v>
      </c>
      <c r="N34" s="315" t="s">
        <v>2217</v>
      </c>
      <c r="O34" s="315" t="s">
        <v>2218</v>
      </c>
      <c r="P34" s="315" t="s">
        <v>2219</v>
      </c>
      <c r="Q34" s="315" t="s">
        <v>2220</v>
      </c>
      <c r="R34" s="315" t="s">
        <v>2221</v>
      </c>
      <c r="S34" s="3222" t="s">
        <v>2222</v>
      </c>
      <c r="T34" s="315" t="str">
        <f>NUMBERSTRING(7-K34,1)&amp;"通"</f>
        <v>七通</v>
      </c>
      <c r="U34" s="2245"/>
      <c r="V34" s="2245"/>
    </row>
    <row r="35" spans="1:30">
      <c r="A35" s="2236"/>
      <c r="B35" s="3222" t="s">
        <v>2223</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2179</v>
      </c>
      <c r="C36" s="8" t="s">
        <v>2180</v>
      </c>
      <c r="D36" s="8" t="s">
        <v>2178</v>
      </c>
      <c r="E36" s="8" t="s">
        <v>2183</v>
      </c>
      <c r="F36" s="2800" t="s">
        <v>2573</v>
      </c>
      <c r="G36" s="2442"/>
      <c r="H36" s="2442"/>
      <c r="I36" s="2442"/>
      <c r="J36" s="2245"/>
      <c r="K36" s="2402"/>
      <c r="L36" s="2399"/>
      <c r="M36" s="2399"/>
      <c r="N36" s="2245"/>
      <c r="O36" s="1670"/>
      <c r="P36" s="2245"/>
      <c r="Q36" s="2245"/>
      <c r="R36" s="2245"/>
      <c r="S36" s="2245"/>
      <c r="T36" s="2245"/>
      <c r="U36" s="2245"/>
      <c r="V36" s="2245"/>
    </row>
    <row r="37" spans="1:30">
      <c r="A37" s="2415" t="s">
        <v>2224</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2225</v>
      </c>
      <c r="B38" s="2238"/>
      <c r="C38" s="2238"/>
      <c r="D38" s="2238"/>
      <c r="E38" s="2238" t="s">
        <v>2999</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2226</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2227</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2228</v>
      </c>
      <c r="B42" s="8" t="s">
        <v>2229</v>
      </c>
      <c r="C42" s="8" t="s">
        <v>2230</v>
      </c>
      <c r="D42" s="8" t="s">
        <v>2231</v>
      </c>
      <c r="E42" s="8" t="s">
        <v>2232</v>
      </c>
      <c r="F42" s="8" t="s">
        <v>2233</v>
      </c>
      <c r="G42" s="8" t="s">
        <v>2234</v>
      </c>
      <c r="H42" s="8" t="s">
        <v>2235</v>
      </c>
      <c r="I42" s="8" t="s">
        <v>2236</v>
      </c>
      <c r="J42" s="2411" t="s">
        <v>2237</v>
      </c>
      <c r="K42" s="2412" t="s">
        <v>2238</v>
      </c>
      <c r="L42" s="2412" t="s">
        <v>2239</v>
      </c>
      <c r="M42" s="2412" t="s">
        <v>2240</v>
      </c>
      <c r="N42" s="2405" t="s">
        <v>2241</v>
      </c>
      <c r="O42" s="2405" t="s">
        <v>2242</v>
      </c>
      <c r="P42" s="2405" t="s">
        <v>2243</v>
      </c>
      <c r="Q42" s="2406" t="s">
        <v>2244</v>
      </c>
      <c r="R42" s="2406"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1058</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1059</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1060</v>
      </c>
      <c r="B2" s="8" t="s">
        <v>1061</v>
      </c>
      <c r="C2" s="8" t="s">
        <v>1062</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1063</v>
      </c>
      <c r="AZ2" s="987" t="s">
        <v>1064</v>
      </c>
      <c r="BA2" s="8" t="s">
        <v>1065</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491.32</v>
      </c>
      <c r="C3" s="1469" t="s">
        <v>1066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1067</v>
      </c>
      <c r="B5" s="1259"/>
      <c r="C5" s="1259"/>
      <c r="D5" s="1260"/>
      <c r="E5" s="13" t="s">
        <v>0</v>
      </c>
      <c r="F5" s="13">
        <f>SUM(F13:F587)</f>
        <v>0</v>
      </c>
      <c r="G5" s="13">
        <f>SUM(G13:G587)</f>
        <v>491.32</v>
      </c>
      <c r="H5" s="13">
        <f t="shared" ref="H5:AT5" si="0">SUM(H13:H656)</f>
        <v>491.32</v>
      </c>
      <c r="I5" s="13">
        <f t="shared" si="0"/>
        <v>491.32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1067</v>
      </c>
      <c r="AW5" s="1259"/>
      <c r="AX5" s="1259"/>
      <c r="AY5" s="14" t="s">
        <v>2</v>
      </c>
      <c r="AZ5" s="15">
        <f t="shared" ref="AZ5:BT5" si="1">SUM(AZ13:AZ656)</f>
        <v>491.32</v>
      </c>
      <c r="BA5" s="15">
        <f t="shared" si="1"/>
        <v>491.32</v>
      </c>
      <c r="BB5" s="15">
        <f t="shared" si="1"/>
        <v>491.32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1068</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1068</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1069</v>
      </c>
      <c r="B7" s="1461" t="s">
        <v>1070</v>
      </c>
      <c r="C7" s="1461" t="s">
        <v>1071</v>
      </c>
      <c r="D7" s="1461" t="s">
        <v>1072</v>
      </c>
      <c r="E7" s="1461" t="s">
        <v>1073</v>
      </c>
      <c r="F7" s="1461" t="s">
        <v>1074</v>
      </c>
      <c r="G7" s="1478" t="s">
        <v>1075</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1076</v>
      </c>
      <c r="AV7" s="20" t="s">
        <v>1077</v>
      </c>
      <c r="AW7" s="1466" t="s">
        <v>1078</v>
      </c>
      <c r="AX7" s="20" t="s">
        <v>1071</v>
      </c>
      <c r="AY7" s="1259" t="s">
        <v>1079</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1080</v>
      </c>
      <c r="H8" s="1484" t="s">
        <v>1081</v>
      </c>
      <c r="I8" s="1485"/>
      <c r="J8" s="1269"/>
      <c r="K8" s="1269"/>
      <c r="L8" s="1269"/>
      <c r="M8" s="1269"/>
      <c r="N8" s="1269"/>
      <c r="O8" s="1269"/>
      <c r="P8" s="1269"/>
      <c r="Q8" s="1269"/>
      <c r="R8" s="1269"/>
      <c r="S8" s="1269"/>
      <c r="T8" s="1269"/>
      <c r="U8" s="1269"/>
      <c r="V8" s="1486"/>
      <c r="W8" s="1269"/>
      <c r="X8" s="1269"/>
      <c r="Y8" s="1269"/>
      <c r="Z8" s="1269"/>
      <c r="AA8" s="1486"/>
      <c r="AB8" s="1487"/>
      <c r="AC8" s="761" t="s">
        <v>1082</v>
      </c>
      <c r="AD8" s="1488"/>
      <c r="AE8" s="1480"/>
      <c r="AF8" s="1269"/>
      <c r="AG8" s="1269"/>
      <c r="AH8" s="1269"/>
      <c r="AI8" s="1269"/>
      <c r="AJ8" s="1269"/>
      <c r="AK8" s="1269"/>
      <c r="AL8" s="1269"/>
      <c r="AM8" s="1269"/>
      <c r="AN8" s="1269"/>
      <c r="AO8" s="1269"/>
      <c r="AP8" s="1269"/>
      <c r="AQ8" s="1269"/>
      <c r="AR8" s="1269"/>
      <c r="AS8" s="1269"/>
      <c r="AT8" s="1007" t="s">
        <v>1083</v>
      </c>
      <c r="AU8" s="1482" t="s">
        <v>1084</v>
      </c>
      <c r="AV8" s="1007"/>
      <c r="AW8" s="1467"/>
      <c r="AX8" s="1007"/>
      <c r="AY8" s="1466" t="s">
        <v>1085</v>
      </c>
      <c r="AZ8" s="1268" t="s">
        <v>1086</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1087</v>
      </c>
      <c r="I9" s="1491" t="s">
        <v>3415</v>
      </c>
      <c r="J9" s="761"/>
      <c r="K9" s="1491"/>
      <c r="L9" s="761"/>
      <c r="M9" s="1491"/>
      <c r="N9" s="761"/>
      <c r="O9" s="1491"/>
      <c r="P9" s="761"/>
      <c r="Q9" s="1491"/>
      <c r="R9" s="761"/>
      <c r="S9" s="1491"/>
      <c r="T9" s="761"/>
      <c r="U9" s="1491"/>
      <c r="V9" s="761"/>
      <c r="W9" s="1491"/>
      <c r="X9" s="1492"/>
      <c r="Y9" s="1491"/>
      <c r="Z9" s="761"/>
      <c r="AA9" s="1491"/>
      <c r="AB9" s="761"/>
      <c r="AC9" s="1483" t="s">
        <v>1087</v>
      </c>
      <c r="AD9" s="12" t="s">
        <v>1088</v>
      </c>
      <c r="AE9" s="1013"/>
      <c r="AF9" s="12" t="s">
        <v>1089</v>
      </c>
      <c r="AG9" s="1013"/>
      <c r="AH9" s="12" t="s">
        <v>1088</v>
      </c>
      <c r="AI9" s="1013"/>
      <c r="AJ9" s="12" t="s">
        <v>1089</v>
      </c>
      <c r="AK9" s="1013"/>
      <c r="AL9" s="12" t="s">
        <v>1088</v>
      </c>
      <c r="AM9" s="1013"/>
      <c r="AN9" s="12" t="s">
        <v>1089</v>
      </c>
      <c r="AO9" s="1013"/>
      <c r="AP9" s="12" t="s">
        <v>1088</v>
      </c>
      <c r="AQ9" s="1013"/>
      <c r="AR9" s="12" t="s">
        <v>1089</v>
      </c>
      <c r="AS9" s="1493"/>
      <c r="AT9" s="1482"/>
      <c r="AU9" s="1482" t="s">
        <v>1090</v>
      </c>
      <c r="AV9" s="1007"/>
      <c r="AW9" s="1467"/>
      <c r="AX9" s="1007"/>
      <c r="AY9" s="25"/>
      <c r="AZ9" s="25" t="s">
        <v>1080</v>
      </c>
      <c r="BA9" s="1494" t="s">
        <v>1091</v>
      </c>
      <c r="BB9" s="1495"/>
      <c r="BC9" s="1025"/>
      <c r="BD9" s="1025"/>
      <c r="BE9" s="1025"/>
      <c r="BF9" s="1025"/>
      <c r="BG9" s="1025"/>
      <c r="BH9" s="1025"/>
      <c r="BI9" s="1025"/>
      <c r="BJ9" s="1025"/>
      <c r="BK9" s="1496"/>
      <c r="BL9" s="12" t="s">
        <v>1092</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1093</v>
      </c>
      <c r="AE10" s="1498"/>
      <c r="AF10" s="12" t="s">
        <v>1093</v>
      </c>
      <c r="AG10" s="1498"/>
      <c r="AH10" s="12" t="s">
        <v>1094</v>
      </c>
      <c r="AI10" s="1498"/>
      <c r="AJ10" s="12" t="s">
        <v>1094</v>
      </c>
      <c r="AK10" s="1498"/>
      <c r="AL10" s="12" t="s">
        <v>1095</v>
      </c>
      <c r="AM10" s="1013"/>
      <c r="AN10" s="12" t="s">
        <v>1095</v>
      </c>
      <c r="AO10" s="1013"/>
      <c r="AP10" s="12" t="s">
        <v>1096</v>
      </c>
      <c r="AQ10" s="1013"/>
      <c r="AR10" s="12" t="s">
        <v>1096</v>
      </c>
      <c r="AS10" s="1013"/>
      <c r="AT10" s="1482"/>
      <c r="AU10" s="1482"/>
      <c r="AV10" s="1007"/>
      <c r="AW10" s="1467"/>
      <c r="AX10" s="1007"/>
      <c r="AY10" s="25"/>
      <c r="AZ10" s="25"/>
      <c r="BA10" s="1499" t="s">
        <v>1087</v>
      </c>
      <c r="BB10" s="1500" t="str">
        <f>I9</f>
        <v>地上</v>
      </c>
      <c r="BC10" s="26">
        <f>K9</f>
        <v>0</v>
      </c>
      <c r="BD10" s="26">
        <f>M9</f>
        <v>0</v>
      </c>
      <c r="BE10" s="26">
        <f>O9</f>
        <v>0</v>
      </c>
      <c r="BF10" s="26">
        <f>Q9</f>
        <v>0</v>
      </c>
      <c r="BG10" s="26">
        <f>S9</f>
        <v>0</v>
      </c>
      <c r="BH10" s="26">
        <f>U9</f>
        <v>0</v>
      </c>
      <c r="BI10" s="26">
        <f>W9</f>
        <v>0</v>
      </c>
      <c r="BJ10" s="26">
        <f>Y9</f>
        <v>0</v>
      </c>
      <c r="BK10" s="26">
        <f>AA9</f>
        <v>0</v>
      </c>
      <c r="BL10" s="22" t="s">
        <v>1087</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1097</v>
      </c>
      <c r="AE11" s="1270"/>
      <c r="AF11" s="1504" t="s">
        <v>1097</v>
      </c>
      <c r="AG11" s="1270"/>
      <c r="AH11" s="1504" t="s">
        <v>1098</v>
      </c>
      <c r="AI11" s="1505"/>
      <c r="AJ11" s="1504" t="s">
        <v>1098</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8" t="s">
        <v>1100</v>
      </c>
      <c r="W12" s="8" t="s">
        <v>1099</v>
      </c>
      <c r="X12" s="8" t="s">
        <v>1100</v>
      </c>
      <c r="Y12" s="8" t="s">
        <v>1099</v>
      </c>
      <c r="Z12" s="8" t="s">
        <v>1100</v>
      </c>
      <c r="AA12" s="8" t="s">
        <v>1099</v>
      </c>
      <c r="AB12" s="8" t="s">
        <v>1100</v>
      </c>
      <c r="AC12" s="1509"/>
      <c r="AD12" s="1260"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7" t="s">
        <v>1100</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3414</v>
      </c>
      <c r="E13" s="13">
        <f>IF($C$3="是",ROUND($A$3*G13/$B$3,2),ROUND($A$3*(G13-AT13)/$B$3,2))</f>
        <v>0</v>
      </c>
      <c r="F13" s="29"/>
      <c r="G13" s="30">
        <f>H13+AC13+AT13</f>
        <v>491.32</v>
      </c>
      <c r="H13" s="17">
        <f>SUMIF(I$12:AB$12,"总值",I13:AB13)</f>
        <v>491.32</v>
      </c>
      <c r="I13" s="1514">
        <v>491.32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491.32</v>
      </c>
      <c r="BA13" s="13">
        <f>SUM(BB13:BK13)</f>
        <v>491.32</v>
      </c>
      <c r="BB13" s="13">
        <f>IF($D13="是",I13-J13,0)</f>
        <v>491.32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8:G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1126</v>
      </c>
      <c r="B1" s="1071"/>
      <c r="C1" s="1071"/>
      <c r="D1" s="1071"/>
      <c r="E1" s="1071"/>
      <c r="F1" s="1071"/>
      <c r="G1" s="1071"/>
      <c r="H1" s="1071"/>
      <c r="I1" s="1071"/>
      <c r="J1" s="1071"/>
      <c r="K1" s="1071"/>
      <c r="L1" s="1071"/>
      <c r="M1" s="1071"/>
      <c r="N1" s="1071"/>
      <c r="O1" s="1071"/>
      <c r="P1" s="1071"/>
    </row>
    <row r="2" spans="1:16" ht="15">
      <c r="A2" s="3260" t="s">
        <v>1127</v>
      </c>
      <c r="B2" s="3260"/>
      <c r="C2" s="3260"/>
      <c r="D2" s="748" t="s">
        <v>1103</v>
      </c>
      <c r="E2" s="1523" t="s">
        <v>1104</v>
      </c>
      <c r="F2" s="2439"/>
      <c r="G2" s="2432"/>
      <c r="H2" s="2433"/>
      <c r="I2" s="2146" t="s">
        <v>1128</v>
      </c>
      <c r="J2" s="2439"/>
      <c r="K2" s="2439"/>
      <c r="L2" s="2439"/>
      <c r="M2" s="2439"/>
      <c r="N2" s="2440"/>
      <c r="O2" s="2439"/>
      <c r="P2" s="2439"/>
    </row>
    <row r="3" spans="1:16" ht="15.75" thickBot="1">
      <c r="A3" s="3261" t="s">
        <v>1101</v>
      </c>
      <c r="B3" s="3261"/>
      <c r="C3" s="3261"/>
      <c r="D3" s="41">
        <f>'数据-基础表'!AY6</f>
        <v>0</v>
      </c>
      <c r="E3" s="41">
        <f>'数据-基础表'!AZ5</f>
        <v>491.32</v>
      </c>
      <c r="F3" s="2439"/>
      <c r="G3" s="42"/>
      <c r="H3" s="43" t="s">
        <v>1102</v>
      </c>
      <c r="I3" s="802" t="e">
        <f>ROUND('数据-基础表'!B3/'数据-基础表'!A3,2)</f>
        <v>#DIV/0!</v>
      </c>
      <c r="J3" s="2439"/>
      <c r="K3" s="2439"/>
      <c r="L3" s="2439"/>
      <c r="M3" s="2439"/>
      <c r="N3" s="2440"/>
      <c r="O3" s="2439"/>
      <c r="P3" s="2439"/>
    </row>
    <row r="4" spans="1:16" ht="15">
      <c r="A4" s="3262"/>
      <c r="B4" s="3263"/>
      <c r="C4" s="3264"/>
      <c r="D4" s="1524" t="s">
        <v>1103</v>
      </c>
      <c r="E4" s="1525" t="s">
        <v>1104</v>
      </c>
      <c r="F4" s="2439"/>
      <c r="G4" s="2434" t="s">
        <v>1129</v>
      </c>
      <c r="H4" s="43" t="s">
        <v>1109</v>
      </c>
      <c r="I4" s="802" t="e">
        <f>ROUND(SUMIF('数据-基础表'!I9:AS9,"地上",'数据-基础表'!I5:AS5)/'数据-基础表'!A3,2)</f>
        <v>#DIV/0!</v>
      </c>
      <c r="J4" s="2439"/>
      <c r="K4" s="2439"/>
      <c r="L4" s="2439"/>
      <c r="M4" s="2439"/>
      <c r="N4" s="2440"/>
      <c r="O4" s="2439"/>
      <c r="P4" s="2439"/>
    </row>
    <row r="5" spans="1:16">
      <c r="A5" s="42" t="s">
        <v>1105</v>
      </c>
      <c r="B5" s="3265" t="s">
        <v>1106</v>
      </c>
      <c r="C5" s="3265"/>
      <c r="D5" s="43">
        <f>ROUND($D$3*E5/$E$3,2)</f>
        <v>0</v>
      </c>
      <c r="E5" s="44">
        <f>SUMIF('数据-基础表'!$11:$11,"住宅",'数据-基础表'!$5:$5)</f>
        <v>0</v>
      </c>
      <c r="F5" s="2439"/>
      <c r="G5" s="42"/>
      <c r="H5" s="43" t="s">
        <v>1102</v>
      </c>
      <c r="I5" s="802" t="e">
        <f>ROUND(E31/D31,2)</f>
        <v>#DIV/0!</v>
      </c>
      <c r="J5" s="2439"/>
      <c r="K5" s="2439"/>
      <c r="L5" s="2439"/>
      <c r="M5" s="2439"/>
      <c r="N5" s="2439"/>
      <c r="O5" s="2439"/>
      <c r="P5" s="2439"/>
    </row>
    <row r="6" spans="1:16" ht="15" thickBot="1">
      <c r="A6" s="1527"/>
      <c r="B6" s="3265" t="s">
        <v>1107</v>
      </c>
      <c r="C6" s="3265"/>
      <c r="D6" s="43">
        <f>ROUND($D$3*E6/$E$3,2)</f>
        <v>0</v>
      </c>
      <c r="E6" s="44">
        <f>E3-E5</f>
        <v>491.32</v>
      </c>
      <c r="F6" s="2439"/>
      <c r="G6" s="1529" t="s">
        <v>1108</v>
      </c>
      <c r="H6" s="45" t="s">
        <v>1109</v>
      </c>
      <c r="I6" s="2435" t="e">
        <f>ROUND(F31/D31,2)</f>
        <v>#DIV/0!</v>
      </c>
      <c r="J6" s="2439"/>
      <c r="K6" s="2439"/>
      <c r="L6" s="2439"/>
      <c r="M6" s="2439"/>
      <c r="N6" s="2439"/>
      <c r="O6" s="2439"/>
      <c r="P6" s="2439"/>
    </row>
    <row r="7" spans="1:16" ht="15.75" thickBot="1">
      <c r="A7" s="3257"/>
      <c r="B7" s="3258"/>
      <c r="C7" s="3259"/>
      <c r="D7" s="1524" t="s">
        <v>1103</v>
      </c>
      <c r="E7" s="1528" t="s">
        <v>1110</v>
      </c>
      <c r="F7" s="2439"/>
      <c r="G7" s="2436" t="s">
        <v>1111</v>
      </c>
      <c r="H7" s="95"/>
      <c r="I7" s="2437">
        <v>1</v>
      </c>
      <c r="J7" s="2439"/>
      <c r="K7" s="2439"/>
      <c r="L7" s="2439"/>
      <c r="M7" s="2439"/>
      <c r="N7" s="2439"/>
      <c r="O7" s="2439"/>
      <c r="P7" s="2439"/>
    </row>
    <row r="8" spans="1:16">
      <c r="A8" s="42" t="s">
        <v>1112</v>
      </c>
      <c r="B8" s="45" t="s">
        <v>1113</v>
      </c>
      <c r="C8" s="43" t="s">
        <v>1114</v>
      </c>
      <c r="D8" s="43">
        <f t="shared" ref="D8:D15" si="0">ROUND($D$3*E8/$E$3,2)</f>
        <v>0</v>
      </c>
      <c r="E8" s="46">
        <f>SUMIF('数据-基础表'!BB10:BK10,"地上",'数据-基础表'!BB5:BK5)</f>
        <v>491.32</v>
      </c>
      <c r="F8" s="2439"/>
      <c r="G8" s="2439"/>
      <c r="H8" s="2439"/>
      <c r="I8" s="2439"/>
      <c r="J8" s="2439"/>
      <c r="K8" s="2439"/>
      <c r="L8" s="2439"/>
      <c r="M8" s="2439"/>
      <c r="N8" s="2439"/>
      <c r="O8" s="2439"/>
      <c r="P8" s="2439"/>
    </row>
    <row r="9" spans="1:16">
      <c r="A9" s="1529"/>
      <c r="B9" s="1530"/>
      <c r="C9" s="43" t="s">
        <v>1115</v>
      </c>
      <c r="D9" s="43">
        <f t="shared" si="0"/>
        <v>0</v>
      </c>
      <c r="E9" s="47">
        <v>0</v>
      </c>
      <c r="F9" s="2439"/>
      <c r="G9" s="2439"/>
      <c r="H9" s="2439"/>
      <c r="I9" s="2439"/>
      <c r="J9" s="2439"/>
      <c r="K9" s="2439"/>
      <c r="L9" s="2439"/>
      <c r="M9" s="2439"/>
      <c r="N9" s="2439"/>
      <c r="O9" s="2439"/>
      <c r="P9" s="2439"/>
    </row>
    <row r="10" spans="1:16">
      <c r="A10" s="1529"/>
      <c r="B10" s="1530"/>
      <c r="C10" s="43" t="s">
        <v>1124</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1116</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1117</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1118</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1130</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1125</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1119</v>
      </c>
      <c r="D16" s="45">
        <f>SUM(D8:D15)</f>
        <v>0</v>
      </c>
      <c r="E16" s="48">
        <f>SUM(E8:E15)</f>
        <v>491.32</v>
      </c>
      <c r="F16" s="2439"/>
      <c r="G16" s="2439"/>
      <c r="H16" s="1531" t="s">
        <v>1131</v>
      </c>
      <c r="I16" s="1532"/>
      <c r="J16" s="1071"/>
      <c r="K16" s="3254" t="s">
        <v>1131</v>
      </c>
      <c r="L16" s="3255"/>
      <c r="M16" s="3255"/>
      <c r="N16" s="3255"/>
      <c r="O16" s="3255"/>
      <c r="P16" s="3256"/>
    </row>
    <row r="17" spans="1:19" ht="15">
      <c r="A17" s="1533" t="s">
        <v>1132</v>
      </c>
      <c r="B17" s="1534" t="s">
        <v>1133</v>
      </c>
      <c r="C17" s="1535" t="s">
        <v>1134</v>
      </c>
      <c r="D17" s="1536" t="s">
        <v>1122</v>
      </c>
      <c r="E17" s="1537" t="s">
        <v>1123</v>
      </c>
      <c r="F17" s="1538"/>
      <c r="G17" s="1539"/>
      <c r="H17" s="1540" t="s">
        <v>1135</v>
      </c>
      <c r="I17" s="1541" t="s">
        <v>1120</v>
      </c>
      <c r="J17" s="1071"/>
      <c r="K17" s="3251" t="s">
        <v>1136</v>
      </c>
      <c r="L17" s="3252"/>
      <c r="M17" s="3253"/>
      <c r="N17" s="3251" t="s">
        <v>1137</v>
      </c>
      <c r="O17" s="3252"/>
      <c r="P17" s="3253"/>
      <c r="R17" s="769" t="s">
        <v>1138</v>
      </c>
      <c r="S17" s="54"/>
    </row>
    <row r="18" spans="1:19" ht="15">
      <c r="A18" s="1529"/>
      <c r="B18" s="1526"/>
      <c r="C18" s="1542"/>
      <c r="D18" s="1543"/>
      <c r="E18" s="1544" t="s">
        <v>1139</v>
      </c>
      <c r="F18" s="1545" t="s">
        <v>1140</v>
      </c>
      <c r="G18" s="1546" t="s">
        <v>1141</v>
      </c>
      <c r="H18" s="980" t="s">
        <v>1142</v>
      </c>
      <c r="I18" s="1547" t="s">
        <v>1143</v>
      </c>
      <c r="J18" s="1071"/>
      <c r="K18" s="980" t="s">
        <v>1144</v>
      </c>
      <c r="L18" s="1548" t="s">
        <v>1145</v>
      </c>
      <c r="M18" s="802" t="s">
        <v>1146</v>
      </c>
      <c r="N18" s="980" t="s">
        <v>1144</v>
      </c>
      <c r="O18" s="1548" t="s">
        <v>1145</v>
      </c>
      <c r="P18" s="802" t="s">
        <v>1146</v>
      </c>
      <c r="R18" s="43" t="s">
        <v>1147</v>
      </c>
      <c r="S18" s="43" t="s">
        <v>1148</v>
      </c>
    </row>
    <row r="19" spans="1:19">
      <c r="A19" s="1549"/>
      <c r="B19" s="45" t="s">
        <v>1121</v>
      </c>
      <c r="C19" s="3115" t="s">
        <v>3418</v>
      </c>
      <c r="D19" s="43">
        <f>ROUND($D$3*E19/$E$3,2)</f>
        <v>0</v>
      </c>
      <c r="E19" s="51">
        <f t="shared" ref="E19:E26" si="1">SUM(F19:G19)</f>
        <v>491.32</v>
      </c>
      <c r="F19" s="2557">
        <f>'数据-基础表'!I13</f>
        <v>491.32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491.32</v>
      </c>
    </row>
    <row r="20" spans="1:19">
      <c r="A20" s="1549"/>
      <c r="B20" s="45" t="s">
        <v>1149</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1149</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1149</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1149</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1149</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1149</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1149</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1150</v>
      </c>
      <c r="D27" s="1072">
        <f>SUM(D19:D26)</f>
        <v>0</v>
      </c>
      <c r="E27" s="1073">
        <f>IF(SUM(E19:E26)='数据-基础表'!BA5,SUM(E19:E26),IF(F27="地上面积有误","面积有误","地下面积有误"))</f>
        <v>491.32</v>
      </c>
      <c r="F27" s="1072">
        <f>IF(SUM(F19:F26)=E8,SUM(F19:F26),"地上面积有误")</f>
        <v>491.32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491.32</v>
      </c>
    </row>
    <row r="28" spans="1:19">
      <c r="A28" s="1549"/>
      <c r="B28" s="45" t="s">
        <v>1151</v>
      </c>
      <c r="C28" s="54" t="s">
        <v>1152</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1151</v>
      </c>
      <c r="C29" s="1555" t="s">
        <v>1153</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1150</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1154</v>
      </c>
      <c r="D31" s="643">
        <f>D27+D30</f>
        <v>0</v>
      </c>
      <c r="E31" s="643">
        <f>E27+E30</f>
        <v>491.32</v>
      </c>
      <c r="F31" s="644">
        <f>F27+F30</f>
        <v>491.32</v>
      </c>
      <c r="G31" s="645">
        <f>G27+G30</f>
        <v>0</v>
      </c>
      <c r="H31" s="2439"/>
      <c r="I31" s="2439"/>
      <c r="J31" s="2439"/>
      <c r="K31" s="2439"/>
      <c r="L31" s="2439"/>
      <c r="M31" s="2439"/>
      <c r="N31" s="2439"/>
      <c r="O31" s="2439"/>
      <c r="P31" s="2439"/>
    </row>
    <row r="32" spans="1:19">
      <c r="A32" s="1526"/>
      <c r="B32" s="1526" t="s">
        <v>1155</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1156</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1157</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1158</v>
      </c>
      <c r="B4" s="1564"/>
      <c r="C4" s="1565"/>
      <c r="D4" s="1566"/>
      <c r="E4" s="1565" t="s">
        <v>1159</v>
      </c>
      <c r="F4" s="1565"/>
      <c r="G4" s="1565"/>
      <c r="H4" s="1565"/>
      <c r="I4" s="1565"/>
      <c r="J4" s="1567"/>
      <c r="K4" s="1568"/>
      <c r="L4" s="1569"/>
      <c r="M4" s="1565"/>
      <c r="N4" s="1565" t="s">
        <v>1160</v>
      </c>
      <c r="O4" s="1565"/>
      <c r="P4" s="1565"/>
      <c r="Q4" s="1565"/>
      <c r="R4" s="1565"/>
      <c r="S4" s="1567"/>
      <c r="T4" s="2438" t="str">
        <f>'数据-汇总表'!I17</f>
        <v>按面积比例</v>
      </c>
      <c r="U4" s="1564" t="s">
        <v>1161</v>
      </c>
      <c r="V4" s="1565"/>
      <c r="W4" s="1565"/>
      <c r="X4" s="1565"/>
      <c r="Y4" s="1567"/>
      <c r="Z4" s="1535" t="s">
        <v>1162</v>
      </c>
      <c r="AA4" s="1535"/>
      <c r="AB4" s="1535"/>
      <c r="AC4" s="1535"/>
      <c r="AD4" s="1535"/>
      <c r="AE4" s="1533" t="s">
        <v>1163</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1164</v>
      </c>
      <c r="B5" s="1572" t="s">
        <v>1165</v>
      </c>
      <c r="C5" s="1573" t="s">
        <v>1166</v>
      </c>
      <c r="D5" s="1574" t="s">
        <v>1167</v>
      </c>
      <c r="E5" s="504" t="s">
        <v>1168</v>
      </c>
      <c r="F5" s="1575" t="s">
        <v>1169</v>
      </c>
      <c r="G5" s="504" t="s">
        <v>1170</v>
      </c>
      <c r="H5" s="504" t="s">
        <v>1171</v>
      </c>
      <c r="I5" s="504" t="s">
        <v>1172</v>
      </c>
      <c r="J5" s="1247" t="s">
        <v>1173</v>
      </c>
      <c r="K5" s="1576" t="s">
        <v>1174</v>
      </c>
      <c r="L5" s="1577" t="s">
        <v>1175</v>
      </c>
      <c r="M5" s="1578" t="s">
        <v>1176</v>
      </c>
      <c r="N5" s="1579" t="s">
        <v>3419</v>
      </c>
      <c r="O5" s="1577" t="s">
        <v>1177</v>
      </c>
      <c r="P5" s="1580" t="s">
        <v>1178</v>
      </c>
      <c r="Q5" s="58" t="s">
        <v>1179</v>
      </c>
      <c r="R5" s="1581" t="s">
        <v>1180</v>
      </c>
      <c r="S5" s="1582" t="s">
        <v>1181</v>
      </c>
      <c r="T5" s="1583" t="s">
        <v>1182</v>
      </c>
      <c r="U5" s="985" t="s">
        <v>1183</v>
      </c>
      <c r="V5" s="504" t="s">
        <v>1184</v>
      </c>
      <c r="W5" s="504" t="s">
        <v>1185</v>
      </c>
      <c r="X5" s="60"/>
      <c r="Y5" s="59" t="s">
        <v>1186</v>
      </c>
      <c r="Z5" s="1101" t="s">
        <v>1183</v>
      </c>
      <c r="AA5" s="504" t="s">
        <v>1184</v>
      </c>
      <c r="AB5" s="504" t="s">
        <v>1185</v>
      </c>
      <c r="AC5" s="60"/>
      <c r="AD5" s="60" t="s">
        <v>1186</v>
      </c>
      <c r="AE5" s="985" t="s">
        <v>1187</v>
      </c>
      <c r="AF5" s="504" t="s">
        <v>1188</v>
      </c>
      <c r="AG5" s="59" t="s">
        <v>1189</v>
      </c>
      <c r="AH5" s="985" t="s">
        <v>1190</v>
      </c>
      <c r="AI5" s="1101" t="s">
        <v>1191</v>
      </c>
      <c r="AJ5" s="1101" t="s">
        <v>1192</v>
      </c>
      <c r="AK5" s="504" t="s">
        <v>1193</v>
      </c>
      <c r="AL5" s="504" t="s">
        <v>1194</v>
      </c>
      <c r="AM5" s="59" t="s">
        <v>1195</v>
      </c>
      <c r="AN5" s="1584" t="s">
        <v>1196</v>
      </c>
      <c r="AO5" s="1454" t="s">
        <v>1197</v>
      </c>
      <c r="AP5" s="968" t="s">
        <v>1198</v>
      </c>
      <c r="AQ5" s="1585" t="s">
        <v>1199</v>
      </c>
      <c r="AR5" s="1585"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工业101</v>
      </c>
      <c r="B6" s="1587" t="str">
        <f>IF(A6=0,"","经营性")</f>
        <v>经营性</v>
      </c>
      <c r="C6" s="1588" t="s">
        <v>3</v>
      </c>
      <c r="D6" s="805">
        <f>SUMIF(项目基本情况!C$12:I$12,C6,项目基本情况!C$14:I$14)</f>
        <v>50</v>
      </c>
      <c r="E6" s="804">
        <f>IF(B6="","",SUMIF(项目基本情况!C$12:I$12,C6,项目基本情况!C$13:I$13))</f>
        <v>55635</v>
      </c>
      <c r="F6" s="61">
        <f>SUMIF(项目基本情况!C$12:I$12,C6,项目基本情况!C$15:I$15)</f>
        <v>26.98</v>
      </c>
      <c r="G6" s="62">
        <f>IF(ISERROR(ROUND(POWER(1+H6,D6-F6)*(POWER(1+H6,F6)-1)/(POWER(1+H6,D6)-1),3)),0,ROUND(POWER(1+H6,D6-F6)*(POWER(1+H6,F6)-1)/(POWER(1+H6,D6)-1),3))</f>
        <v>0.80200000000000005</v>
      </c>
      <c r="H6" s="691">
        <v>0.05</v>
      </c>
      <c r="I6" s="691">
        <v>5.5E-2</v>
      </c>
      <c r="J6" s="63">
        <v>7.0000000000000007E-2</v>
      </c>
      <c r="K6" s="970">
        <f>SUMIF('数据-汇总表'!C$19:C$33,A6,'数据-汇总表'!E$19:E$33)</f>
        <v>491.32</v>
      </c>
      <c r="L6" s="3176">
        <v>4000</v>
      </c>
      <c r="M6" s="64">
        <f t="shared" ref="M6:M14" si="0">ROUND(K6*L6/10000,0)</f>
        <v>197</v>
      </c>
      <c r="N6" s="690">
        <f>ROUND(1-(1-0%)*(2025-N19)/60,2)</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1.8</v>
      </c>
      <c r="V6" s="67">
        <v>1.4999999999999999E-2</v>
      </c>
      <c r="W6" s="67">
        <v>0.1</v>
      </c>
      <c r="X6" s="979"/>
      <c r="Y6" s="68">
        <f>N6</f>
        <v>0.88</v>
      </c>
      <c r="Z6" s="69"/>
      <c r="AA6" s="63"/>
      <c r="AB6" s="63"/>
      <c r="AC6" s="979"/>
      <c r="AD6" s="70"/>
      <c r="AE6" s="980">
        <f ca="1">IF(AN6="",0,SUMIF(INDIRECT("'"&amp;AN6&amp;"'"&amp;"!E:E"),$AE$5,INDIRECT("'"&amp;AN6&amp;"'"&amp;"!F:F")))</f>
        <v>26.98</v>
      </c>
      <c r="AF6" s="74"/>
      <c r="AG6" s="130">
        <f>IF(AF6="",0,AE6-AF6)</f>
        <v>0</v>
      </c>
      <c r="AH6" s="71"/>
      <c r="AI6" s="73">
        <v>365</v>
      </c>
      <c r="AJ6" s="74"/>
      <c r="AK6" s="75">
        <v>3.0000000000000001E-3</v>
      </c>
      <c r="AL6" s="76">
        <v>1E-3</v>
      </c>
      <c r="AM6" s="77">
        <v>0.01</v>
      </c>
      <c r="AN6" s="1589" t="s">
        <v>3423</v>
      </c>
      <c r="AO6" s="50">
        <f ca="1">SUMIF(INDIRECT("'"&amp;AN6&amp;"'"&amp;"!A:A"),"总价",INDIRECT("'"&amp;AN6&amp;"'"&amp;"!B:B"))</f>
        <v>387.48719999999997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1201</v>
      </c>
      <c r="B14" s="1587" t="s">
        <v>1202</v>
      </c>
      <c r="C14" s="1592" t="s">
        <v>1201</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1203</v>
      </c>
      <c r="B15" s="1587" t="s">
        <v>1202</v>
      </c>
      <c r="C15" s="1592" t="s">
        <v>1204</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1205</v>
      </c>
      <c r="B16" s="82"/>
      <c r="C16" s="783"/>
      <c r="D16" s="1594"/>
      <c r="E16" s="82"/>
      <c r="F16" s="82"/>
      <c r="G16" s="83">
        <f>ROUND(SUMPRODUCT(G6:G13,K6:K13)/SUMPRODUCT((G6:G13&gt;0)*(K6:K13)),3)</f>
        <v>0.80200000000000005</v>
      </c>
      <c r="H16" s="84">
        <f>ROUND(SUMPRODUCT(H6:H13,K6:K13)/SUMPRODUCT((H6:H13&gt;0)*(K6:K13)),3)</f>
        <v>0.05</v>
      </c>
      <c r="I16" s="85"/>
      <c r="J16" s="85"/>
      <c r="K16" s="86">
        <f>SUM(K6:K15)</f>
        <v>491.32</v>
      </c>
      <c r="L16" s="87">
        <f>ROUND(M16*10000/SUM(K6:K14),0)</f>
        <v>4010</v>
      </c>
      <c r="M16" s="87">
        <f>SUM(M6:M14)</f>
        <v>197</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1206</v>
      </c>
      <c r="B18" s="2460"/>
      <c r="C18" s="2439"/>
      <c r="D18" s="2451"/>
      <c r="E18" s="2439"/>
      <c r="F18" s="2439"/>
      <c r="G18" s="2439"/>
      <c r="H18" s="2439"/>
      <c r="I18" s="2439"/>
      <c r="J18" s="2439"/>
      <c r="K18" s="2449"/>
      <c r="L18" s="2449"/>
      <c r="M18" s="2448"/>
      <c r="N18" s="2448"/>
      <c r="O18" s="2448"/>
      <c r="P18" s="2448"/>
      <c r="Q18" s="2448">
        <f>Q6/B20</f>
        <v>0.05</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1207</v>
      </c>
      <c r="B19" s="97">
        <v>0</v>
      </c>
      <c r="C19" s="2560" t="s">
        <v>2296</v>
      </c>
      <c r="D19" s="2451"/>
      <c r="E19" s="2439"/>
      <c r="F19" s="2439"/>
      <c r="G19" s="2439"/>
      <c r="H19" s="2439"/>
      <c r="I19" s="2439"/>
      <c r="J19" s="2439"/>
      <c r="K19" s="2449"/>
      <c r="L19" s="2449"/>
      <c r="M19" s="2448"/>
      <c r="N19" s="2448">
        <v>2018</v>
      </c>
      <c r="O19" s="2448"/>
      <c r="P19" s="2448"/>
      <c r="Q19" s="2448"/>
      <c r="R19" s="2448"/>
      <c r="S19" s="2448"/>
      <c r="T19" s="2448"/>
      <c r="U19" s="2448">
        <f>'比较法-工业'!C43</f>
        <v>14005</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1208</v>
      </c>
      <c r="B20" s="98">
        <v>2</v>
      </c>
      <c r="C20" s="2561" t="s">
        <v>2294</v>
      </c>
      <c r="D20" s="2451"/>
      <c r="E20" s="2439"/>
      <c r="F20" s="2439"/>
      <c r="G20" s="2439"/>
      <c r="H20" s="2439"/>
      <c r="I20" s="2439"/>
      <c r="J20" s="2439"/>
      <c r="K20" s="2449"/>
      <c r="L20" s="2449"/>
      <c r="M20" s="2448"/>
      <c r="N20" s="2448"/>
      <c r="O20" s="2448"/>
      <c r="P20" s="2448"/>
      <c r="Q20" s="2448"/>
      <c r="R20" s="2448"/>
      <c r="S20" s="2448"/>
      <c r="T20" s="2448"/>
      <c r="U20" s="2448">
        <f>U6*365/U19</f>
        <v>4.6911817208139951E-2</v>
      </c>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1209</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1210</v>
      </c>
      <c r="B22" s="99">
        <f>B19+B20</f>
        <v>2</v>
      </c>
      <c r="C22" s="2439"/>
      <c r="D22" s="2451"/>
      <c r="E22" s="2439"/>
      <c r="F22" s="2439"/>
      <c r="G22" s="2439"/>
      <c r="H22" s="2439"/>
      <c r="I22" s="2439"/>
      <c r="J22" s="2439"/>
      <c r="K22" s="2449"/>
      <c r="L22" s="2449"/>
      <c r="M22" s="2448"/>
      <c r="N22" s="2448"/>
      <c r="O22" s="2448"/>
      <c r="P22" s="2448"/>
      <c r="Q22" s="2448"/>
      <c r="R22" s="2448"/>
      <c r="S22" s="2448"/>
      <c r="T22" s="3177" t="s">
        <v>3491</v>
      </c>
      <c r="U22" s="3177" t="s">
        <v>3493</v>
      </c>
      <c r="V22" s="3177" t="s">
        <v>3492</v>
      </c>
      <c r="W22" s="2449"/>
      <c r="X22" s="2449"/>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1211</v>
      </c>
      <c r="B23" s="99">
        <f>B19+B21</f>
        <v>2</v>
      </c>
      <c r="C23" s="2439"/>
      <c r="D23" s="2451"/>
      <c r="E23" s="2439"/>
      <c r="F23" s="2439"/>
      <c r="G23" s="2439"/>
      <c r="H23" s="2439"/>
      <c r="I23" s="2439"/>
      <c r="J23" s="2439"/>
      <c r="K23" s="2449"/>
      <c r="L23" s="2449"/>
      <c r="M23" s="2448"/>
      <c r="N23" s="2448"/>
      <c r="O23" s="2448"/>
      <c r="P23" s="2448"/>
      <c r="Q23" s="2448"/>
      <c r="R23" s="2448"/>
      <c r="S23" s="2448"/>
      <c r="T23" s="2449">
        <f>'数据-汇总表'!F19</f>
        <v>491.32</v>
      </c>
      <c r="U23" s="2449">
        <v>1</v>
      </c>
      <c r="V23" s="2449">
        <v>1.6</v>
      </c>
      <c r="W23" s="2449">
        <f>V23*T23</f>
        <v>786.11200000000008</v>
      </c>
      <c r="X23" s="2449"/>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1212</v>
      </c>
      <c r="B24" s="100">
        <f>B20-B21</f>
        <v>0</v>
      </c>
      <c r="C24" s="2439"/>
      <c r="D24" s="2451"/>
      <c r="E24" s="2439"/>
      <c r="F24" s="2439"/>
      <c r="G24" s="2439"/>
      <c r="H24" s="2439"/>
      <c r="I24" s="2439"/>
      <c r="J24" s="2439"/>
      <c r="K24" s="2449"/>
      <c r="L24" s="2449"/>
      <c r="M24" s="2448"/>
      <c r="N24" s="2448"/>
      <c r="O24" s="2448"/>
      <c r="P24" s="2448"/>
      <c r="Q24" s="2448"/>
      <c r="R24" s="2448"/>
      <c r="S24" s="2448"/>
      <c r="T24" s="2449">
        <v>309.42</v>
      </c>
      <c r="U24" s="2449">
        <v>0.85</v>
      </c>
      <c r="V24" s="2449">
        <f>V23*U24</f>
        <v>1.36</v>
      </c>
      <c r="W24" s="2449">
        <f>V24*T24</f>
        <v>420.81120000000004</v>
      </c>
      <c r="X24" s="2449"/>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9">
        <f>T23+T24</f>
        <v>800.74</v>
      </c>
      <c r="U25" s="2449"/>
      <c r="V25" s="2449">
        <f>W25/T25</f>
        <v>1.5072597846991536</v>
      </c>
      <c r="W25" s="2449">
        <f>W23+W24</f>
        <v>1206.9232000000002</v>
      </c>
      <c r="X25" s="2449"/>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1213</v>
      </c>
      <c r="B26" s="1600" t="s">
        <v>1214</v>
      </c>
      <c r="C26" s="2452" t="s">
        <v>1215</v>
      </c>
      <c r="D26" s="2451"/>
      <c r="E26" s="2439"/>
      <c r="F26" s="2439"/>
      <c r="G26" s="2439"/>
      <c r="H26" s="2439"/>
      <c r="I26" s="2439"/>
      <c r="J26" s="2439"/>
      <c r="K26" s="2449"/>
      <c r="L26" s="2449"/>
      <c r="M26" s="2448"/>
      <c r="N26" s="2448"/>
      <c r="O26" s="2448"/>
      <c r="P26" s="2448"/>
      <c r="Q26" s="2448"/>
      <c r="R26" s="2448"/>
      <c r="S26" s="2448"/>
      <c r="T26" s="2449"/>
      <c r="U26" s="2449"/>
      <c r="V26" s="2449"/>
      <c r="W26" s="2449"/>
      <c r="X26" s="2449"/>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1216</v>
      </c>
      <c r="B27" s="101">
        <v>160</v>
      </c>
      <c r="C27" s="2562" t="s">
        <v>2298</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1217</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1218</v>
      </c>
      <c r="B29" s="105"/>
      <c r="C29" s="2563" t="s">
        <v>2288</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1219</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1220</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1221</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1222</v>
      </c>
      <c r="B33" s="640">
        <v>0.05</v>
      </c>
      <c r="C33" s="2564" t="s">
        <v>3377</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1223</v>
      </c>
      <c r="B34" s="106"/>
      <c r="C34" s="2564" t="s">
        <v>2289</v>
      </c>
      <c r="D34" s="2459" t="s">
        <v>2295</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1224</v>
      </c>
      <c r="B35" s="103">
        <v>200</v>
      </c>
      <c r="C35" s="2564" t="s">
        <v>2290</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1225</v>
      </c>
      <c r="B36" s="107">
        <v>0.02</v>
      </c>
      <c r="C36" s="2564" t="s">
        <v>3395</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1226</v>
      </c>
      <c r="B37" s="108">
        <v>0.03</v>
      </c>
      <c r="C37" s="2564" t="s">
        <v>3378</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1227</v>
      </c>
      <c r="B38" s="106">
        <v>0.02</v>
      </c>
      <c r="C38" s="2564" t="s">
        <v>3379</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1228</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2304</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1229</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1230</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1231</v>
      </c>
      <c r="B43" s="111">
        <f>B42*(B44+B45+B46)+B47</f>
        <v>5.000000000000001E-3</v>
      </c>
      <c r="C43" s="2453"/>
      <c r="D43" s="2451"/>
      <c r="E43" s="3175" t="s">
        <v>3480</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1232</v>
      </c>
      <c r="B44" s="112">
        <v>0.05</v>
      </c>
      <c r="C44" s="2564" t="s">
        <v>3380</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1233</v>
      </c>
      <c r="B45" s="110">
        <v>0.03</v>
      </c>
      <c r="C45" s="2563" t="s">
        <v>2291</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1234</v>
      </c>
      <c r="B46" s="110">
        <v>0.02</v>
      </c>
      <c r="C46" s="2563" t="s">
        <v>2292</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1235</v>
      </c>
      <c r="B47" s="113"/>
      <c r="C47" s="2566" t="s">
        <v>2299</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1236</v>
      </c>
      <c r="B48" s="114">
        <v>0.03</v>
      </c>
      <c r="C48" s="2563" t="s">
        <v>2291</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1237</v>
      </c>
      <c r="B49" s="110">
        <v>5.0000000000000001E-4</v>
      </c>
      <c r="C49" s="2563" t="s">
        <v>2293</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1238</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1239</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1240</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1241</v>
      </c>
      <c r="B53" s="1611"/>
      <c r="C53" s="2440" t="s">
        <v>1242</v>
      </c>
      <c r="D53" s="2565" t="s">
        <v>2297</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1243</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1244</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1245</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1246</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1247</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1248</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1249</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1250</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1251</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1252</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2280</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2275</v>
      </c>
      <c r="D2" s="1595"/>
      <c r="E2" s="2260"/>
      <c r="F2" s="2263"/>
      <c r="G2" s="2262" t="s">
        <v>2276</v>
      </c>
      <c r="H2" s="751"/>
      <c r="I2" s="751"/>
      <c r="J2" s="751"/>
      <c r="K2" s="751"/>
      <c r="L2" s="751"/>
      <c r="M2" s="751"/>
      <c r="N2" s="751"/>
      <c r="O2" s="751"/>
      <c r="P2" s="751"/>
      <c r="Q2" s="751"/>
    </row>
    <row r="3" spans="1:29" ht="48">
      <c r="A3" s="2247" t="s">
        <v>2277</v>
      </c>
      <c r="B3" s="2264" t="s">
        <v>2246</v>
      </c>
      <c r="C3" s="2265" t="s">
        <v>2278</v>
      </c>
      <c r="D3" s="2266"/>
      <c r="E3" s="2248" t="s">
        <v>2277</v>
      </c>
      <c r="F3" s="2267" t="s">
        <v>2247</v>
      </c>
      <c r="G3" s="2268" t="s">
        <v>2279</v>
      </c>
      <c r="H3" s="751"/>
      <c r="I3" s="751"/>
      <c r="J3" s="751"/>
      <c r="K3" s="751"/>
      <c r="L3" s="751"/>
      <c r="M3" s="751"/>
      <c r="N3" s="751"/>
      <c r="O3" s="751"/>
      <c r="P3" s="751"/>
      <c r="Q3" s="751"/>
    </row>
    <row r="4" spans="1:29" ht="36.75">
      <c r="A4" s="2248"/>
      <c r="B4" s="315" t="s">
        <v>2248</v>
      </c>
      <c r="C4" s="2269" t="s">
        <v>2249</v>
      </c>
      <c r="D4" s="2266"/>
      <c r="E4" s="2270"/>
      <c r="F4" s="1281" t="s">
        <v>2250</v>
      </c>
      <c r="G4" s="2271" t="s">
        <v>2251</v>
      </c>
      <c r="H4" s="751"/>
      <c r="I4" s="751"/>
      <c r="J4" s="751"/>
      <c r="K4" s="751"/>
      <c r="L4" s="751"/>
      <c r="M4" s="751"/>
      <c r="N4" s="751"/>
      <c r="O4" s="751"/>
      <c r="P4" s="751"/>
      <c r="Q4" s="751"/>
    </row>
    <row r="5" spans="1:29" ht="36.75">
      <c r="A5" s="2248"/>
      <c r="B5" s="315" t="s">
        <v>2252</v>
      </c>
      <c r="C5" s="2269" t="s">
        <v>2253</v>
      </c>
      <c r="D5" s="2266"/>
      <c r="E5" s="2270"/>
      <c r="F5" s="315" t="s">
        <v>2254</v>
      </c>
      <c r="G5" s="2271" t="s">
        <v>2255</v>
      </c>
      <c r="H5" s="751"/>
      <c r="I5" s="751"/>
      <c r="J5" s="751"/>
      <c r="K5" s="751"/>
      <c r="L5" s="751"/>
      <c r="M5" s="751"/>
      <c r="N5" s="751"/>
      <c r="O5" s="751"/>
      <c r="P5" s="751"/>
      <c r="Q5" s="751"/>
    </row>
    <row r="6" spans="1:29" ht="36">
      <c r="A6" s="2248"/>
      <c r="B6" s="315" t="s">
        <v>2256</v>
      </c>
      <c r="C6" s="2271" t="s">
        <v>2251</v>
      </c>
      <c r="D6" s="2266"/>
      <c r="E6" s="2270"/>
      <c r="F6" s="315" t="s">
        <v>2257</v>
      </c>
      <c r="G6" s="2271" t="s">
        <v>2258</v>
      </c>
      <c r="H6" s="751"/>
      <c r="I6" s="751"/>
      <c r="J6" s="751"/>
      <c r="K6" s="751"/>
      <c r="L6" s="751"/>
      <c r="M6" s="751"/>
      <c r="N6" s="751"/>
      <c r="O6" s="751"/>
      <c r="P6" s="751"/>
      <c r="Q6" s="751"/>
    </row>
    <row r="7" spans="1:29" ht="24.75" thickBot="1">
      <c r="A7" s="2248"/>
      <c r="B7" s="315" t="s">
        <v>2254</v>
      </c>
      <c r="C7" s="2271" t="s">
        <v>2255</v>
      </c>
      <c r="D7" s="2245"/>
      <c r="E7" s="2272"/>
      <c r="F7" s="2273" t="s">
        <v>2259</v>
      </c>
      <c r="G7" s="2274" t="s">
        <v>2260</v>
      </c>
      <c r="H7" s="751"/>
      <c r="I7" s="751"/>
      <c r="J7" s="751"/>
      <c r="K7" s="751"/>
      <c r="L7" s="751"/>
      <c r="M7" s="751"/>
      <c r="N7" s="751"/>
      <c r="O7" s="751"/>
      <c r="P7" s="751"/>
      <c r="Q7" s="751"/>
    </row>
    <row r="8" spans="1:29">
      <c r="A8" s="2248"/>
      <c r="B8" s="315" t="s">
        <v>2257</v>
      </c>
      <c r="C8" s="2271" t="s">
        <v>2258</v>
      </c>
      <c r="D8" s="2245"/>
      <c r="E8" s="2245"/>
      <c r="F8" s="121"/>
      <c r="G8" s="121"/>
      <c r="H8" s="751"/>
      <c r="I8" s="751"/>
      <c r="J8" s="751"/>
      <c r="K8" s="751"/>
      <c r="L8" s="751"/>
      <c r="M8" s="751"/>
      <c r="N8" s="751"/>
      <c r="O8" s="751"/>
      <c r="P8" s="751"/>
      <c r="Q8" s="751"/>
    </row>
    <row r="9" spans="1:29" ht="24">
      <c r="A9" s="2248"/>
      <c r="B9" s="315" t="s">
        <v>2261</v>
      </c>
      <c r="C9" s="2269" t="s">
        <v>2262</v>
      </c>
      <c r="D9" s="2266"/>
      <c r="E9" s="2245"/>
      <c r="F9" s="121"/>
      <c r="G9" s="121"/>
      <c r="H9" s="751"/>
      <c r="I9" s="751"/>
      <c r="J9" s="751"/>
      <c r="K9" s="751"/>
      <c r="L9" s="751"/>
      <c r="M9" s="751"/>
      <c r="N9" s="751"/>
      <c r="O9" s="751"/>
      <c r="P9" s="751"/>
      <c r="Q9" s="751"/>
    </row>
    <row r="10" spans="1:29" ht="15" thickBot="1">
      <c r="A10" s="2249"/>
      <c r="B10" s="2275" t="s">
        <v>2263</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2281</v>
      </c>
      <c r="B13" s="2280"/>
      <c r="C13" s="2280"/>
      <c r="D13" s="2279"/>
      <c r="E13" s="2280"/>
      <c r="F13" s="2280"/>
      <c r="G13" s="2280"/>
    </row>
    <row r="14" spans="1:29" ht="15" thickBot="1">
      <c r="A14" s="2285"/>
      <c r="B14" s="2285"/>
      <c r="C14" s="2286" t="s">
        <v>2264</v>
      </c>
      <c r="D14" s="2266"/>
      <c r="E14" s="2287"/>
      <c r="F14" s="2287"/>
      <c r="G14" s="2262" t="s">
        <v>2265</v>
      </c>
    </row>
    <row r="15" spans="1:29" ht="51">
      <c r="A15" s="2250" t="s">
        <v>2266</v>
      </c>
      <c r="B15" s="2288" t="s">
        <v>2246</v>
      </c>
      <c r="C15" s="2289" t="str">
        <f>C3</f>
        <v>估价对象周边居住用地比例、居住小区规模和社区发展完善程度，综合评价居住社区成熟度一般</v>
      </c>
      <c r="D15" s="2266"/>
      <c r="E15" s="2251" t="s">
        <v>2267</v>
      </c>
      <c r="F15" s="2288" t="s">
        <v>2268</v>
      </c>
      <c r="G15" s="2290" t="str">
        <f>G3</f>
        <v>估价对象位于XX开发区，园区建设成熟度XX，产业集聚程度XX</v>
      </c>
    </row>
    <row r="16" spans="1:29" ht="38.25">
      <c r="A16" s="2252"/>
      <c r="B16" s="2291" t="s">
        <v>2248</v>
      </c>
      <c r="C16" s="2292" t="str">
        <f>C4</f>
        <v>估价对象位于XX商圈，周边商业氛围成熟，人流量大，商业繁华度好</v>
      </c>
      <c r="D16" s="2266"/>
      <c r="E16" s="2253"/>
      <c r="F16" s="2293" t="s">
        <v>2250</v>
      </c>
      <c r="G16" s="2294" t="str">
        <f>G4</f>
        <v>估价对象周边道路状况、公共交通通达情况、停车便捷程度，综合评价交通便捷度较好</v>
      </c>
    </row>
    <row r="17" spans="1:17" ht="38.25">
      <c r="A17" s="2252"/>
      <c r="B17" s="2291" t="s">
        <v>2252</v>
      </c>
      <c r="C17" s="2292" t="str">
        <f>C5</f>
        <v>估价对象位于XX商圈，周边办公楼项目较多，入驻率高，办公集聚程度较好</v>
      </c>
      <c r="D17" s="2245"/>
      <c r="E17" s="2253"/>
      <c r="F17" s="2293" t="s">
        <v>2269</v>
      </c>
      <c r="G17" s="2295"/>
    </row>
    <row r="18" spans="1:17" ht="38.25">
      <c r="A18" s="2252"/>
      <c r="B18" s="2293" t="s">
        <v>2256</v>
      </c>
      <c r="C18" s="2294" t="str">
        <f>C6</f>
        <v>估价对象周边道路状况、公共交通通达情况、停车便捷程度，综合评价交通便捷度较好</v>
      </c>
      <c r="D18" s="2245"/>
      <c r="E18" s="2253"/>
      <c r="F18" s="2293" t="s">
        <v>2259</v>
      </c>
      <c r="G18" s="2294" t="str">
        <f>G7</f>
        <v>该园区内是否有污染型企业，绿化情况，卫生条件，整体环境状况判断</v>
      </c>
    </row>
    <row r="19" spans="1:17" ht="25.5">
      <c r="A19" s="2252"/>
      <c r="B19" s="2293" t="s">
        <v>2270</v>
      </c>
      <c r="C19" s="2295"/>
      <c r="D19" s="2266"/>
      <c r="E19" s="2253"/>
      <c r="F19" s="315" t="s">
        <v>2254</v>
      </c>
      <c r="G19" s="2294" t="str">
        <f>G5</f>
        <v>估价对象所在区域公共配套设施齐备情况</v>
      </c>
    </row>
    <row r="20" spans="1:17" ht="25.5">
      <c r="A20" s="2252"/>
      <c r="B20" s="2293" t="s">
        <v>2271</v>
      </c>
      <c r="C20" s="2292" t="str">
        <f>C9</f>
        <v>区域自然环境：；人文环境；综合评价环境状况一般</v>
      </c>
      <c r="D20" s="2245"/>
      <c r="E20" s="2253"/>
      <c r="F20" s="315" t="s">
        <v>2257</v>
      </c>
      <c r="G20" s="2294" t="str">
        <f>G6</f>
        <v>估价对象所在区域基础设施水平</v>
      </c>
    </row>
    <row r="21" spans="1:17" ht="25.5">
      <c r="A21" s="2252"/>
      <c r="B21" s="315" t="s">
        <v>2254</v>
      </c>
      <c r="C21" s="2294" t="str">
        <f>C7</f>
        <v>估价对象所在区域公共配套设施齐备情况</v>
      </c>
      <c r="D21" s="2266"/>
      <c r="E21" s="2253"/>
      <c r="F21" s="2293" t="s">
        <v>2272</v>
      </c>
      <c r="G21" s="2296"/>
    </row>
    <row r="22" spans="1:17" ht="13.5" customHeight="1">
      <c r="A22" s="2252"/>
      <c r="B22" s="315" t="s">
        <v>2257</v>
      </c>
      <c r="C22" s="2294" t="str">
        <f>C8</f>
        <v>估价对象所在区域基础设施水平</v>
      </c>
      <c r="D22" s="2266"/>
      <c r="E22" s="2253"/>
      <c r="F22" s="2293" t="s">
        <v>2263</v>
      </c>
      <c r="G22" s="2295"/>
    </row>
    <row r="23" spans="1:17" s="751" customFormat="1" ht="15" thickBot="1">
      <c r="A23" s="2252"/>
      <c r="B23" s="2293" t="s">
        <v>2272</v>
      </c>
      <c r="C23" s="2296"/>
      <c r="D23" s="1614"/>
      <c r="E23" s="2254"/>
      <c r="F23" s="2297" t="s">
        <v>2273</v>
      </c>
      <c r="G23" s="2298"/>
      <c r="H23" s="2277"/>
      <c r="I23" s="2277"/>
      <c r="J23" s="2277"/>
      <c r="K23" s="2277"/>
      <c r="L23" s="2277"/>
      <c r="M23" s="2277"/>
      <c r="N23" s="2277"/>
      <c r="O23" s="2277"/>
      <c r="P23" s="2277"/>
      <c r="Q23" s="2277"/>
    </row>
    <row r="24" spans="1:17" s="751" customFormat="1" ht="15" thickBot="1">
      <c r="A24" s="2255"/>
      <c r="B24" s="2297" t="s">
        <v>2274</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110" zoomScaleNormal="80" zoomScaleSheetLayoutView="110" workbookViewId="0">
      <selection activeCell="E14" sqref="E14"/>
    </sheetView>
  </sheetViews>
  <sheetFormatPr defaultColWidth="9" defaultRowHeight="13.5"/>
  <cols>
    <col min="1" max="1" width="25" style="2301" customWidth="1"/>
    <col min="2" max="9" width="15.75" style="2301" customWidth="1"/>
    <col min="10" max="16384" width="9" style="2301"/>
  </cols>
  <sheetData>
    <row r="1" spans="1:11" ht="16.5">
      <c r="A1" s="2300" t="s">
        <v>661</v>
      </c>
      <c r="B1" s="2300">
        <f>SUM(B14:B23)</f>
        <v>491.32</v>
      </c>
      <c r="C1" s="2461"/>
      <c r="D1" s="2461"/>
      <c r="E1" s="2461"/>
      <c r="F1" s="2461"/>
      <c r="G1" s="2462"/>
      <c r="H1" s="2462"/>
      <c r="I1" s="2462"/>
      <c r="J1" s="2462"/>
      <c r="K1" s="2462"/>
    </row>
    <row r="2" spans="1:11" ht="16.5">
      <c r="A2" s="2300" t="s">
        <v>649</v>
      </c>
      <c r="B2" s="2300">
        <f>SUM(C14:C23)</f>
        <v>0</v>
      </c>
      <c r="C2" s="2461"/>
      <c r="D2" s="2461"/>
      <c r="E2" s="2461"/>
      <c r="F2" s="2461"/>
      <c r="G2" s="2462"/>
      <c r="H2" s="2462"/>
      <c r="I2" s="2462"/>
      <c r="J2" s="2462"/>
      <c r="K2" s="2462"/>
    </row>
    <row r="3" spans="1:11" ht="16.5">
      <c r="A3" s="2300" t="s">
        <v>658</v>
      </c>
      <c r="B3" s="2302">
        <f>项目基本情况!D3</f>
        <v>45786</v>
      </c>
      <c r="C3" s="2461"/>
      <c r="D3" s="2461"/>
      <c r="E3" s="2461"/>
      <c r="F3" s="2461"/>
      <c r="G3" s="2462"/>
      <c r="H3" s="2462"/>
      <c r="I3" s="2462"/>
      <c r="J3" s="2462"/>
      <c r="K3" s="2462"/>
    </row>
    <row r="4" spans="1:11" ht="33">
      <c r="A4" s="2300" t="s">
        <v>657</v>
      </c>
      <c r="B4" s="2300" t="s">
        <v>656</v>
      </c>
      <c r="C4" s="2300" t="s">
        <v>655</v>
      </c>
      <c r="D4" s="2300" t="s">
        <v>654</v>
      </c>
      <c r="E4" s="2461"/>
      <c r="F4" s="2462"/>
      <c r="G4" s="2462"/>
      <c r="H4" s="2462"/>
      <c r="I4" s="2462"/>
      <c r="J4" s="2462"/>
      <c r="K4" s="2462"/>
    </row>
    <row r="5" spans="1:11" ht="16.5">
      <c r="A5" s="2300" t="s">
        <v>653</v>
      </c>
      <c r="B5" s="2300">
        <f ca="1">SUM(D14:D23)</f>
        <v>553</v>
      </c>
      <c r="C5" s="2300">
        <f ca="1">IF(B5=D14,结果表!H102,ROUND(B5*10000/$B$1,0))</f>
        <v>11252</v>
      </c>
      <c r="D5" s="2300" t="e">
        <f ca="1">ROUND(B5*10000/$B$2,0)</f>
        <v>#DIV/0!</v>
      </c>
      <c r="E5" s="2461"/>
      <c r="F5" s="2462"/>
      <c r="G5" s="2462"/>
      <c r="H5" s="2462"/>
      <c r="I5" s="2462"/>
      <c r="J5" s="2462"/>
      <c r="K5" s="2462"/>
    </row>
    <row r="6" spans="1:11" ht="16.5">
      <c r="A6" s="2300" t="s">
        <v>652</v>
      </c>
      <c r="B6" s="2300">
        <f ca="1">SUM(G14:G23)</f>
        <v>553</v>
      </c>
      <c r="C6" s="2300">
        <f ca="1">IF(B6=G14,结果表!H108,ROUND(B6*10000/$B$1,0))</f>
        <v>11252</v>
      </c>
      <c r="D6" s="2300" t="e">
        <f ca="1">ROUND(B6*10000/$B$2,0)</f>
        <v>#DIV/0!</v>
      </c>
      <c r="E6" s="2461"/>
      <c r="F6" s="2462"/>
      <c r="G6" s="2462"/>
      <c r="H6" s="2462"/>
      <c r="I6" s="2462"/>
      <c r="J6" s="2462"/>
      <c r="K6" s="2462"/>
    </row>
    <row r="7" spans="1:11" ht="16.5">
      <c r="A7" s="2300" t="s">
        <v>660</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651</v>
      </c>
      <c r="B9" s="1244"/>
      <c r="C9" s="2461"/>
      <c r="D9" s="2461"/>
      <c r="E9" s="2461"/>
      <c r="F9" s="2462"/>
      <c r="G9" s="2462"/>
      <c r="H9" s="2462"/>
      <c r="I9" s="2462"/>
      <c r="J9" s="2462"/>
      <c r="K9" s="2462"/>
    </row>
    <row r="10" spans="1:11" ht="16.5">
      <c r="A10" s="2300" t="s">
        <v>650</v>
      </c>
      <c r="B10" s="2300">
        <f>IF(E10="",0,ROUND(B1*(E10*365/G10)/10000,0))</f>
        <v>0</v>
      </c>
      <c r="C10" s="2300" t="s">
        <v>3350</v>
      </c>
      <c r="D10" s="2300" t="s">
        <v>3351</v>
      </c>
      <c r="E10" s="3136"/>
      <c r="F10" s="3140" t="s">
        <v>3352</v>
      </c>
      <c r="G10" s="3137"/>
      <c r="H10" s="2462"/>
      <c r="I10" s="2462"/>
      <c r="J10" s="2462"/>
      <c r="K10" s="2462"/>
    </row>
    <row r="11" spans="1:11" ht="16.5">
      <c r="A11" s="2300" t="s">
        <v>666</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665</v>
      </c>
      <c r="B13" s="2304" t="s">
        <v>662</v>
      </c>
      <c r="C13" s="2304" t="s">
        <v>664</v>
      </c>
      <c r="D13" s="2304" t="s">
        <v>663</v>
      </c>
      <c r="E13" s="2300" t="s">
        <v>655</v>
      </c>
      <c r="F13" s="2300" t="s">
        <v>654</v>
      </c>
      <c r="G13" s="2304" t="s">
        <v>648</v>
      </c>
      <c r="H13" s="2304" t="s">
        <v>659</v>
      </c>
      <c r="I13" s="2304" t="s">
        <v>647</v>
      </c>
      <c r="J13" s="2462"/>
      <c r="K13" s="2462"/>
    </row>
    <row r="14" spans="1:11" ht="16.5">
      <c r="A14" s="2305">
        <v>101</v>
      </c>
      <c r="B14" s="2306">
        <f>'数据-汇总表'!F19</f>
        <v>491.32</v>
      </c>
      <c r="C14" s="2306"/>
      <c r="D14" s="2306">
        <f ca="1">结果表!G19</f>
        <v>553</v>
      </c>
      <c r="E14" s="2306">
        <f ca="1">结果表!G20</f>
        <v>11252</v>
      </c>
      <c r="F14" s="2306" t="e">
        <f ca="1">ROUND(D14*10000/C14,0)</f>
        <v>#DIV/0!</v>
      </c>
      <c r="G14" s="2306">
        <f ca="1">D14</f>
        <v>553</v>
      </c>
      <c r="H14" s="2306"/>
      <c r="I14" s="2306"/>
      <c r="J14" s="2462"/>
      <c r="K14" s="2462"/>
    </row>
    <row r="15" spans="1:11" ht="16.5">
      <c r="A15" s="2305"/>
      <c r="B15" s="2307"/>
      <c r="C15" s="2307"/>
      <c r="D15" s="2307"/>
      <c r="E15" s="2306">
        <f>[2]系统读取表!$E$14</f>
        <v>8527</v>
      </c>
      <c r="F15" s="2306" t="e">
        <f t="shared" ref="F15:F23" si="0">ROUND(D15*10000/C15,0)</f>
        <v>#DIV/0!</v>
      </c>
      <c r="G15" s="1244"/>
      <c r="H15" s="1244"/>
      <c r="I15" s="2307"/>
      <c r="J15" s="2462"/>
      <c r="K15" s="2462"/>
    </row>
    <row r="16" spans="1:11" ht="16.5">
      <c r="A16" s="2305"/>
      <c r="B16" s="2307"/>
      <c r="C16" s="2307"/>
      <c r="D16" s="2307"/>
      <c r="E16" s="2306">
        <f>[3]系统读取表!$E$14</f>
        <v>8527</v>
      </c>
      <c r="F16" s="2306" t="e">
        <f t="shared" si="0"/>
        <v>#DIV/0!</v>
      </c>
      <c r="G16" s="1244"/>
      <c r="H16" s="1244"/>
      <c r="I16" s="2307"/>
      <c r="J16" s="2462"/>
      <c r="K16" s="2462"/>
    </row>
    <row r="17" spans="1:11" ht="16.5">
      <c r="A17" s="2305"/>
      <c r="B17" s="2307"/>
      <c r="C17" s="2307"/>
      <c r="D17" s="2307"/>
      <c r="E17" s="2306">
        <f>[4]系统读取表!$E$14</f>
        <v>8527</v>
      </c>
      <c r="F17" s="2306" t="e">
        <f t="shared" si="0"/>
        <v>#DIV/0!</v>
      </c>
      <c r="G17" s="1244"/>
      <c r="H17" s="1244"/>
      <c r="I17" s="2307"/>
      <c r="J17" s="2462"/>
      <c r="K17" s="2462"/>
    </row>
    <row r="18" spans="1:11" ht="16.5">
      <c r="A18" s="2305" t="s">
        <v>646</v>
      </c>
      <c r="B18" s="2307"/>
      <c r="C18" s="2307"/>
      <c r="D18" s="2307"/>
      <c r="E18" s="2306" t="e">
        <f t="shared" ref="E18:E23" si="1">ROUND(D18*10000/B18,0)</f>
        <v>#DIV/0!</v>
      </c>
      <c r="F18" s="2306" t="e">
        <f t="shared" si="0"/>
        <v>#DIV/0!</v>
      </c>
      <c r="G18" s="2307"/>
      <c r="H18" s="2307"/>
      <c r="I18" s="2307"/>
      <c r="J18" s="2462"/>
      <c r="K18" s="2462"/>
    </row>
    <row r="19" spans="1:11" ht="16.5">
      <c r="A19" s="2305" t="s">
        <v>645</v>
      </c>
      <c r="B19" s="2307"/>
      <c r="C19" s="2307"/>
      <c r="D19" s="2307"/>
      <c r="E19" s="2306" t="e">
        <f t="shared" si="1"/>
        <v>#DIV/0!</v>
      </c>
      <c r="F19" s="2306" t="e">
        <f t="shared" si="0"/>
        <v>#DIV/0!</v>
      </c>
      <c r="G19" s="2307"/>
      <c r="H19" s="2307"/>
      <c r="I19" s="2307"/>
      <c r="J19" s="2462"/>
      <c r="K19" s="2462"/>
    </row>
    <row r="20" spans="1:11" ht="16.5">
      <c r="A20" s="2305" t="s">
        <v>644</v>
      </c>
      <c r="B20" s="2307"/>
      <c r="C20" s="2307"/>
      <c r="D20" s="2307"/>
      <c r="E20" s="2306" t="e">
        <f t="shared" si="1"/>
        <v>#DIV/0!</v>
      </c>
      <c r="F20" s="2306" t="e">
        <f t="shared" si="0"/>
        <v>#DIV/0!</v>
      </c>
      <c r="G20" s="2307"/>
      <c r="H20" s="2307"/>
      <c r="I20" s="2307"/>
      <c r="J20" s="2462"/>
      <c r="K20" s="2462"/>
    </row>
    <row r="21" spans="1:11" ht="16.5">
      <c r="A21" s="2305" t="s">
        <v>643</v>
      </c>
      <c r="B21" s="2307"/>
      <c r="C21" s="2307"/>
      <c r="D21" s="2307"/>
      <c r="E21" s="2306" t="e">
        <f t="shared" si="1"/>
        <v>#DIV/0!</v>
      </c>
      <c r="F21" s="2306" t="e">
        <f t="shared" si="0"/>
        <v>#DIV/0!</v>
      </c>
      <c r="G21" s="2307"/>
      <c r="H21" s="2307"/>
      <c r="I21" s="2307"/>
      <c r="J21" s="2462"/>
      <c r="K21" s="2462"/>
    </row>
    <row r="22" spans="1:11" ht="16.5">
      <c r="A22" s="2305" t="s">
        <v>642</v>
      </c>
      <c r="B22" s="2307"/>
      <c r="C22" s="2307"/>
      <c r="D22" s="2307"/>
      <c r="E22" s="2306" t="e">
        <f t="shared" si="1"/>
        <v>#DIV/0!</v>
      </c>
      <c r="F22" s="2306" t="e">
        <f t="shared" si="0"/>
        <v>#DIV/0!</v>
      </c>
      <c r="G22" s="2307"/>
      <c r="H22" s="2307"/>
      <c r="I22" s="2307"/>
      <c r="J22" s="2462"/>
      <c r="K22" s="2462"/>
    </row>
    <row r="23" spans="1:11" ht="16.5">
      <c r="A23" s="2305" t="s">
        <v>641</v>
      </c>
      <c r="B23" s="2307"/>
      <c r="C23" s="2307"/>
      <c r="D23" s="2307"/>
      <c r="E23" s="1244" t="e">
        <f t="shared" si="1"/>
        <v>#DIV/0!</v>
      </c>
      <c r="F23" s="1244" t="e">
        <f t="shared" si="0"/>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c r="D1" s="646"/>
      <c r="E1" s="646"/>
      <c r="F1" s="1621" t="s">
        <v>1259</v>
      </c>
      <c r="G1" s="1453"/>
      <c r="H1" s="1621" t="str">
        <f>IF(G1="现房","——","估价对象范围")</f>
        <v>估价对象范围</v>
      </c>
      <c r="I1" s="1622"/>
    </row>
    <row r="2" spans="1:12" ht="21.75" customHeight="1" thickBot="1">
      <c r="A2" s="3302" t="str">
        <f>项目基本情况!S2</f>
        <v>北京市大兴区马朱路长子营段16号院17号楼1层101、2层201、202、203工业用房房地产</v>
      </c>
      <c r="B2" s="3303"/>
      <c r="C2" s="3303"/>
      <c r="D2" s="3303"/>
      <c r="E2" s="3303"/>
      <c r="F2" s="3303"/>
      <c r="G2" s="3303"/>
      <c r="H2" s="3303"/>
      <c r="I2" s="3304"/>
    </row>
    <row r="3" spans="1:12" ht="12.75">
      <c r="A3" s="3306" t="s">
        <v>1260</v>
      </c>
      <c r="B3" s="3307"/>
      <c r="C3" s="3307"/>
      <c r="D3" s="3307"/>
      <c r="E3" s="3307"/>
      <c r="F3" s="3307"/>
      <c r="G3" s="3307"/>
      <c r="H3" s="3307"/>
      <c r="I3" s="3307"/>
    </row>
    <row r="4" spans="1:12" ht="14.25">
      <c r="A4" s="1624" t="s">
        <v>1261</v>
      </c>
      <c r="B4" s="1625" t="s">
        <v>1262</v>
      </c>
      <c r="C4" s="1626" t="s">
        <v>3424</v>
      </c>
      <c r="D4" s="1626" t="s">
        <v>3423</v>
      </c>
      <c r="E4" s="3308" t="s">
        <v>1263</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1264</v>
      </c>
      <c r="B5" s="3269">
        <v>25</v>
      </c>
      <c r="C5" s="3285"/>
      <c r="D5" s="3305"/>
      <c r="E5" s="123" t="s">
        <v>1265</v>
      </c>
      <c r="F5" s="1627"/>
      <c r="G5" s="1627"/>
      <c r="H5" s="1627"/>
      <c r="I5" s="1281"/>
    </row>
    <row r="6" spans="1:12" ht="12.75">
      <c r="A6" s="3282"/>
      <c r="B6" s="3269"/>
      <c r="C6" s="3286"/>
      <c r="D6" s="3305"/>
      <c r="E6" s="123" t="s">
        <v>1266</v>
      </c>
      <c r="F6" s="1627"/>
      <c r="G6" s="1627"/>
      <c r="H6" s="1627"/>
      <c r="I6" s="1281"/>
    </row>
    <row r="7" spans="1:12" ht="12.75">
      <c r="A7" s="3282"/>
      <c r="B7" s="3269"/>
      <c r="C7" s="3287"/>
      <c r="D7" s="3305"/>
      <c r="E7" s="123" t="s">
        <v>1267</v>
      </c>
      <c r="F7" s="1627"/>
      <c r="G7" s="1627"/>
      <c r="H7" s="1627"/>
      <c r="I7" s="1281"/>
    </row>
    <row r="8" spans="1:12" ht="12.75">
      <c r="A8" s="3282" t="s">
        <v>1268</v>
      </c>
      <c r="B8" s="3269">
        <v>15</v>
      </c>
      <c r="C8" s="3285"/>
      <c r="D8" s="3305"/>
      <c r="E8" s="123" t="s">
        <v>1269</v>
      </c>
      <c r="F8" s="1627"/>
      <c r="G8" s="1627"/>
      <c r="H8" s="1627"/>
      <c r="I8" s="1281"/>
    </row>
    <row r="9" spans="1:12" ht="12.75">
      <c r="A9" s="3282"/>
      <c r="B9" s="3269"/>
      <c r="C9" s="3287"/>
      <c r="D9" s="3305"/>
      <c r="E9" s="123" t="s">
        <v>1270</v>
      </c>
      <c r="F9" s="1627"/>
      <c r="G9" s="1627"/>
      <c r="H9" s="1627"/>
      <c r="I9" s="1281"/>
    </row>
    <row r="10" spans="1:12" ht="12.75">
      <c r="A10" s="3282" t="s">
        <v>1271</v>
      </c>
      <c r="B10" s="3269">
        <v>15</v>
      </c>
      <c r="C10" s="3285"/>
      <c r="D10" s="3305"/>
      <c r="E10" s="123" t="s">
        <v>1272</v>
      </c>
      <c r="F10" s="1627"/>
      <c r="G10" s="1627"/>
      <c r="H10" s="1627"/>
      <c r="I10" s="1281"/>
    </row>
    <row r="11" spans="1:12" ht="12.75">
      <c r="A11" s="3282"/>
      <c r="B11" s="3269"/>
      <c r="C11" s="3287"/>
      <c r="D11" s="3305"/>
      <c r="E11" s="123" t="s">
        <v>1273</v>
      </c>
      <c r="F11" s="1627"/>
      <c r="G11" s="1627"/>
      <c r="H11" s="1627"/>
      <c r="I11" s="1281"/>
    </row>
    <row r="12" spans="1:12" ht="12.75">
      <c r="A12" s="3282" t="s">
        <v>1274</v>
      </c>
      <c r="B12" s="3269">
        <v>15</v>
      </c>
      <c r="C12" s="3285"/>
      <c r="D12" s="3305"/>
      <c r="E12" s="123" t="s">
        <v>1275</v>
      </c>
      <c r="F12" s="1627"/>
      <c r="G12" s="1627"/>
      <c r="H12" s="1627"/>
      <c r="I12" s="1281"/>
    </row>
    <row r="13" spans="1:12" ht="12.75">
      <c r="A13" s="3282"/>
      <c r="B13" s="3269"/>
      <c r="C13" s="3287"/>
      <c r="D13" s="3305"/>
      <c r="E13" s="123" t="s">
        <v>1276</v>
      </c>
      <c r="F13" s="1627"/>
      <c r="G13" s="1627"/>
      <c r="H13" s="1627"/>
      <c r="I13" s="1281"/>
    </row>
    <row r="14" spans="1:12" ht="12.75">
      <c r="A14" s="3282" t="s">
        <v>1277</v>
      </c>
      <c r="B14" s="3269">
        <v>30</v>
      </c>
      <c r="C14" s="3285">
        <v>55</v>
      </c>
      <c r="D14" s="3305">
        <v>45</v>
      </c>
      <c r="E14" s="123" t="s">
        <v>1278</v>
      </c>
      <c r="F14" s="1627"/>
      <c r="G14" s="1627"/>
      <c r="H14" s="1627"/>
      <c r="I14" s="1281"/>
    </row>
    <row r="15" spans="1:12" ht="12.75">
      <c r="A15" s="3282"/>
      <c r="B15" s="3269"/>
      <c r="C15" s="3286"/>
      <c r="D15" s="3305"/>
      <c r="E15" s="123" t="s">
        <v>1279</v>
      </c>
      <c r="F15" s="1627"/>
      <c r="G15" s="1627"/>
      <c r="H15" s="1627"/>
      <c r="I15" s="1281"/>
    </row>
    <row r="16" spans="1:12" ht="12.75">
      <c r="A16" s="3282"/>
      <c r="B16" s="3269"/>
      <c r="C16" s="3287"/>
      <c r="D16" s="3305"/>
      <c r="E16" s="123" t="s">
        <v>1280</v>
      </c>
      <c r="F16" s="1627"/>
      <c r="G16" s="1627"/>
      <c r="H16" s="1627"/>
      <c r="I16" s="1281"/>
    </row>
    <row r="17" spans="1:36" ht="15">
      <c r="A17" s="1628" t="s">
        <v>1281</v>
      </c>
      <c r="B17" s="54"/>
      <c r="C17" s="124">
        <f>SUM(C5:C16)</f>
        <v>55</v>
      </c>
      <c r="D17" s="124">
        <f>SUM(D5:D16)</f>
        <v>45</v>
      </c>
      <c r="E17" s="121"/>
      <c r="F17" s="121"/>
      <c r="G17" s="121"/>
      <c r="H17" s="121"/>
      <c r="I17" s="121"/>
      <c r="K17" s="294"/>
      <c r="L17" s="294" t="s">
        <v>1282</v>
      </c>
      <c r="M17" s="294" t="s">
        <v>1283</v>
      </c>
    </row>
    <row r="18" spans="1:36" ht="31.9" customHeight="1" thickBot="1">
      <c r="A18" s="1629" t="s">
        <v>1284</v>
      </c>
      <c r="B18" s="1542"/>
      <c r="C18" s="125">
        <f>ROUND(C17/SUM(C17:D17),2)</f>
        <v>0.55000000000000004</v>
      </c>
      <c r="D18" s="125">
        <f>1-C18</f>
        <v>0.44999999999999996</v>
      </c>
      <c r="E18" s="3292" t="s">
        <v>2125</v>
      </c>
      <c r="F18" s="3293"/>
      <c r="G18" s="3293"/>
      <c r="H18" s="3293"/>
      <c r="I18" s="3293"/>
      <c r="K18" s="294" t="s">
        <v>1285</v>
      </c>
      <c r="L18" s="294">
        <f>IF(C1="",'数据-汇总表'!E3,SUMIF(项目类型,C1,'数据-汇总表'!E17:E26)+SUMIF(项目类型,C1,'数据-汇总表'!I17:I26))</f>
        <v>491.32</v>
      </c>
      <c r="M18" s="294">
        <f>IF(C1="",'数据-汇总表'!E3,SUMIF(项目类型,C1,'数据-汇总表'!E17:E26))</f>
        <v>491.32</v>
      </c>
    </row>
    <row r="19" spans="1:36" ht="15">
      <c r="A19" s="1630" t="s">
        <v>1286</v>
      </c>
      <c r="B19" s="1631" t="s">
        <v>1287</v>
      </c>
      <c r="C19" s="126">
        <f ca="1">SUMIF(INDIRECT("'"&amp;C4&amp;"'"&amp;"!A:A"),结果表!B19,INDIRECT("'"&amp;C4&amp;"'"&amp;"!B:B"))</f>
        <v>688.09370000000001</v>
      </c>
      <c r="D19" s="127">
        <f ca="1">SUMIF(INDIRECT("'"&amp;D4&amp;"'"&amp;"!A:A"),结果表!B19,INDIRECT("'"&amp;D4&amp;"'"&amp;"!B:B"))</f>
        <v>387.48719999999997</v>
      </c>
      <c r="E19" s="1630" t="s">
        <v>1288</v>
      </c>
      <c r="F19" s="1631" t="s">
        <v>1287</v>
      </c>
      <c r="G19" s="128">
        <f ca="1">ROUND(C19*$C$18+D19*$D$18,0)</f>
        <v>553</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SUMIF(INDIRECT("'"&amp;C4&amp;"'"&amp;"!A:A"),结果表!B20,INDIRECT("'"&amp;C4&amp;"'"&amp;"!B:B"))</f>
        <v>14005</v>
      </c>
      <c r="D20" s="130">
        <f ca="1">SUMIF(INDIRECT("'"&amp;D4&amp;"'"&amp;"!A:A"),结果表!B20,INDIRECT("'"&amp;D4&amp;"'"&amp;"!B:B"))</f>
        <v>7887</v>
      </c>
      <c r="E20" s="1633"/>
      <c r="F20" s="43" t="s">
        <v>1291</v>
      </c>
      <c r="G20" s="131">
        <f ca="1">ROUND(C20*$C$18+D20*$D$18,0)</f>
        <v>11252</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0.77578433558579496</v>
      </c>
      <c r="E22" s="121"/>
      <c r="F22" s="121"/>
      <c r="G22" s="121"/>
      <c r="H22" s="121"/>
      <c r="I22" s="121"/>
    </row>
    <row r="23" spans="1:36" ht="13.5" thickBot="1">
      <c r="A23" s="646"/>
      <c r="B23" s="646"/>
      <c r="C23" s="646"/>
      <c r="D23" s="646"/>
      <c r="E23" s="121"/>
      <c r="F23" s="121"/>
      <c r="G23" s="121"/>
      <c r="H23" s="121"/>
      <c r="I23" s="121"/>
    </row>
    <row r="24" spans="1:36" ht="14.25">
      <c r="A24" s="3276" t="s">
        <v>1295</v>
      </c>
      <c r="B24" s="1631" t="s">
        <v>1287</v>
      </c>
      <c r="C24" s="128">
        <f>IF(B30=0,0,D30)</f>
        <v>0</v>
      </c>
      <c r="D24" s="1637"/>
      <c r="E24" s="121"/>
      <c r="F24" s="121"/>
      <c r="G24" s="121"/>
      <c r="H24" s="121"/>
      <c r="I24" s="121"/>
    </row>
    <row r="25" spans="1:36" ht="14.25">
      <c r="A25" s="3277"/>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11252</v>
      </c>
      <c r="D32" s="1641" t="s">
        <v>3425</v>
      </c>
      <c r="E32" s="121"/>
      <c r="F32" s="121"/>
      <c r="G32" s="121"/>
      <c r="H32" s="121"/>
      <c r="I32" s="121"/>
    </row>
    <row r="33" spans="1:15" ht="15">
      <c r="A33" s="740" t="s">
        <v>1302</v>
      </c>
      <c r="B33" s="123"/>
      <c r="C33" s="1642" t="s">
        <v>3426</v>
      </c>
      <c r="D33" s="1643" t="s">
        <v>3423</v>
      </c>
      <c r="E33" s="1644" t="s">
        <v>1303</v>
      </c>
      <c r="F33" s="1645" t="str">
        <f>IF(D32="楼面单价","取值（单价）","取值（总价）")</f>
        <v>取值（单价）</v>
      </c>
      <c r="G33" s="121"/>
      <c r="H33" s="121"/>
      <c r="I33" s="121"/>
    </row>
    <row r="34" spans="1:15" ht="15">
      <c r="A34" s="1646"/>
      <c r="B34" s="1647" t="s">
        <v>1304</v>
      </c>
      <c r="C34" s="140">
        <f ca="1">IF(C33="自定义",F34,C32-C35)</f>
        <v>2858</v>
      </c>
      <c r="D34" s="808">
        <f ca="1">IF(C33="自定义",ROUND(C34/C32,3),IF(C33="收益比率",SUMIF(INDIRECT("'"&amp;D33&amp;"'"&amp;"!b:b"),"土地收益比率",INDIRECT("'"&amp;D33&amp;"'"&amp;"!c:c")),SUMIF(INDIRECT("'"&amp;D33&amp;"'"&amp;"!b:b"),"土地成本比率",INDIRECT("'"&amp;D33&amp;"'"&amp;"!c:c"))))</f>
        <v>0.254</v>
      </c>
      <c r="E34" s="1648" t="s">
        <v>1305</v>
      </c>
      <c r="F34" s="1243"/>
      <c r="G34" s="121"/>
      <c r="H34" s="121"/>
      <c r="I34" s="121"/>
    </row>
    <row r="35" spans="1:15" ht="15.75" thickBot="1">
      <c r="A35" s="1649"/>
      <c r="B35" s="1650" t="s">
        <v>1306</v>
      </c>
      <c r="C35" s="1090">
        <f ca="1">IF(C33="自定义",F35,ROUND(C32*D35,0))</f>
        <v>8394</v>
      </c>
      <c r="D35" s="1091">
        <f ca="1">IF(C33="自定义",ROUND(C35/C32,3),IF(C33="收益比率",SUMIF(INDIRECT("'"&amp;D33&amp;"'"&amp;"!b:b"),"建筑物收益比率",INDIRECT("'"&amp;D33&amp;"'"&amp;"!c:c")),SUMIF(INDIRECT("'"&amp;D33&amp;"'"&amp;"!b:b"),"建筑物成本比率",INDIRECT("'"&amp;D33&amp;"'"&amp;"!c:c"))))</f>
        <v>0.746</v>
      </c>
      <c r="E35" s="1651" t="s">
        <v>1307</v>
      </c>
      <c r="F35" s="146"/>
      <c r="G35" s="121"/>
      <c r="H35" s="121"/>
      <c r="I35" s="121"/>
    </row>
    <row r="36" spans="1:15" ht="15.75" thickBot="1">
      <c r="A36" s="3296" t="s">
        <v>1308</v>
      </c>
      <c r="B36" s="1652" t="s">
        <v>1309</v>
      </c>
      <c r="C36" s="137"/>
      <c r="D36" s="1653"/>
      <c r="E36" s="1567"/>
      <c r="F36" s="1654"/>
      <c r="G36" s="121"/>
      <c r="H36" s="121"/>
      <c r="I36" s="121"/>
    </row>
    <row r="37" spans="1:15" ht="15.75" thickBot="1">
      <c r="A37" s="3297"/>
      <c r="B37" s="1555" t="s">
        <v>1310</v>
      </c>
      <c r="C37" s="139"/>
      <c r="D37" s="1071"/>
      <c r="E37" s="1071"/>
      <c r="F37" s="1654"/>
      <c r="G37" s="121"/>
      <c r="H37" s="121"/>
      <c r="I37" s="121"/>
    </row>
    <row r="38" spans="1:15" ht="15.75" thickBot="1">
      <c r="A38" s="3298"/>
      <c r="B38" s="1655" t="s">
        <v>1311</v>
      </c>
      <c r="C38" s="641"/>
      <c r="D38" s="1656" t="s">
        <v>1312</v>
      </c>
      <c r="E38" s="1071"/>
      <c r="F38" s="1654"/>
      <c r="G38" s="121"/>
      <c r="H38" s="121"/>
      <c r="I38" s="121"/>
    </row>
    <row r="39" spans="1:15" ht="15">
      <c r="A39" s="1633" t="s">
        <v>1313</v>
      </c>
      <c r="B39" s="1657" t="s">
        <v>1314</v>
      </c>
      <c r="C39" s="1658" t="s">
        <v>1315</v>
      </c>
      <c r="D39" s="1658" t="s">
        <v>1316</v>
      </c>
      <c r="E39" s="1659" t="s">
        <v>1317</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273" t="s">
        <v>1322</v>
      </c>
      <c r="B45" s="3274"/>
      <c r="C45" s="3275"/>
      <c r="D45" s="147">
        <f ca="1">ROUND(H101*F45,0)</f>
        <v>553</v>
      </c>
      <c r="E45" s="148" t="s">
        <v>1323</v>
      </c>
      <c r="F45" s="149">
        <v>1</v>
      </c>
      <c r="G45" s="150" t="s">
        <v>1324</v>
      </c>
      <c r="H45" s="121"/>
      <c r="I45" s="121"/>
      <c r="J45" s="3351" t="s">
        <v>1325</v>
      </c>
      <c r="K45" s="3351"/>
      <c r="L45" s="3351"/>
      <c r="M45" s="3351"/>
      <c r="N45" s="3351"/>
      <c r="O45" s="3351"/>
    </row>
    <row r="46" spans="1:15" ht="14.25" customHeight="1">
      <c r="A46" s="3270" t="s">
        <v>1326</v>
      </c>
      <c r="B46" s="3271"/>
      <c r="C46" s="3271"/>
      <c r="D46" s="3271"/>
      <c r="E46" s="3271"/>
      <c r="F46" s="3271"/>
      <c r="G46" s="3272"/>
      <c r="H46" s="1668"/>
      <c r="I46" s="151"/>
      <c r="J46" s="2310">
        <v>1</v>
      </c>
      <c r="K46" s="3332" t="s">
        <v>1327</v>
      </c>
      <c r="L46" s="3332"/>
      <c r="M46" s="3352"/>
      <c r="N46" s="3352"/>
      <c r="O46" s="3352"/>
    </row>
    <row r="47" spans="1:15" ht="12" customHeight="1">
      <c r="A47" s="152" t="s">
        <v>1328</v>
      </c>
      <c r="B47" s="153"/>
      <c r="C47" s="154"/>
      <c r="D47" s="1024" t="s">
        <v>1329</v>
      </c>
      <c r="E47" s="294" t="s">
        <v>1330</v>
      </c>
      <c r="F47" s="155" t="s">
        <v>1331</v>
      </c>
      <c r="G47" s="2333" t="s">
        <v>1332</v>
      </c>
      <c r="H47" s="2334"/>
      <c r="I47" s="151"/>
      <c r="J47" s="2310">
        <v>2</v>
      </c>
      <c r="K47" s="3332" t="s">
        <v>1333</v>
      </c>
      <c r="L47" s="3332"/>
      <c r="M47" s="3353">
        <f>'数据-取费表'!B2</f>
        <v>45786</v>
      </c>
      <c r="N47" s="3353"/>
      <c r="O47" s="3353"/>
    </row>
    <row r="48" spans="1:15" ht="25.5">
      <c r="A48" s="3301" t="s">
        <v>1334</v>
      </c>
      <c r="B48" s="3284"/>
      <c r="C48" s="328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1335</v>
      </c>
      <c r="H48" s="2337"/>
      <c r="I48" s="1668"/>
      <c r="J48" s="2310">
        <v>3</v>
      </c>
      <c r="K48" s="3332" t="s">
        <v>1336</v>
      </c>
      <c r="L48" s="3332"/>
      <c r="M48" s="3354">
        <f ca="1">H101</f>
        <v>553</v>
      </c>
      <c r="N48" s="3354"/>
      <c r="O48" s="3354"/>
    </row>
    <row r="49" spans="1:35" ht="25.5" customHeight="1">
      <c r="A49" s="2152" t="s">
        <v>1337</v>
      </c>
      <c r="B49" s="3268" t="s">
        <v>1338</v>
      </c>
      <c r="C49" s="3268"/>
      <c r="D49" s="1478">
        <v>0</v>
      </c>
      <c r="E49" s="316" t="s">
        <v>1339</v>
      </c>
      <c r="F49" s="2233" t="s">
        <v>28</v>
      </c>
      <c r="G49" s="3338"/>
      <c r="H49" s="2134" t="s">
        <v>2128</v>
      </c>
      <c r="I49" s="2135"/>
      <c r="J49" s="2310">
        <v>4</v>
      </c>
      <c r="K49" s="3332" t="str">
        <f>IF(项目基本情况!E8="房地产抵押价值","房地产抵押价值","抵押担保权已注销时的房地产抵押价值")</f>
        <v>房地产抵押价值</v>
      </c>
      <c r="L49" s="3332"/>
      <c r="M49" s="3354">
        <f ca="1">IF(项目基本情况!E8="房地产抵押价值",H107,H109)</f>
        <v>553</v>
      </c>
      <c r="N49" s="3354"/>
      <c r="O49" s="3354"/>
    </row>
    <row r="50" spans="1:35" ht="25.5" customHeight="1">
      <c r="A50" s="2338"/>
      <c r="B50" s="3268" t="s">
        <v>1340</v>
      </c>
      <c r="C50" s="3268"/>
      <c r="D50" s="2189"/>
      <c r="E50" s="323"/>
      <c r="F50" s="2233"/>
      <c r="G50" s="3339"/>
      <c r="H50" s="2136" t="s">
        <v>2129</v>
      </c>
      <c r="I50" s="2135"/>
      <c r="J50" s="3351" t="s">
        <v>1341</v>
      </c>
      <c r="K50" s="3351"/>
      <c r="L50" s="3351"/>
      <c r="M50" s="3351"/>
      <c r="N50" s="3351"/>
      <c r="O50" s="3351"/>
    </row>
    <row r="51" spans="1:35" ht="20.45" customHeight="1">
      <c r="A51" s="2339"/>
      <c r="B51" s="3268" t="s">
        <v>1342</v>
      </c>
      <c r="C51" s="3268"/>
      <c r="D51" s="1024"/>
      <c r="E51" s="319"/>
      <c r="F51" s="2233"/>
      <c r="G51" s="3340"/>
      <c r="H51" s="2136" t="s">
        <v>2130</v>
      </c>
      <c r="I51" s="2135"/>
      <c r="J51" s="2311" t="s">
        <v>1343</v>
      </c>
      <c r="K51" s="3332" t="s">
        <v>1344</v>
      </c>
      <c r="L51" s="3332"/>
      <c r="M51" s="2311" t="s">
        <v>1345</v>
      </c>
      <c r="N51" s="2311" t="s">
        <v>1346</v>
      </c>
      <c r="O51" s="2311" t="s">
        <v>1347</v>
      </c>
    </row>
    <row r="52" spans="1:35" ht="24" customHeight="1">
      <c r="A52" s="2153" t="s">
        <v>1348</v>
      </c>
      <c r="B52" s="3268" t="s">
        <v>1349</v>
      </c>
      <c r="C52" s="3268"/>
      <c r="D52" s="1024">
        <f ca="1">ROUND(D45*'数据-取费表'!B41/(1+'数据-取费表'!C42),0)</f>
        <v>29</v>
      </c>
      <c r="E52" s="1256" t="s">
        <v>1350</v>
      </c>
      <c r="F52" s="2340">
        <f>'数据-取费表'!B41</f>
        <v>5.5000000000000007E-2</v>
      </c>
      <c r="G52" s="2341"/>
      <c r="H52" s="2331"/>
      <c r="I52" s="1669"/>
      <c r="J52" s="2310">
        <v>1</v>
      </c>
      <c r="K52" s="3333" t="s">
        <v>1351</v>
      </c>
      <c r="L52" s="3333"/>
      <c r="M52" s="2312" t="b">
        <f>D48</f>
        <v>0</v>
      </c>
      <c r="N52" s="2310" t="str">
        <f>E48</f>
        <v>销售额×税（费）率</v>
      </c>
      <c r="O52" s="2313">
        <f>F48</f>
        <v>5.5000000000000007E-2</v>
      </c>
    </row>
    <row r="53" spans="1:35" ht="12" customHeight="1">
      <c r="A53" s="2153" t="s">
        <v>1352</v>
      </c>
      <c r="B53" s="3294" t="s">
        <v>2285</v>
      </c>
      <c r="C53" s="3295"/>
      <c r="D53" s="1024">
        <f ca="1">ROUND(D45*'数据-取费表'!B41/(1+'数据-取费表'!C42),0)</f>
        <v>29</v>
      </c>
      <c r="E53" s="1256" t="s">
        <v>1350</v>
      </c>
      <c r="F53" s="2340">
        <f>'数据-取费表'!B41</f>
        <v>5.5000000000000007E-2</v>
      </c>
      <c r="G53" s="2341"/>
      <c r="H53" s="2331"/>
      <c r="I53" s="1669"/>
      <c r="J53" s="2310">
        <v>2</v>
      </c>
      <c r="K53" s="3333" t="s">
        <v>1353</v>
      </c>
      <c r="L53" s="3333"/>
      <c r="M53" s="2312">
        <f t="shared" ref="M53:O54" ca="1" si="0">D55</f>
        <v>0</v>
      </c>
      <c r="N53" s="2310" t="str">
        <f t="shared" si="0"/>
        <v>销售额×税（费）率</v>
      </c>
      <c r="O53" s="2313" t="str">
        <f t="shared" si="0"/>
        <v>免征</v>
      </c>
    </row>
    <row r="54" spans="1:35" ht="12" customHeight="1">
      <c r="A54" s="2153" t="s">
        <v>1354</v>
      </c>
      <c r="B54" s="3294" t="s">
        <v>2286</v>
      </c>
      <c r="C54" s="3295"/>
      <c r="D54" s="1024">
        <f ca="1">C68</f>
        <v>29</v>
      </c>
      <c r="E54" s="319" t="s">
        <v>1355</v>
      </c>
      <c r="F54" s="2340">
        <f>'数据-取费表'!B41</f>
        <v>5.5000000000000007E-2</v>
      </c>
      <c r="G54" s="2341"/>
      <c r="H54" s="2342"/>
      <c r="I54" s="1669"/>
      <c r="J54" s="2310">
        <v>3</v>
      </c>
      <c r="K54" s="3333" t="s">
        <v>1356</v>
      </c>
      <c r="L54" s="3333"/>
      <c r="M54" s="2312">
        <f t="shared" ca="1" si="0"/>
        <v>313</v>
      </c>
      <c r="N54" s="2310" t="str">
        <f t="shared" si="0"/>
        <v>增值额×税（费）率</v>
      </c>
      <c r="O54" s="2314" t="str">
        <f t="shared" si="0"/>
        <v>免征</v>
      </c>
    </row>
    <row r="55" spans="1:35" ht="24" customHeight="1">
      <c r="A55" s="3283" t="s">
        <v>1357</v>
      </c>
      <c r="B55" s="3284"/>
      <c r="C55" s="3284"/>
      <c r="D55" s="12">
        <f ca="1">IF(H55="个人住宅",0,ROUND(D45*I55,0))</f>
        <v>0</v>
      </c>
      <c r="E55" s="1256" t="s">
        <v>1358</v>
      </c>
      <c r="F55" s="2340" t="str">
        <f>IF(H55="正常",I55,"免征")</f>
        <v>免征</v>
      </c>
      <c r="G55" s="2341"/>
      <c r="H55" s="2337"/>
      <c r="I55" s="157">
        <f>'数据-取费表'!B49</f>
        <v>5.0000000000000001E-4</v>
      </c>
      <c r="J55" s="2310">
        <f>IF(H59="非个人房产","",4)</f>
        <v>4</v>
      </c>
      <c r="K55" s="3333" t="str">
        <f>IF(H59="非个人房产","——","个人所得税")</f>
        <v>个人所得税</v>
      </c>
      <c r="L55" s="3333"/>
      <c r="M55" s="2315">
        <f ca="1">D59</f>
        <v>5</v>
      </c>
      <c r="N55" s="1883" t="str">
        <f>E59</f>
        <v>差额计税</v>
      </c>
      <c r="O55" s="2316">
        <f>F59</f>
        <v>0.01</v>
      </c>
    </row>
    <row r="56" spans="1:35" ht="24.75">
      <c r="A56" s="3283" t="s">
        <v>1359</v>
      </c>
      <c r="B56" s="3284"/>
      <c r="C56" s="3284"/>
      <c r="D56" s="12">
        <f ca="1">IF(H56="个人住宅",D57,D58)</f>
        <v>313</v>
      </c>
      <c r="E56" s="1256" t="s">
        <v>1360</v>
      </c>
      <c r="F56" s="2340" t="str">
        <f>IF(H56="正常",F58,"免征")</f>
        <v>免征</v>
      </c>
      <c r="G56" s="2343" t="s">
        <v>1361</v>
      </c>
      <c r="H56" s="2344"/>
      <c r="I56" s="1670"/>
      <c r="J56" s="2310" t="str">
        <f>IF(项目基本情况!K6="上海银行",IF(J55="",4,J55+1),"")</f>
        <v/>
      </c>
      <c r="K56" s="3356" t="str">
        <f>IF(项目基本情况!K6="上海银行","其他处置费用","")</f>
        <v/>
      </c>
      <c r="L56" s="3357"/>
      <c r="M56" s="2312" t="str">
        <f>IF(项目基本情况!K6="上海银行",M69,"")</f>
        <v/>
      </c>
      <c r="N56" s="3356" t="str">
        <f>IF(项目基本情况!K6="上海银行","包含处置中涉及的律师、诉讼、拍卖、评估等费用","")</f>
        <v/>
      </c>
      <c r="O56" s="3359"/>
    </row>
    <row r="57" spans="1:35" ht="12.75">
      <c r="A57" s="2153" t="s">
        <v>1337</v>
      </c>
      <c r="B57" s="3294" t="s">
        <v>1362</v>
      </c>
      <c r="C57" s="3295"/>
      <c r="D57" s="1478">
        <v>0</v>
      </c>
      <c r="E57" s="316" t="s">
        <v>1339</v>
      </c>
      <c r="F57" s="294"/>
      <c r="G57" s="2341"/>
      <c r="H57" s="2345"/>
      <c r="I57" s="1670"/>
      <c r="J57" s="3333">
        <f>IF(AND(J55="",J56=""),4,IF(项目基本情况!K6="上海银行",结果表!J56+1,结果表!J55+1))</f>
        <v>5</v>
      </c>
      <c r="K57" s="3333" t="s">
        <v>1363</v>
      </c>
      <c r="L57" s="2317" t="s">
        <v>1364</v>
      </c>
      <c r="M57" s="2318"/>
      <c r="N57" s="2319">
        <f ca="1">SUMIF(M52:M56,"&lt;9e307")</f>
        <v>318</v>
      </c>
      <c r="O57" s="2320"/>
      <c r="P57" s="2464">
        <f ca="1">N57/M49</f>
        <v>0.57504520795660041</v>
      </c>
    </row>
    <row r="58" spans="1:35" ht="24.75">
      <c r="A58" s="2153" t="s">
        <v>1348</v>
      </c>
      <c r="B58" s="3294" t="s">
        <v>1365</v>
      </c>
      <c r="C58" s="3268"/>
      <c r="D58" s="12">
        <f ca="1">IF(H58="转让取得",C81,C97)</f>
        <v>313</v>
      </c>
      <c r="E58" s="1256" t="s">
        <v>1360</v>
      </c>
      <c r="F58" s="294" t="s">
        <v>28</v>
      </c>
      <c r="G58" s="2341"/>
      <c r="H58" s="2344"/>
      <c r="I58" s="1670"/>
      <c r="J58" s="3333"/>
      <c r="K58" s="3333"/>
      <c r="L58" s="2317" t="s">
        <v>1366</v>
      </c>
      <c r="M58" s="2321"/>
      <c r="N58" s="2322" t="str">
        <f ca="1">NUMBERSTRING(INT(N57*10000),2)&amp;"元整"</f>
        <v>叁佰壹拾捌万元整</v>
      </c>
      <c r="O58" s="2323"/>
    </row>
    <row r="59" spans="1:35" ht="24.75" thickBot="1">
      <c r="A59" s="3336" t="s">
        <v>1367</v>
      </c>
      <c r="B59" s="3337"/>
      <c r="C59" s="3337"/>
      <c r="D59" s="2346">
        <f ca="1">IF(H59="非个人房产","——",IF(H59="个人住宅（满五唯一有凭证）",0,IF(H59="个人其他（无凭证）",ROUND(D45*F59,0),ROUND(C67*F59,0))))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34">
        <f>J57+1</f>
        <v>6</v>
      </c>
      <c r="K59" s="3333" t="s">
        <v>1368</v>
      </c>
      <c r="L59" s="2310" t="s">
        <v>1364</v>
      </c>
      <c r="M59" s="2324"/>
      <c r="N59" s="2325">
        <f ca="1">M49-N57</f>
        <v>235</v>
      </c>
      <c r="O59" s="2326"/>
    </row>
    <row r="60" spans="1:35" ht="12" customHeight="1">
      <c r="A60" s="1671"/>
      <c r="B60" s="646"/>
      <c r="C60" s="646"/>
      <c r="D60" s="646"/>
      <c r="E60" s="1466"/>
      <c r="F60" s="1670"/>
      <c r="G60" s="1670"/>
      <c r="H60" s="151"/>
      <c r="I60" s="121"/>
      <c r="J60" s="3335"/>
      <c r="K60" s="3333"/>
      <c r="L60" s="2317" t="s">
        <v>1366</v>
      </c>
      <c r="M60" s="2321"/>
      <c r="N60" s="2322" t="str">
        <f ca="1">NUMBERSTRING(INT(N59*10000),2)&amp;"元整"</f>
        <v>贰佰叁拾伍万元整</v>
      </c>
      <c r="O60" s="2323"/>
    </row>
    <row r="61" spans="1:35" ht="13.5" thickBot="1">
      <c r="A61" s="3281" t="s">
        <v>1369</v>
      </c>
      <c r="B61" s="3281"/>
      <c r="C61" s="3281"/>
      <c r="D61" s="3281"/>
      <c r="E61" s="3281"/>
      <c r="F61" s="1670"/>
      <c r="G61" s="1670"/>
      <c r="H61" s="151"/>
      <c r="I61" s="121"/>
      <c r="J61" s="2310">
        <f>J59+1</f>
        <v>7</v>
      </c>
      <c r="K61" s="3333" t="s">
        <v>1370</v>
      </c>
      <c r="L61" s="3333"/>
      <c r="M61" s="2327"/>
      <c r="N61" s="2328">
        <f ca="1">ROUND(N59*10000/'数据-汇总表'!E3,0)</f>
        <v>4783</v>
      </c>
      <c r="O61" s="2329"/>
    </row>
    <row r="62" spans="1:35" ht="12.75">
      <c r="A62" s="3299" t="s">
        <v>1371</v>
      </c>
      <c r="B62" s="3300"/>
      <c r="C62" s="1865"/>
      <c r="D62" s="1865" t="s">
        <v>1372</v>
      </c>
      <c r="E62" s="158" t="s">
        <v>1373</v>
      </c>
      <c r="F62" s="1670"/>
      <c r="G62" s="1670"/>
      <c r="H62" s="151"/>
      <c r="I62" s="121"/>
    </row>
    <row r="63" spans="1:35" ht="12.75">
      <c r="A63" s="165" t="s">
        <v>330</v>
      </c>
      <c r="B63" s="159" t="s">
        <v>1374</v>
      </c>
      <c r="C63" s="2350">
        <f ca="1">ROUND((C64+C65)/(1+'数据-取费表'!C42),0)</f>
        <v>527</v>
      </c>
      <c r="D63" s="159"/>
      <c r="E63" s="160"/>
      <c r="F63" s="1670"/>
      <c r="G63" s="1670"/>
      <c r="H63" s="151"/>
      <c r="I63" s="121"/>
      <c r="J63" s="3358" t="s">
        <v>1375</v>
      </c>
      <c r="K63" s="1245" t="s">
        <v>1376</v>
      </c>
      <c r="L63" s="1245">
        <f ca="1">IF(M49&gt;10000,M49*0.5%,IF(AND(M49&gt;1000,M49&lt;=10000),M49*1%,IF(AND(M49&gt;100,M49&lt;=1000),M49*3%,IF(AND(M49&gt;10,M49&lt;=100),M49*5%,M49*8%))))</f>
        <v>16.59</v>
      </c>
      <c r="M63" s="294">
        <f ca="1">ROUND(L63,1)</f>
        <v>16.600000000000001</v>
      </c>
      <c r="N63" s="2330"/>
      <c r="Z63" s="1623"/>
      <c r="AI63" s="1561"/>
    </row>
    <row r="64" spans="1:35" ht="14.25" customHeight="1">
      <c r="A64" s="161" t="s">
        <v>325</v>
      </c>
      <c r="B64" s="162" t="s">
        <v>1377</v>
      </c>
      <c r="C64" s="2351">
        <f ca="1">D45</f>
        <v>553</v>
      </c>
      <c r="D64" s="162" t="s">
        <v>26</v>
      </c>
      <c r="E64" s="164"/>
      <c r="F64" s="1670"/>
      <c r="G64" s="1670"/>
      <c r="H64" s="151"/>
      <c r="I64" s="121"/>
      <c r="J64" s="3358"/>
      <c r="K64" s="1245" t="s">
        <v>1378</v>
      </c>
      <c r="L64" s="1245">
        <f ca="1">IF(M49&gt;2000,M49*0.5%,IF(AND(M49&gt;1000,M49&lt;=2000),M49*0.6%,IF(AND(M49&gt;500,M49&lt;=1000),M49*0.7%,IF(AND(M49&gt;200,M49&lt;=500),M49*0.8%,IF(AND(M49&gt;100,M49&lt;=200),M49*0.9%,IF(AND(M49&gt;50,M49&lt;=100),M49*1%,IF(AND(M49&gt;20,M49&lt;=50),M49*1.5%,IF(AND(M49&gt;10,M49&lt;=20),M49*2%,IF(AND(M49&gt;1,M49&lt;=10),M49*2.5%)))))))))</f>
        <v>3.8709999999999996</v>
      </c>
      <c r="M64" s="294">
        <f t="shared" ref="M64:M65" ca="1" si="1">ROUND(L64,1)</f>
        <v>3.9</v>
      </c>
      <c r="N64" s="2331" t="s">
        <v>1379</v>
      </c>
      <c r="Z64" s="1623"/>
      <c r="AI64" s="1561"/>
    </row>
    <row r="65" spans="1:35" ht="14.25" customHeight="1">
      <c r="A65" s="161" t="s">
        <v>326</v>
      </c>
      <c r="B65" s="162" t="s">
        <v>1380</v>
      </c>
      <c r="C65" s="2352"/>
      <c r="D65" s="162"/>
      <c r="E65" s="164"/>
      <c r="F65" s="1670"/>
      <c r="G65" s="1670"/>
      <c r="H65" s="151"/>
      <c r="I65" s="121"/>
      <c r="J65" s="3358"/>
      <c r="K65" s="1245" t="s">
        <v>1381</v>
      </c>
      <c r="L65" s="1245">
        <f ca="1">IF(M49&gt;1000,M49*0.1%,IF(AND(M49&gt;500,M49&lt;=1000),M49*0.5%,IF(AND(M49&gt;50,M49&lt;=500),M49*1%,IF(AND(M49&gt;1,M49&lt;=50),M49*1.5%))))</f>
        <v>2.7650000000000001</v>
      </c>
      <c r="M65" s="294">
        <f t="shared" ca="1" si="1"/>
        <v>2.8</v>
      </c>
      <c r="N65" s="2331" t="s">
        <v>1379</v>
      </c>
      <c r="Z65" s="1623"/>
      <c r="AI65" s="1561"/>
    </row>
    <row r="66" spans="1:35" ht="14.25" customHeight="1">
      <c r="A66" s="165" t="s">
        <v>327</v>
      </c>
      <c r="B66" s="166" t="s">
        <v>1382</v>
      </c>
      <c r="C66" s="2353"/>
      <c r="D66" s="166" t="s">
        <v>26</v>
      </c>
      <c r="E66" s="1251" t="s">
        <v>667</v>
      </c>
      <c r="F66" s="1670"/>
      <c r="G66" s="1670"/>
      <c r="H66" s="151"/>
      <c r="I66" s="121"/>
      <c r="J66" s="3358"/>
      <c r="K66" s="1245" t="s">
        <v>1383</v>
      </c>
      <c r="L66" s="1245">
        <f ca="1">M49*0.5%</f>
        <v>2.7650000000000001</v>
      </c>
      <c r="M66" s="294">
        <f ca="1">IF(L66&gt;0.5,0.5,ROUND(L66,0))</f>
        <v>0.5</v>
      </c>
      <c r="N66" s="2331" t="s">
        <v>1384</v>
      </c>
      <c r="Z66" s="1623"/>
      <c r="AI66" s="1561"/>
    </row>
    <row r="67" spans="1:35" ht="14.25" customHeight="1">
      <c r="A67" s="165" t="s">
        <v>328</v>
      </c>
      <c r="B67" s="166" t="s">
        <v>1385</v>
      </c>
      <c r="C67" s="2354">
        <f ca="1">C63-C66</f>
        <v>527</v>
      </c>
      <c r="D67" s="162" t="s">
        <v>26</v>
      </c>
      <c r="E67" s="164"/>
      <c r="F67" s="1670"/>
      <c r="G67" s="1670"/>
      <c r="H67" s="151"/>
      <c r="I67" s="121"/>
      <c r="J67" s="3358"/>
      <c r="K67" s="1245" t="s">
        <v>1386</v>
      </c>
      <c r="L67" s="1245">
        <f ca="1">IF(M49&gt;=10000,(8.25+(M49-10000)*0.01%),IF(AND(M49&gt;=8000,M49&lt;10000),(7.85+(M49-8000)*0.02%),IF(AND(M49&gt;=5000,M49&lt;8000),(6.65+(M49-5000)*0.04%),IF(AND(M49&gt;=2000,M49&lt;5000),(4.25+(PM49-2000)*0.08%),IF(AND(M49&gt;=1000,M49&lt;2000),(2.75+(M49-1000)*0.15%),IF(AND(M49&gt;=100,M49&lt;1000),(0.5+(M49-100)*0.25%),IF(AND(M49&gt;0,M49&lt;100),M49*0.5%)))))))</f>
        <v>1.6325000000000001</v>
      </c>
      <c r="M67" s="294">
        <f ca="1">ROUND(L67*0.9,1)</f>
        <v>1.5</v>
      </c>
      <c r="N67" s="2330"/>
      <c r="Z67" s="1623"/>
      <c r="AI67" s="1561"/>
    </row>
    <row r="68" spans="1:35" ht="14.25" customHeight="1" thickBot="1">
      <c r="A68" s="168" t="s">
        <v>329</v>
      </c>
      <c r="B68" s="169" t="s">
        <v>1387</v>
      </c>
      <c r="C68" s="2355">
        <f ca="1">IF(C67&lt;=0,0,ROUND(C67*D68,0))</f>
        <v>29</v>
      </c>
      <c r="D68" s="2356">
        <f>'数据-取费表'!B41</f>
        <v>5.5000000000000007E-2</v>
      </c>
      <c r="E68" s="170"/>
      <c r="F68" s="1670"/>
      <c r="G68" s="1670"/>
      <c r="H68" s="151"/>
      <c r="I68" s="121"/>
      <c r="J68" s="3358"/>
      <c r="K68" s="1245" t="s">
        <v>1388</v>
      </c>
      <c r="L68" s="1245">
        <f ca="1">IF(M49&gt;10000,M49*0.5%,IF(AND(M49&gt;5000,M49&lt;=10000),M49*1%,IF(AND(M49&gt;1000,M49&lt;=5000),M49*2%,IF(AND(M49&gt;200,M49&lt;=1000),M49*3%,M49*5%))))</f>
        <v>16.59</v>
      </c>
      <c r="M68" s="294">
        <f ca="1">ROUND(L68,1)</f>
        <v>16.600000000000001</v>
      </c>
      <c r="N68" s="2330"/>
      <c r="Z68" s="1623"/>
      <c r="AI68" s="1561"/>
    </row>
    <row r="69" spans="1:35" ht="16.5" customHeight="1">
      <c r="A69" s="1672"/>
      <c r="B69" s="1673"/>
      <c r="C69" s="1674"/>
      <c r="D69" s="1675"/>
      <c r="E69" s="1676"/>
      <c r="F69" s="1466"/>
      <c r="G69" s="1466"/>
      <c r="H69" s="1467"/>
      <c r="I69" s="646"/>
      <c r="J69" s="3358"/>
      <c r="K69" s="1245" t="s">
        <v>1389</v>
      </c>
      <c r="L69" s="1245"/>
      <c r="M69" s="294">
        <f ca="1">ROUND(SUM(M63:M68),0)</f>
        <v>42</v>
      </c>
      <c r="N69" s="2332">
        <f ca="1">M69/M49</f>
        <v>7.5949367088607597E-2</v>
      </c>
      <c r="Z69" s="1623"/>
      <c r="AI69" s="1561"/>
    </row>
    <row r="70" spans="1:35" s="642" customFormat="1" ht="15" thickBot="1">
      <c r="A70" s="3320" t="s">
        <v>1390</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1371</v>
      </c>
      <c r="B71" s="3300"/>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527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294" t="s">
        <v>1398</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3</v>
      </c>
      <c r="D78" s="2363">
        <f>'数据-取费表'!B43</f>
        <v>5.000000000000001E-3</v>
      </c>
      <c r="E78" s="3278" t="s">
        <v>1402</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1403</v>
      </c>
      <c r="C79" s="2354">
        <f ca="1">C72-C73</f>
        <v>524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174.66666666666666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313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1406</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1371</v>
      </c>
      <c r="B84" s="3300"/>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527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60" t="s">
        <v>2123</v>
      </c>
      <c r="H90" s="3361"/>
      <c r="I90" s="1681"/>
      <c r="J90" s="2308"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278" t="s">
        <v>1415</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278" t="s">
        <v>1418</v>
      </c>
      <c r="F92" s="3279"/>
      <c r="G92" s="3279"/>
      <c r="H92" s="3288"/>
      <c r="I92" s="1681"/>
      <c r="J92" s="2309"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3</v>
      </c>
      <c r="D93" s="2363">
        <f>'数据-取费表'!B43</f>
        <v>5.000000000000001E-3</v>
      </c>
      <c r="E93" s="3278" t="s">
        <v>1402</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289" t="s">
        <v>1422</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1403</v>
      </c>
      <c r="C95" s="2354">
        <f ca="1">ROUND(C85-C86,0)</f>
        <v>524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174.66666666666666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313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62" t="s">
        <v>1424</v>
      </c>
      <c r="B100" s="3263"/>
      <c r="C100" s="3263"/>
      <c r="D100" s="3280"/>
      <c r="E100" s="3263" t="s">
        <v>1425</v>
      </c>
      <c r="F100" s="3263"/>
      <c r="G100" s="3263"/>
      <c r="H100" s="3280"/>
      <c r="I100" s="121"/>
    </row>
    <row r="101" spans="1:35" ht="18.75" customHeight="1">
      <c r="A101" s="3341" t="s">
        <v>1426</v>
      </c>
      <c r="B101" s="3342"/>
      <c r="C101" s="2371" t="str">
        <f>C4</f>
        <v>比较法-工业</v>
      </c>
      <c r="D101" s="2372" t="str">
        <f>D4</f>
        <v>收益法 (元)</v>
      </c>
      <c r="E101" s="3355" t="s">
        <v>1427</v>
      </c>
      <c r="F101" s="3312"/>
      <c r="G101" s="1687" t="s">
        <v>1428</v>
      </c>
      <c r="H101" s="2381">
        <f ca="1">H118</f>
        <v>553</v>
      </c>
      <c r="I101" s="121"/>
    </row>
    <row r="102" spans="1:35" ht="18.75" customHeight="1">
      <c r="A102" s="3314" t="s">
        <v>1429</v>
      </c>
      <c r="B102" s="2370" t="s">
        <v>1428</v>
      </c>
      <c r="C102" s="2371">
        <f ca="1">IF(D32="楼面单价",ROUND(C19,0),C19)</f>
        <v>688</v>
      </c>
      <c r="D102" s="2372">
        <f ca="1">IF(D32="楼面单价",ROUND(D19,0),D19)</f>
        <v>387</v>
      </c>
      <c r="E102" s="3355"/>
      <c r="F102" s="3312"/>
      <c r="G102" s="1687" t="s">
        <v>1430</v>
      </c>
      <c r="H102" s="2341">
        <f ca="1">I118</f>
        <v>11252</v>
      </c>
      <c r="I102" s="121"/>
    </row>
    <row r="103" spans="1:35" ht="42.75" customHeight="1">
      <c r="A103" s="3314"/>
      <c r="B103" s="2370" t="s">
        <v>1430</v>
      </c>
      <c r="C103" s="2373">
        <f ca="1">C20</f>
        <v>14005</v>
      </c>
      <c r="D103" s="2374">
        <f ca="1">D20</f>
        <v>7887</v>
      </c>
      <c r="E103" s="3349" t="s">
        <v>1431</v>
      </c>
      <c r="F103" s="3350"/>
      <c r="G103" s="1688" t="s">
        <v>1432</v>
      </c>
      <c r="H103" s="2381">
        <f>IF(D36="正常操作",H104+H105+H106,H105+H106)</f>
        <v>0</v>
      </c>
      <c r="I103" s="121"/>
    </row>
    <row r="104" spans="1:35" ht="18.75" customHeight="1">
      <c r="A104" s="3314" t="s">
        <v>1433</v>
      </c>
      <c r="B104" s="2375" t="s">
        <v>1428</v>
      </c>
      <c r="C104" s="2376">
        <f ca="1">H118</f>
        <v>553</v>
      </c>
      <c r="D104" s="2377"/>
      <c r="E104" s="1555" t="s">
        <v>1434</v>
      </c>
      <c r="F104" s="1548"/>
      <c r="G104" s="1688" t="s">
        <v>1432</v>
      </c>
      <c r="H104" s="2382">
        <f>IF(D36="同一抵押权人同一抵押物续贷",C36&amp;"（续贷，未扣减，详见特别提示）",C36)</f>
        <v>0</v>
      </c>
      <c r="I104" s="121"/>
    </row>
    <row r="105" spans="1:35" ht="18.75" customHeight="1" thickBot="1">
      <c r="A105" s="3315"/>
      <c r="B105" s="2378" t="s">
        <v>1430</v>
      </c>
      <c r="C105" s="2379">
        <f ca="1">I118</f>
        <v>11252</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11" t="str">
        <f>IF(项目基本情况!E8="已注销","——","3.房地产抵押价值")</f>
        <v>3.房地产抵押价值</v>
      </c>
      <c r="F107" s="3312"/>
      <c r="G107" s="1687" t="s">
        <v>1428</v>
      </c>
      <c r="H107" s="2381">
        <f ca="1">IF(E107="——","——",H101-H103)</f>
        <v>553</v>
      </c>
      <c r="I107" s="121"/>
    </row>
    <row r="108" spans="1:35" ht="18.75" customHeight="1">
      <c r="A108" s="121"/>
      <c r="B108" s="121"/>
      <c r="C108" s="121"/>
      <c r="D108" s="121"/>
      <c r="E108" s="3311"/>
      <c r="F108" s="3312"/>
      <c r="G108" s="1687" t="s">
        <v>1430</v>
      </c>
      <c r="H108" s="2341">
        <f ca="1">IF(H107=H101,H102,ROUND(H107*10000/'数据-汇总表'!E3,0))</f>
        <v>11252</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1428</v>
      </c>
      <c r="H109" s="2384" t="str">
        <f>IF(E109="——","——",H101-H105-H106)</f>
        <v>——</v>
      </c>
      <c r="I109" s="121"/>
    </row>
    <row r="110" spans="1:35" ht="18.75" customHeight="1">
      <c r="A110" s="121"/>
      <c r="B110" s="121"/>
      <c r="C110" s="121"/>
      <c r="D110" s="121"/>
      <c r="E110" s="3311"/>
      <c r="F110" s="3312"/>
      <c r="G110" s="1687" t="s">
        <v>1430</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1428</v>
      </c>
      <c r="H111" s="2381" t="str">
        <f>IF(E111="——","——",N59)</f>
        <v>——</v>
      </c>
      <c r="I111" s="121"/>
    </row>
    <row r="112" spans="1:35" ht="18.75" customHeight="1" thickBot="1">
      <c r="A112" s="121"/>
      <c r="B112" s="121"/>
      <c r="C112" s="121"/>
      <c r="D112" s="121"/>
      <c r="E112" s="3344"/>
      <c r="F112" s="3345"/>
      <c r="G112" s="1690" t="s">
        <v>1430</v>
      </c>
      <c r="H112" s="2385" t="str">
        <f>IF(E111="——","——",N61)</f>
        <v>——</v>
      </c>
      <c r="I112" s="121"/>
    </row>
    <row r="113" spans="1:27" ht="18.75" customHeight="1">
      <c r="A113" s="121"/>
      <c r="B113" s="121"/>
      <c r="C113" s="121"/>
      <c r="D113" s="121"/>
      <c r="E113" s="3316" t="s">
        <v>1436</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1438</v>
      </c>
      <c r="B115" s="3327"/>
      <c r="C115" s="3327"/>
      <c r="D115" s="3327"/>
      <c r="E115" s="3327"/>
      <c r="F115" s="3327"/>
      <c r="G115" s="3327"/>
      <c r="H115" s="3327"/>
      <c r="I115" s="3328"/>
    </row>
    <row r="116" spans="1:27" ht="27" customHeight="1">
      <c r="A116" s="3282" t="s">
        <v>1439</v>
      </c>
      <c r="B116" s="3317" t="s">
        <v>1440</v>
      </c>
      <c r="C116" s="3317" t="s">
        <v>1441</v>
      </c>
      <c r="D116" s="3330" t="s">
        <v>1442</v>
      </c>
      <c r="E116" s="3331"/>
      <c r="F116" s="3325" t="s">
        <v>1443</v>
      </c>
      <c r="G116" s="3325"/>
      <c r="H116" s="3282" t="s">
        <v>1444</v>
      </c>
      <c r="I116" s="3282"/>
    </row>
    <row r="117" spans="1:27" ht="18.75" customHeight="1">
      <c r="A117" s="3282"/>
      <c r="B117" s="3318"/>
      <c r="C117" s="3318"/>
      <c r="D117" s="2150" t="s">
        <v>1445</v>
      </c>
      <c r="E117" s="2150" t="s">
        <v>1446</v>
      </c>
      <c r="F117" s="2150" t="s">
        <v>1445</v>
      </c>
      <c r="G117" s="2150" t="s">
        <v>1447</v>
      </c>
      <c r="H117" s="2150" t="s">
        <v>1445</v>
      </c>
      <c r="I117" s="2150" t="s">
        <v>1447</v>
      </c>
    </row>
    <row r="118" spans="1:27" ht="24.75" customHeight="1">
      <c r="A118" s="2386" t="str">
        <f>项目基本情况!S2</f>
        <v>北京市大兴区马朱路长子营段16号院17号楼1层101、2层201、202、203工业用房房地产</v>
      </c>
      <c r="B118" s="2150">
        <f>M18</f>
        <v>491.32</v>
      </c>
      <c r="C118" s="2150">
        <f>M19</f>
        <v>0</v>
      </c>
      <c r="D118" s="2150">
        <f ca="1">ROUND(IF(D32="总价",C34,E118*B118/10000),0)</f>
        <v>140</v>
      </c>
      <c r="E118" s="2150">
        <f ca="1">ROUND(IF(C33="自定义",IF(D32="楼面单价",C34,D118*10000/B118),I118-G118),0)</f>
        <v>2858</v>
      </c>
      <c r="F118" s="2150">
        <f ca="1">ROUND(IF(D32="总价",C35,G118*B118/10000),0)</f>
        <v>412</v>
      </c>
      <c r="G118" s="2150">
        <f ca="1">ROUND(IF(D32="楼面单价",C35,F118*10000/B118),0)</f>
        <v>8394</v>
      </c>
      <c r="H118" s="2150">
        <f ca="1">ROUND(IF(D32="总价",C32,I118*B118/10000),0)</f>
        <v>553</v>
      </c>
      <c r="I118" s="2150">
        <f ca="1">ROUND(IF(D32="楼面单价",C32,H118*10000/B118),0)</f>
        <v>11252</v>
      </c>
    </row>
    <row r="119" spans="1:27" ht="18.75" customHeight="1">
      <c r="A119" s="3282" t="s">
        <v>1448</v>
      </c>
      <c r="B119" s="3282"/>
      <c r="C119" s="3282"/>
      <c r="D119" s="3322" t="str">
        <f ca="1">NUMBERSTRING(INT(D118*10000),2)&amp;"元整"</f>
        <v>壹佰肆拾万元整</v>
      </c>
      <c r="E119" s="3324"/>
      <c r="F119" s="3322" t="str">
        <f ca="1">NUMBERSTRING(INT(F118*10000),2)&amp;"元整"</f>
        <v>肆佰壹拾贰万元整</v>
      </c>
      <c r="G119" s="3324"/>
      <c r="H119" s="3322" t="str">
        <f ca="1">NUMBERSTRING(INT(H118*10000),2)&amp;"元整"</f>
        <v>伍佰伍拾叁万元整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1448</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553</v>
      </c>
      <c r="E122" s="3347"/>
      <c r="F122" s="3347"/>
      <c r="G122" s="3347"/>
      <c r="H122" s="3347"/>
      <c r="I122" s="3348"/>
      <c r="AA122" s="684"/>
    </row>
    <row r="123" spans="1:27" ht="18.75" customHeight="1">
      <c r="A123" s="3282" t="s">
        <v>1448</v>
      </c>
      <c r="B123" s="3282"/>
      <c r="C123" s="3282"/>
      <c r="D123" s="3322" t="str">
        <f ca="1">NUMBERSTRING(INT(D122*10000),2)&amp;"元整"</f>
        <v>伍佰伍拾叁万元整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1448</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1448</v>
      </c>
      <c r="B127" s="3282"/>
      <c r="C127" s="3282"/>
      <c r="D127" s="3322" t="e">
        <f>NUMBERSTRING(INT(D126*10000),2)&amp;"元整"</f>
        <v>#VALUE!</v>
      </c>
      <c r="E127" s="3323"/>
      <c r="F127" s="3323"/>
      <c r="G127" s="3323"/>
      <c r="H127" s="3323"/>
      <c r="I127" s="3324"/>
      <c r="AA127" s="684"/>
    </row>
    <row r="128" spans="1:27" ht="21.75" customHeight="1">
      <c r="A128" s="3329" t="s">
        <v>1449</v>
      </c>
      <c r="B128" s="3329"/>
      <c r="C128" s="3329"/>
      <c r="D128" s="3329"/>
      <c r="E128" s="3329"/>
      <c r="F128" s="3329"/>
      <c r="G128" s="3329"/>
      <c r="H128" s="3329"/>
      <c r="I128" s="3329"/>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4"/>
      <c r="C1" s="190"/>
      <c r="D1" s="190"/>
      <c r="E1" s="190"/>
      <c r="F1" s="190"/>
      <c r="G1" s="1062">
        <f>MATCH(B1,'数据-取费表'!A6:A16,0)+5</f>
        <v>7</v>
      </c>
    </row>
    <row r="2" spans="1:9" s="192" customFormat="1" ht="18" customHeight="1">
      <c r="A2" s="193" t="s">
        <v>1458</v>
      </c>
      <c r="B2" s="194">
        <f ca="1">IF(D2="——",C52,C52-E2)</f>
        <v>259</v>
      </c>
      <c r="C2" s="191" t="s">
        <v>1459</v>
      </c>
      <c r="D2" s="1711" t="s">
        <v>43</v>
      </c>
      <c r="E2" s="1089" t="e">
        <f ca="1">SUMIF(INDIRECT("'"&amp;G2&amp;"'"&amp;"!A:A"),"承租人权益价值",INDIRECT("'"&amp;G2&amp;"'"&amp;"!c:c"))</f>
        <v>#REF!</v>
      </c>
      <c r="F2" s="1712" t="s">
        <v>1459</v>
      </c>
      <c r="G2" s="1713"/>
    </row>
    <row r="3" spans="1:9" s="192" customFormat="1" ht="18" customHeight="1" thickBot="1">
      <c r="A3" s="195" t="s">
        <v>1460</v>
      </c>
      <c r="B3" s="196">
        <f ca="1">ROUND(B2*10000/(IF(B1="",'数据-汇总表'!E3,INDIRECT("'数据-取费表'!k"&amp;$G$1))),0)</f>
        <v>5272</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0</v>
      </c>
      <c r="D5" s="203" t="s">
        <v>1465</v>
      </c>
      <c r="E5" s="204" t="s">
        <v>1466</v>
      </c>
      <c r="F5" s="204" t="s">
        <v>1467</v>
      </c>
      <c r="G5" s="205"/>
    </row>
    <row r="6" spans="1:9" s="206" customFormat="1" ht="13.5" customHeight="1">
      <c r="A6" s="732" t="s">
        <v>1468</v>
      </c>
      <c r="B6" s="207" t="s">
        <v>1469</v>
      </c>
      <c r="C6" s="208"/>
      <c r="D6" s="209"/>
      <c r="E6" s="210"/>
      <c r="F6" s="210"/>
      <c r="G6" s="211"/>
    </row>
    <row r="7" spans="1:9" s="206" customFormat="1" ht="13.5" customHeight="1">
      <c r="A7" s="732" t="s">
        <v>1470</v>
      </c>
      <c r="B7" s="207" t="s">
        <v>1471</v>
      </c>
      <c r="C7" s="212">
        <f>ROUND(C6*F7,0)</f>
        <v>0</v>
      </c>
      <c r="D7" s="212"/>
      <c r="E7" s="210"/>
      <c r="F7" s="213">
        <f>IF(项目基本情况!B8="出让",0,'数据-取费表'!B48+'数据-取费表'!B49)</f>
        <v>3.0499999999999999E-2</v>
      </c>
      <c r="G7" s="211"/>
    </row>
    <row r="8" spans="1:9" s="215" customFormat="1">
      <c r="A8" s="732" t="s">
        <v>1472</v>
      </c>
      <c r="B8" s="207" t="s">
        <v>1473</v>
      </c>
      <c r="C8" s="212">
        <f>IF(G8="已包含在土地购买价格中","0",IF(B1="",'数据-取费表'!B29,IF(G9="全部缴纳",C9+C10,H9)))</f>
        <v>0</v>
      </c>
      <c r="D8" s="214"/>
      <c r="E8" s="212"/>
      <c r="F8" s="213"/>
      <c r="G8" s="1714"/>
    </row>
    <row r="9" spans="1:9" s="206" customFormat="1" ht="13.5" customHeight="1">
      <c r="A9" s="733" t="s">
        <v>355</v>
      </c>
      <c r="B9" s="216" t="s">
        <v>1474</v>
      </c>
      <c r="C9" s="217">
        <f ca="1">ROUND(D9*E9/10000,0)</f>
        <v>0</v>
      </c>
      <c r="D9" s="795">
        <f ca="1">IF(B1="",'数据-汇总表'!E5,IF(INDIRECT("'数据-取费表'!c"&amp;$G$1)="住宅",INDIRECT("'数据-取费表'!k"&amp;$G$1),0))</f>
        <v>0</v>
      </c>
      <c r="E9" s="217">
        <f>'数据-取费表'!B27</f>
        <v>160</v>
      </c>
      <c r="F9" s="213"/>
      <c r="G9" s="1715"/>
      <c r="H9" s="1070"/>
      <c r="I9" s="1716" t="s">
        <v>1475</v>
      </c>
    </row>
    <row r="10" spans="1:9" s="206" customFormat="1" ht="13.5" customHeight="1">
      <c r="A10" s="733" t="s">
        <v>356</v>
      </c>
      <c r="B10" s="216" t="s">
        <v>1476</v>
      </c>
      <c r="C10" s="217">
        <f ca="1">ROUND(D10*E10/10000,0)</f>
        <v>10</v>
      </c>
      <c r="D10" s="795">
        <f ca="1">IF(B1="",'数据-汇总表'!E6,IF(INDIRECT("'数据-取费表'!c"&amp;$G$1)="住宅",INDIRECT("'数据-取费表'!s"&amp;$G$1),INDIRECT("'数据-取费表'!k"&amp;$G$1)+INDIRECT("'数据-取费表'!s"&amp;$G$1)))</f>
        <v>491.32</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f ca="1">IF(G19="已包含在土地取得成本中","0",ROUND(D19*E19/10000,0))</f>
        <v>10</v>
      </c>
      <c r="D19" s="204">
        <f ca="1">D9+D10</f>
        <v>491.32</v>
      </c>
      <c r="E19" s="203">
        <f>'数据-取费表'!B31</f>
        <v>200</v>
      </c>
      <c r="F19" s="223"/>
      <c r="G19" s="1714"/>
    </row>
    <row r="20" spans="1:7" s="206" customFormat="1" ht="13.5" customHeight="1">
      <c r="A20" s="247" t="s">
        <v>1489</v>
      </c>
      <c r="B20" s="202" t="s">
        <v>1490</v>
      </c>
      <c r="C20" s="224">
        <f ca="1">ROUND((C5+C19)*F20,0)</f>
        <v>0</v>
      </c>
      <c r="D20" s="224"/>
      <c r="E20" s="224"/>
      <c r="F20" s="225">
        <f>'数据-取费表'!B37</f>
        <v>0.03</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41">
        <f ca="1">ROUND(SUM(C23:C25),0)</f>
        <v>1</v>
      </c>
      <c r="D22" s="227">
        <f ca="1">C26</f>
        <v>5.9999999999999995E-4</v>
      </c>
      <c r="E22" s="228" t="s">
        <v>1494</v>
      </c>
      <c r="F22" s="229">
        <f ca="1">'数据-取费表'!B40</f>
        <v>3.1E-2</v>
      </c>
      <c r="G22" s="226" t="str">
        <f>IF('数据-取费表'!B22&lt;=1,"单利计息","复利计息")</f>
        <v>复利计息</v>
      </c>
    </row>
    <row r="23" spans="1:7" s="206" customFormat="1" ht="13.5" customHeight="1">
      <c r="A23" s="734" t="s">
        <v>1498</v>
      </c>
      <c r="B23" s="207" t="s">
        <v>1499</v>
      </c>
      <c r="C23" s="1042">
        <f ca="1">ROUND(IF('数据-取费表'!B22&lt;=1,C5*F22*'数据-取费表'!B23,C5*(POWER((1+F22),'数据-取费表'!B23)-1)),0)</f>
        <v>0</v>
      </c>
      <c r="D23" s="230"/>
      <c r="E23" s="230"/>
      <c r="F23" s="231"/>
      <c r="G23" s="232" t="s">
        <v>1500</v>
      </c>
    </row>
    <row r="24" spans="1:7" s="206" customFormat="1" ht="13.5" customHeight="1">
      <c r="A24" s="734" t="s">
        <v>1501</v>
      </c>
      <c r="B24" s="207" t="s">
        <v>1502</v>
      </c>
      <c r="C24" s="1042">
        <f ca="1">ROUND(IF('数据-取费表'!B22&lt;=1,C19*F22*('数据-取费表'!B19/2+'数据-取费表'!B21),C19*(POWER((1+F22),('数据-取费表'!B19/2+'数据-取费表'!B21))-1)),0)</f>
        <v>1</v>
      </c>
      <c r="D24" s="230"/>
      <c r="E24" s="230"/>
      <c r="F24" s="231"/>
      <c r="G24" s="232" t="s">
        <v>1503</v>
      </c>
    </row>
    <row r="25" spans="1:7" s="206" customFormat="1" ht="24">
      <c r="A25" s="734" t="s">
        <v>1504</v>
      </c>
      <c r="B25" s="207" t="s">
        <v>1505</v>
      </c>
      <c r="C25" s="1042">
        <f ca="1">ROUND(IF('数据-取费表'!B22&lt;=1,C20*F22*'数据-取费表'!B23/2,C20*(POWER((1+F22),'数据-取费表'!B23/2)-1)),0)</f>
        <v>0</v>
      </c>
      <c r="D25" s="230"/>
      <c r="E25" s="233"/>
      <c r="F25" s="231"/>
      <c r="G25" s="234" t="s">
        <v>1506</v>
      </c>
    </row>
    <row r="26" spans="1:7" s="206" customFormat="1">
      <c r="A26" s="734" t="s">
        <v>350</v>
      </c>
      <c r="B26" s="207" t="s">
        <v>1507</v>
      </c>
      <c r="C26" s="230">
        <f ca="1">ROUND(IF('数据-取费表'!B22&lt;=1,F21*F22*'数据-取费表'!B23/2,F21*(POWER((1+F22),'数据-取费表'!B23/2)-1)),4)</f>
        <v>5.9999999999999995E-4</v>
      </c>
      <c r="D26" s="230"/>
      <c r="E26" s="233"/>
      <c r="F26" s="231"/>
      <c r="G26" s="235"/>
    </row>
    <row r="27" spans="1:7" s="206" customFormat="1" ht="24.75">
      <c r="A27" s="247" t="s">
        <v>1508</v>
      </c>
      <c r="B27" s="236" t="s">
        <v>1509</v>
      </c>
      <c r="C27" s="237">
        <f ca="1">C28</f>
        <v>1</v>
      </c>
      <c r="D27" s="227">
        <f ca="1">C29</f>
        <v>2E-3</v>
      </c>
      <c r="E27" s="228" t="s">
        <v>1510</v>
      </c>
      <c r="F27" s="238">
        <f ca="1">IF(B1="",'数据-取费表'!Q16,INDIRECT("'数据-取费表'!q"&amp;$G$1))</f>
        <v>0.1</v>
      </c>
      <c r="G27" s="239" t="s">
        <v>1511</v>
      </c>
    </row>
    <row r="28" spans="1:7" s="206" customFormat="1" ht="13.5" customHeight="1">
      <c r="A28" s="734" t="s">
        <v>346</v>
      </c>
      <c r="B28" s="240" t="s">
        <v>1512</v>
      </c>
      <c r="C28" s="241">
        <f ca="1">ROUND((C5+C19+C20)*F27*'数据-取费表'!B21/'数据-取费表'!B20,0)</f>
        <v>1</v>
      </c>
      <c r="D28" s="227"/>
      <c r="E28" s="228"/>
      <c r="F28" s="238"/>
      <c r="G28" s="239"/>
    </row>
    <row r="29" spans="1:7" s="206" customFormat="1" ht="13.5" customHeight="1">
      <c r="A29" s="734" t="s">
        <v>347</v>
      </c>
      <c r="B29" s="240" t="s">
        <v>1513</v>
      </c>
      <c r="C29" s="230">
        <f ca="1">ROUND(C21*F27*'数据-取费表'!B21/'数据-取费表'!B20,4)</f>
        <v>2E-3</v>
      </c>
      <c r="D29" s="227"/>
      <c r="E29" s="228"/>
      <c r="F29" s="238"/>
      <c r="G29" s="239"/>
    </row>
    <row r="30" spans="1:7" s="206" customFormat="1" ht="13.5" customHeight="1">
      <c r="A30" s="247" t="s">
        <v>1514</v>
      </c>
      <c r="B30" s="202" t="s">
        <v>1515</v>
      </c>
      <c r="C30" s="227">
        <f>ROUND(F30/(1+'数据-取费表'!C42),4)</f>
        <v>5.2400000000000002E-2</v>
      </c>
      <c r="D30" s="228" t="s">
        <v>1510</v>
      </c>
      <c r="E30" s="233"/>
      <c r="F30" s="229">
        <f>'数据-取费表'!B41</f>
        <v>5.5000000000000007E-2</v>
      </c>
      <c r="G30" s="226" t="s">
        <v>1516</v>
      </c>
    </row>
    <row r="31" spans="1:7" ht="16.5" customHeight="1">
      <c r="A31" s="201">
        <v>1</v>
      </c>
      <c r="B31" s="202" t="s">
        <v>1517</v>
      </c>
      <c r="C31" s="203">
        <f ca="1">ROUND((C5+C19+C20+C22+C27)/(1-C21-D22-D27-C30),0)</f>
        <v>13</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221</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197</v>
      </c>
      <c r="D34" s="209"/>
      <c r="E34" s="212"/>
      <c r="F34" s="249">
        <f ca="1">IF('数据-取费表'!B24=0,1,IF(B1="",'数据-取费表'!N16,INDIRECT("'数据-取费表'!n"&amp;$G$1)))</f>
        <v>1</v>
      </c>
      <c r="G34" s="211" t="s">
        <v>1522</v>
      </c>
    </row>
    <row r="35" spans="1:7" ht="13.5" customHeight="1">
      <c r="A35" s="734" t="s">
        <v>351</v>
      </c>
      <c r="B35" s="207" t="s">
        <v>1523</v>
      </c>
      <c r="C35" s="212">
        <f ca="1">ROUND(C34*F35,0)</f>
        <v>10</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1526</v>
      </c>
    </row>
    <row r="37" spans="1:7" s="250" customFormat="1" ht="13.5" customHeight="1">
      <c r="A37" s="734" t="s">
        <v>353</v>
      </c>
      <c r="B37" s="207" t="s">
        <v>1527</v>
      </c>
      <c r="C37" s="241">
        <f ca="1">ROUND(E37*D37*F34/10000,0)</f>
        <v>10</v>
      </c>
      <c r="D37" s="209">
        <f ca="1">D19</f>
        <v>491.32</v>
      </c>
      <c r="E37" s="241">
        <f>'数据-取费表'!B35</f>
        <v>200</v>
      </c>
      <c r="F37" s="251"/>
      <c r="G37" s="253" t="s">
        <v>1528</v>
      </c>
    </row>
    <row r="38" spans="1:7" ht="13.5" customHeight="1">
      <c r="A38" s="734" t="s">
        <v>354</v>
      </c>
      <c r="B38" s="207" t="s">
        <v>1529</v>
      </c>
      <c r="C38" s="212">
        <f ca="1">ROUND(C34*F38,0)</f>
        <v>4</v>
      </c>
      <c r="D38" s="212"/>
      <c r="E38" s="212"/>
      <c r="F38" s="251">
        <f>'数据-取费表'!B36</f>
        <v>0.02</v>
      </c>
      <c r="G38" s="211" t="s">
        <v>1524</v>
      </c>
    </row>
    <row r="39" spans="1:7" s="206" customFormat="1" ht="13.5" customHeight="1">
      <c r="A39" s="247" t="s">
        <v>1530</v>
      </c>
      <c r="B39" s="202" t="s">
        <v>1531</v>
      </c>
      <c r="C39" s="224">
        <f ca="1">ROUND(C33*F20,0)</f>
        <v>7</v>
      </c>
      <c r="D39" s="224"/>
      <c r="E39" s="224"/>
      <c r="F39" s="225">
        <f>F20</f>
        <v>0.03</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v>
      </c>
      <c r="D41" s="227">
        <f ca="1">C44</f>
        <v>5.9999999999999995E-4</v>
      </c>
      <c r="E41" s="228" t="s">
        <v>1535</v>
      </c>
      <c r="F41" s="229">
        <f ca="1">F22</f>
        <v>3.1E-2</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7</v>
      </c>
      <c r="D42" s="230"/>
      <c r="E42" s="230"/>
      <c r="F42" s="231"/>
      <c r="G42" s="3362" t="s">
        <v>1540</v>
      </c>
    </row>
    <row r="43" spans="1:7" ht="13.5" customHeight="1">
      <c r="A43" s="734" t="s">
        <v>347</v>
      </c>
      <c r="B43" s="207" t="s">
        <v>1541</v>
      </c>
      <c r="C43" s="230">
        <f ca="1">ROUND(IF('数据-取费表'!B22&lt;=1,C39*F22*'数据-取费表'!B21/2,C39*(POWER((1+F22),'数据-取费表'!B21/2)-1)),0)</f>
        <v>0</v>
      </c>
      <c r="D43" s="230"/>
      <c r="E43" s="230"/>
      <c r="F43" s="231"/>
      <c r="G43" s="3363"/>
    </row>
    <row r="44" spans="1:7" ht="13.5" customHeight="1">
      <c r="A44" s="734" t="s">
        <v>348</v>
      </c>
      <c r="B44" s="207" t="s">
        <v>1542</v>
      </c>
      <c r="C44" s="230">
        <f ca="1">ROUND(IF('数据-取费表'!B22&lt;=1,C40*F22*'数据-取费表'!B21/2,C40*(POWER((1+F22),'数据-取费表'!B21/2)-1)),4)</f>
        <v>5.9999999999999995E-4</v>
      </c>
      <c r="D44" s="230"/>
      <c r="E44" s="230"/>
      <c r="F44" s="231"/>
      <c r="G44" s="3364"/>
    </row>
    <row r="45" spans="1:7" s="206" customFormat="1" ht="13.5" customHeight="1">
      <c r="A45" s="247" t="s">
        <v>1543</v>
      </c>
      <c r="B45" s="236" t="s">
        <v>1509</v>
      </c>
      <c r="C45" s="237">
        <f ca="1">C46</f>
        <v>23</v>
      </c>
      <c r="D45" s="227">
        <f ca="1">C47</f>
        <v>2E-3</v>
      </c>
      <c r="E45" s="228" t="s">
        <v>1535</v>
      </c>
      <c r="F45" s="238">
        <f ca="1">F27</f>
        <v>0.1</v>
      </c>
      <c r="G45" s="239" t="s">
        <v>1544</v>
      </c>
    </row>
    <row r="46" spans="1:7" s="206" customFormat="1" ht="13.5" customHeight="1">
      <c r="A46" s="734" t="s">
        <v>346</v>
      </c>
      <c r="B46" s="240" t="s">
        <v>1545</v>
      </c>
      <c r="C46" s="241">
        <f ca="1">ROUND((C33+C39)*F27,0)</f>
        <v>23</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27">
        <f>ROUND(F30/(1+'数据-取费表'!C42),4)</f>
        <v>5.2400000000000002E-2</v>
      </c>
      <c r="D48" s="228" t="s">
        <v>1535</v>
      </c>
      <c r="E48" s="224"/>
      <c r="F48" s="229">
        <f>F30</f>
        <v>5.5000000000000007E-2</v>
      </c>
      <c r="G48" s="226" t="s">
        <v>1548</v>
      </c>
    </row>
    <row r="49" spans="1:7" ht="16.5" customHeight="1">
      <c r="A49" s="247" t="s">
        <v>1514</v>
      </c>
      <c r="B49" s="202" t="s">
        <v>1549</v>
      </c>
      <c r="C49" s="224">
        <f ca="1">ROUND((C33+C39+C41+C45)/(1-C40-D41-D45-C48),0)</f>
        <v>279</v>
      </c>
      <c r="D49" s="224"/>
      <c r="E49" s="224"/>
      <c r="F49" s="256"/>
      <c r="G49" s="226" t="s">
        <v>1550</v>
      </c>
    </row>
    <row r="50" spans="1:7" s="250" customFormat="1" ht="24">
      <c r="A50" s="247" t="s">
        <v>1551</v>
      </c>
      <c r="B50" s="202" t="s">
        <v>1552</v>
      </c>
      <c r="C50" s="224"/>
      <c r="D50" s="224"/>
      <c r="E50" s="224"/>
      <c r="F50" s="256">
        <f>IF('数据-取费表'!B24=0,'数据-取费表'!N16,1)</f>
        <v>0.88</v>
      </c>
      <c r="G50" s="239" t="s">
        <v>1553</v>
      </c>
    </row>
    <row r="51" spans="1:7" ht="16.5" customHeight="1">
      <c r="A51" s="247" t="s">
        <v>1554</v>
      </c>
      <c r="B51" s="202" t="s">
        <v>1555</v>
      </c>
      <c r="C51" s="224">
        <f ca="1">ROUND(C49*F50,0)</f>
        <v>246</v>
      </c>
      <c r="D51" s="224"/>
      <c r="E51" s="224"/>
      <c r="F51" s="256"/>
      <c r="G51" s="226" t="s">
        <v>1556</v>
      </c>
    </row>
    <row r="52" spans="1:7" s="200" customFormat="1" ht="16.5" thickBot="1">
      <c r="A52" s="257" t="s">
        <v>1557</v>
      </c>
      <c r="B52" s="258"/>
      <c r="C52" s="259">
        <f ca="1">C31+C51</f>
        <v>259</v>
      </c>
      <c r="D52" s="258"/>
      <c r="E52" s="258"/>
      <c r="F52" s="258"/>
      <c r="G52" s="260"/>
    </row>
    <row r="55" spans="1:7" ht="15">
      <c r="B55" s="262" t="s">
        <v>1558</v>
      </c>
      <c r="C55" s="263"/>
    </row>
    <row r="56" spans="1:7">
      <c r="B56" s="265" t="s">
        <v>798</v>
      </c>
      <c r="C56" s="267">
        <f ca="1">1-C57</f>
        <v>5.0000000000000044E-2</v>
      </c>
    </row>
    <row r="57" spans="1:7">
      <c r="B57" s="265" t="s">
        <v>799</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北京市大兴区马朱路长子营段16号院17号楼1层101、2层201、202、203工业用房房地产抵押价值预评估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view="pageBreakPreview" topLeftCell="A22" zoomScale="90" zoomScaleNormal="60" zoomScaleSheetLayoutView="90" workbookViewId="0">
      <selection activeCell="F110" sqref="F1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1822</v>
      </c>
      <c r="C1" s="1141" t="s">
        <v>1658</v>
      </c>
      <c r="D1" s="1142" t="s">
        <v>3417</v>
      </c>
      <c r="E1" s="3131" t="s">
        <v>3450</v>
      </c>
      <c r="F1" s="1735" t="s">
        <v>3427</v>
      </c>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f>IF(E1="项目模式",IF(C2="——",ROUND(C43*D3/10000,0),ROUND(C43*D3/10000,0)-D2),IF(E1="单套模式",IF(C2="——",ROUND(C43*D3/10000,4),ROUND(C43*D3/10000,4)-D2)))</f>
        <v>688.09370000000001</v>
      </c>
      <c r="C2" s="1737" t="s">
        <v>43</v>
      </c>
      <c r="D2" s="854" t="e">
        <f ca="1">IF(E1="项目模式",SUMIF(INDIRECT("'"&amp;F2&amp;"'"&amp;"!A:A"),"承租人权益价值",INDIRECT("'"&amp;F2&amp;"'"&amp;"!c:c")),SUMIF(INDIRECT("'"&amp;F2&amp;"'"&amp;"!A:A"),"承租人权益价值（单套）",INDIRECT("'"&amp;F2&amp;"'"&amp;"!c:c")))</f>
        <v>#REF!</v>
      </c>
      <c r="E2" s="1738" t="s">
        <v>1459</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14005</v>
      </c>
      <c r="C3" s="344" t="s">
        <v>1764</v>
      </c>
      <c r="D3" s="343">
        <f>IF(D1="",'数据-汇总表'!E3,SUMIF('数据-汇总表'!$C19:$C33,D1,'数据-汇总表'!$E19:$E33))</f>
        <v>491.32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378" t="s">
        <v>1766</v>
      </c>
      <c r="D4" s="3379"/>
      <c r="E4" s="3380" t="s">
        <v>1767</v>
      </c>
      <c r="F4" s="3381"/>
      <c r="G4" s="3378" t="s">
        <v>1768</v>
      </c>
      <c r="H4" s="3379"/>
      <c r="I4" s="3378" t="s">
        <v>1769</v>
      </c>
      <c r="J4" s="3379"/>
      <c r="K4" s="537" t="s">
        <v>1770</v>
      </c>
      <c r="L4" s="860"/>
      <c r="M4" s="861"/>
      <c r="N4" s="861"/>
      <c r="O4" s="861"/>
      <c r="P4" s="3382" t="s">
        <v>1771</v>
      </c>
      <c r="Q4" s="3383"/>
      <c r="R4" s="3388" t="s">
        <v>1767</v>
      </c>
      <c r="S4" s="3389"/>
      <c r="T4" s="3388" t="s">
        <v>1768</v>
      </c>
      <c r="U4" s="3389"/>
      <c r="V4" s="3366" t="s">
        <v>1769</v>
      </c>
      <c r="W4" s="3366"/>
      <c r="X4" s="1265"/>
      <c r="Y4" s="3388" t="s">
        <v>1771</v>
      </c>
      <c r="Z4" s="3389"/>
      <c r="AA4" s="3375" t="s">
        <v>1767</v>
      </c>
      <c r="AB4" s="3376" t="s">
        <v>1768</v>
      </c>
      <c r="AC4" s="3375" t="s">
        <v>1769</v>
      </c>
    </row>
    <row r="5" spans="1:29" ht="15" customHeight="1">
      <c r="A5" s="348"/>
      <c r="B5" s="349"/>
      <c r="C5" s="3396" t="s">
        <v>3479</v>
      </c>
      <c r="D5" s="3397"/>
      <c r="E5" s="3396" t="s">
        <v>3484</v>
      </c>
      <c r="F5" s="3397"/>
      <c r="G5" s="3396" t="s">
        <v>3483</v>
      </c>
      <c r="H5" s="3397"/>
      <c r="I5" s="3396" t="s">
        <v>3479</v>
      </c>
      <c r="J5" s="3397"/>
      <c r="K5" s="537"/>
      <c r="L5" s="860"/>
      <c r="M5" s="861"/>
      <c r="N5" s="861"/>
      <c r="O5" s="861"/>
      <c r="P5" s="3384"/>
      <c r="Q5" s="3385"/>
      <c r="R5" s="3390"/>
      <c r="S5" s="3391"/>
      <c r="T5" s="3390"/>
      <c r="U5" s="3391"/>
      <c r="V5" s="3366"/>
      <c r="W5" s="3366"/>
      <c r="X5" s="1265"/>
      <c r="Y5" s="3390"/>
      <c r="Z5" s="3391"/>
      <c r="AA5" s="3376"/>
      <c r="AB5" s="3376"/>
      <c r="AC5" s="3376"/>
    </row>
    <row r="6" spans="1:29" ht="15.75" thickBot="1">
      <c r="A6" s="350"/>
      <c r="B6" s="351"/>
      <c r="C6" s="3394" t="s">
        <v>1673</v>
      </c>
      <c r="D6" s="3395"/>
      <c r="E6" s="3401" t="s">
        <v>1673</v>
      </c>
      <c r="F6" s="3402"/>
      <c r="G6" s="3394" t="s">
        <v>1673</v>
      </c>
      <c r="H6" s="3395"/>
      <c r="I6" s="3394" t="s">
        <v>1673</v>
      </c>
      <c r="J6" s="3395"/>
      <c r="K6" s="537" t="s">
        <v>1674</v>
      </c>
      <c r="L6" s="860"/>
      <c r="M6" s="861"/>
      <c r="N6" s="861"/>
      <c r="O6" s="861"/>
      <c r="P6" s="3386"/>
      <c r="Q6" s="3387"/>
      <c r="R6" s="3390"/>
      <c r="S6" s="3391"/>
      <c r="T6" s="3392"/>
      <c r="U6" s="3393"/>
      <c r="V6" s="3366"/>
      <c r="W6" s="3366"/>
      <c r="X6" s="1265"/>
      <c r="Y6" s="3392"/>
      <c r="Z6" s="3393"/>
      <c r="AA6" s="3377"/>
      <c r="AB6" s="3377"/>
      <c r="AC6" s="3377"/>
    </row>
    <row r="7" spans="1:29" s="102" customFormat="1" ht="15.75" thickBot="1">
      <c r="A7" s="352" t="s">
        <v>1675</v>
      </c>
      <c r="B7" s="353"/>
      <c r="C7" s="354">
        <f>'数据-取费表'!B2</f>
        <v>45786</v>
      </c>
      <c r="D7" s="355">
        <v>100</v>
      </c>
      <c r="E7" s="356">
        <f>C7</f>
        <v>45786</v>
      </c>
      <c r="F7" s="357">
        <f>SUMIF(52:52,YEAR(E7)&amp;"-"&amp;MONTH(E7),53:53)</f>
        <v>100</v>
      </c>
      <c r="G7" s="356">
        <f>C7</f>
        <v>45786</v>
      </c>
      <c r="H7" s="355">
        <f>SUMIF(52:52,YEAR(G7)&amp;"-"&amp;MONTH(G7),53:53)</f>
        <v>100</v>
      </c>
      <c r="I7" s="356">
        <f>C7</f>
        <v>45786</v>
      </c>
      <c r="J7" s="355">
        <f>SUMIF(52:52,YEAR(I7)&amp;"-"&amp;MONTH(I7),53:53)</f>
        <v>100</v>
      </c>
      <c r="K7" s="38"/>
      <c r="L7" s="862"/>
      <c r="M7" s="863"/>
      <c r="N7" s="863"/>
      <c r="O7" s="863"/>
      <c r="P7" s="3398" t="s">
        <v>1676</v>
      </c>
      <c r="Q7" s="3400"/>
      <c r="R7" s="664" t="s">
        <v>14</v>
      </c>
      <c r="S7" s="665">
        <f t="shared" ref="S7:S15" si="0">F7</f>
        <v>100</v>
      </c>
      <c r="T7" s="664" t="s">
        <v>14</v>
      </c>
      <c r="U7" s="665">
        <f t="shared" ref="U7:U15" si="1">H7</f>
        <v>100</v>
      </c>
      <c r="V7" s="664" t="s">
        <v>14</v>
      </c>
      <c r="W7" s="665">
        <f t="shared" ref="W7:W15" si="2">J7</f>
        <v>100</v>
      </c>
      <c r="X7" s="666"/>
      <c r="Y7" s="3398" t="s">
        <v>1676</v>
      </c>
      <c r="Z7" s="3399"/>
      <c r="AA7" s="50">
        <f>D7/F7</f>
        <v>1</v>
      </c>
      <c r="AB7" s="50">
        <f>D7/H7</f>
        <v>1</v>
      </c>
      <c r="AC7" s="50">
        <f>D7/J7</f>
        <v>1</v>
      </c>
    </row>
    <row r="8" spans="1:29" s="102" customFormat="1" ht="15.75" thickBot="1">
      <c r="A8" s="352" t="s">
        <v>1677</v>
      </c>
      <c r="B8" s="353"/>
      <c r="C8" s="358" t="s">
        <v>3448</v>
      </c>
      <c r="D8" s="355">
        <v>100</v>
      </c>
      <c r="E8" s="358" t="s">
        <v>3446</v>
      </c>
      <c r="F8" s="357">
        <f>SUMIF(55:55,E8,56:56)-SUMIF(55:55,C8,56:56)+100</f>
        <v>105</v>
      </c>
      <c r="G8" s="358" t="s">
        <v>3446</v>
      </c>
      <c r="H8" s="355">
        <f>SUMIF(55:55,G8,56:56)-SUMIF(55:55,C8,56:56)+100</f>
        <v>105</v>
      </c>
      <c r="I8" s="358" t="s">
        <v>3446</v>
      </c>
      <c r="J8" s="355">
        <f>SUMIF(55:55,I8,56:56)-SUMIF(55:55,C8,56:56)+100</f>
        <v>105</v>
      </c>
      <c r="K8" s="38"/>
      <c r="L8" s="862"/>
      <c r="M8" s="863"/>
      <c r="N8" s="863"/>
      <c r="O8" s="863"/>
      <c r="P8" s="3398" t="s">
        <v>1679</v>
      </c>
      <c r="Q8" s="3399"/>
      <c r="R8" s="664" t="s">
        <v>14</v>
      </c>
      <c r="S8" s="665">
        <f t="shared" si="0"/>
        <v>105</v>
      </c>
      <c r="T8" s="664" t="s">
        <v>14</v>
      </c>
      <c r="U8" s="665">
        <f t="shared" si="1"/>
        <v>105</v>
      </c>
      <c r="V8" s="664" t="s">
        <v>14</v>
      </c>
      <c r="W8" s="665">
        <f t="shared" si="2"/>
        <v>105</v>
      </c>
      <c r="X8" s="666"/>
      <c r="Y8" s="3398" t="s">
        <v>1679</v>
      </c>
      <c r="Z8" s="3399"/>
      <c r="AA8" s="50">
        <f t="shared" ref="AA8:AA40" si="3">D8/F8</f>
        <v>0.95238095238095233</v>
      </c>
      <c r="AB8" s="50">
        <f t="shared" ref="AB8:AB40" si="4">D8/H8</f>
        <v>0.95238095238095233</v>
      </c>
      <c r="AC8" s="50">
        <f t="shared" ref="AC8:AC40" si="5">D8/J8</f>
        <v>0.95238095238095233</v>
      </c>
    </row>
    <row r="9" spans="1:29" s="102" customFormat="1">
      <c r="A9" s="359" t="s">
        <v>1680</v>
      </c>
      <c r="B9" s="60" t="s">
        <v>1681</v>
      </c>
      <c r="C9" s="3168" t="s">
        <v>3449</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5" t="s">
        <v>1682</v>
      </c>
      <c r="Q9" s="530" t="str">
        <f t="shared" ref="Q9:Q15" si="6">B9</f>
        <v>用途</v>
      </c>
      <c r="R9" s="664" t="s">
        <v>14</v>
      </c>
      <c r="S9" s="665">
        <f t="shared" si="0"/>
        <v>100</v>
      </c>
      <c r="T9" s="664" t="s">
        <v>14</v>
      </c>
      <c r="U9" s="665">
        <f t="shared" si="1"/>
        <v>100</v>
      </c>
      <c r="V9" s="664" t="s">
        <v>14</v>
      </c>
      <c r="W9" s="665">
        <f t="shared" si="2"/>
        <v>100</v>
      </c>
      <c r="X9" s="666"/>
      <c r="Y9" s="3269" t="s">
        <v>1683</v>
      </c>
      <c r="Z9" s="50" t="str">
        <f t="shared" ref="Z9:Z15" si="7">Q9</f>
        <v>用途</v>
      </c>
      <c r="AA9" s="50">
        <f t="shared" si="3"/>
        <v>1</v>
      </c>
      <c r="AB9" s="50">
        <f t="shared" si="4"/>
        <v>1</v>
      </c>
      <c r="AC9" s="50">
        <f t="shared" si="5"/>
        <v>1</v>
      </c>
    </row>
    <row r="10" spans="1:29" s="366" customFormat="1" ht="27">
      <c r="A10" s="363"/>
      <c r="B10" s="364" t="s">
        <v>1684</v>
      </c>
      <c r="C10" s="3132" t="str">
        <f>E59</f>
        <v>30（含）~20</v>
      </c>
      <c r="D10" s="119">
        <v>100</v>
      </c>
      <c r="E10" s="3132" t="str">
        <f>D59</f>
        <v>40（含）~30</v>
      </c>
      <c r="F10" s="119">
        <f>SUMIF(59:59,E10,60:60)-SUMIF(59:59,C10,60:60)+100</f>
        <v>103</v>
      </c>
      <c r="G10" s="3133" t="str">
        <f>D59</f>
        <v>40（含）~30</v>
      </c>
      <c r="H10" s="119">
        <f>SUMIF(59:59,G10,60:60)-SUMIF(59:59,C10,60:60)+100</f>
        <v>103</v>
      </c>
      <c r="I10" s="3132" t="str">
        <f>C10</f>
        <v>30（含）~20</v>
      </c>
      <c r="J10" s="119">
        <f>SUMIF(59:59,I10,60:60)-SUMIF(59:59,C10,60:60)+100</f>
        <v>100</v>
      </c>
      <c r="K10" s="38"/>
      <c r="L10" s="865"/>
      <c r="M10" s="866"/>
      <c r="N10" s="866"/>
      <c r="O10" s="867"/>
      <c r="P10" s="3365"/>
      <c r="Q10" s="530" t="str">
        <f t="shared" si="6"/>
        <v>土地使用年限（年）</v>
      </c>
      <c r="R10" s="664" t="s">
        <v>14</v>
      </c>
      <c r="S10" s="665">
        <f t="shared" si="0"/>
        <v>103</v>
      </c>
      <c r="T10" s="664" t="s">
        <v>14</v>
      </c>
      <c r="U10" s="665">
        <f t="shared" si="1"/>
        <v>103</v>
      </c>
      <c r="V10" s="664" t="s">
        <v>14</v>
      </c>
      <c r="W10" s="665">
        <f t="shared" si="2"/>
        <v>100</v>
      </c>
      <c r="X10" s="666"/>
      <c r="Y10" s="3269"/>
      <c r="Z10" s="50" t="str">
        <f t="shared" si="7"/>
        <v>土地使用年限（年）</v>
      </c>
      <c r="AA10" s="50">
        <f t="shared" si="3"/>
        <v>0.970873786407767</v>
      </c>
      <c r="AB10" s="50">
        <f t="shared" si="4"/>
        <v>0.970873786407767</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3179" t="s">
        <v>3498</v>
      </c>
      <c r="C12" s="3178" t="s">
        <v>3496</v>
      </c>
      <c r="D12" s="372">
        <v>100</v>
      </c>
      <c r="E12" s="3178" t="s">
        <v>3496</v>
      </c>
      <c r="F12" s="119">
        <f>SUMIF(64:64,E12,65:65)-SUMIF(64:64,C12,65:65)+100</f>
        <v>100</v>
      </c>
      <c r="G12" s="3178" t="s">
        <v>3497</v>
      </c>
      <c r="H12" s="119">
        <f>SUMIF(64:64,G12,65:65)-SUMIF(64:64,C12,65:65)+100</f>
        <v>105</v>
      </c>
      <c r="I12" s="3178" t="s">
        <v>3496</v>
      </c>
      <c r="J12" s="119">
        <f>SUMIF(64:64,I12,65:65)-SUMIF(64:64,C12,65:65)+100</f>
        <v>100</v>
      </c>
      <c r="K12" s="539"/>
      <c r="L12" s="862"/>
      <c r="M12" s="863"/>
      <c r="N12" s="863"/>
      <c r="O12" s="864"/>
      <c r="P12" s="3365"/>
      <c r="Q12" s="530" t="str">
        <f t="shared" si="6"/>
        <v>销售类型</v>
      </c>
      <c r="R12" s="664" t="s">
        <v>14</v>
      </c>
      <c r="S12" s="665">
        <f t="shared" si="0"/>
        <v>100</v>
      </c>
      <c r="T12" s="664" t="s">
        <v>14</v>
      </c>
      <c r="U12" s="665">
        <f t="shared" si="1"/>
        <v>105</v>
      </c>
      <c r="V12" s="664" t="s">
        <v>14</v>
      </c>
      <c r="W12" s="665">
        <f t="shared" si="2"/>
        <v>100</v>
      </c>
      <c r="X12" s="666"/>
      <c r="Y12" s="3269"/>
      <c r="Z12" s="50" t="str">
        <f t="shared" si="7"/>
        <v>销售类型</v>
      </c>
      <c r="AA12" s="50">
        <f>D12/F12</f>
        <v>1</v>
      </c>
      <c r="AB12" s="50">
        <f>D12/H12</f>
        <v>0.95238095238095233</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1686</v>
      </c>
      <c r="B15" s="58" t="s">
        <v>1823</v>
      </c>
      <c r="C15" s="1819" t="str">
        <f>估价对象房地状况!G3</f>
        <v>估价对象位于XX开发区，园区建设成熟度XX，产业集聚程度XX</v>
      </c>
      <c r="D15" s="380">
        <v>100</v>
      </c>
      <c r="E15" s="381"/>
      <c r="F15" s="382">
        <f>SUMIF(70:70,E16,71:71)-SUMIF(70:70,C16,71:71)+100</f>
        <v>102</v>
      </c>
      <c r="G15" s="383"/>
      <c r="H15" s="380">
        <f>SUMIF(70:70,G16,71:71)-SUMIF(70:70,C16,71:71)+100</f>
        <v>102</v>
      </c>
      <c r="I15" s="381"/>
      <c r="J15" s="380">
        <f>SUMIF(70:70,I16,71:71)-SUMIF(70:70,C16,71:71)+100</f>
        <v>100</v>
      </c>
      <c r="K15" s="540">
        <v>2</v>
      </c>
      <c r="L15" s="870"/>
      <c r="M15" s="861"/>
      <c r="N15" s="861"/>
      <c r="O15" s="869"/>
      <c r="P15" s="3370" t="s">
        <v>1687</v>
      </c>
      <c r="Q15" s="1263" t="str">
        <f t="shared" si="6"/>
        <v>产业集聚程度</v>
      </c>
      <c r="R15" s="667" t="s">
        <v>14</v>
      </c>
      <c r="S15" s="668">
        <f t="shared" si="0"/>
        <v>102</v>
      </c>
      <c r="T15" s="667" t="s">
        <v>14</v>
      </c>
      <c r="U15" s="668">
        <f t="shared" si="1"/>
        <v>102</v>
      </c>
      <c r="V15" s="667" t="s">
        <v>14</v>
      </c>
      <c r="W15" s="668">
        <f t="shared" si="2"/>
        <v>100</v>
      </c>
      <c r="X15" s="1265"/>
      <c r="Y15" s="3370" t="s">
        <v>1687</v>
      </c>
      <c r="Z15" s="1264" t="str">
        <f t="shared" si="7"/>
        <v>产业集聚程度</v>
      </c>
      <c r="AA15" s="1264">
        <f t="shared" si="3"/>
        <v>0.98039215686274506</v>
      </c>
      <c r="AB15" s="1264">
        <f t="shared" si="4"/>
        <v>0.98039215686274506</v>
      </c>
      <c r="AC15" s="1264">
        <f t="shared" si="5"/>
        <v>1</v>
      </c>
    </row>
    <row r="16" spans="1:29" ht="15">
      <c r="A16" s="367"/>
      <c r="B16" s="385"/>
      <c r="C16" s="386" t="s">
        <v>3465</v>
      </c>
      <c r="D16" s="387"/>
      <c r="E16" s="386" t="s">
        <v>3485</v>
      </c>
      <c r="F16" s="388"/>
      <c r="G16" s="386" t="s">
        <v>3485</v>
      </c>
      <c r="H16" s="389"/>
      <c r="I16" s="386" t="s">
        <v>3465</v>
      </c>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1255</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t="s">
        <v>3464</v>
      </c>
      <c r="D18" s="389"/>
      <c r="E18" s="1755" t="s">
        <v>3464</v>
      </c>
      <c r="F18" s="392"/>
      <c r="G18" s="1755" t="s">
        <v>3464</v>
      </c>
      <c r="H18" s="387"/>
      <c r="I18" s="1755" t="s">
        <v>3464</v>
      </c>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1808</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t="s">
        <v>3466</v>
      </c>
      <c r="D20" s="387"/>
      <c r="E20" s="386" t="s">
        <v>3466</v>
      </c>
      <c r="F20" s="388"/>
      <c r="G20" s="386" t="s">
        <v>3466</v>
      </c>
      <c r="H20" s="387"/>
      <c r="I20" s="386" t="s">
        <v>3466</v>
      </c>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1809</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t="s">
        <v>3441</v>
      </c>
      <c r="D22" s="387"/>
      <c r="E22" s="1755" t="s">
        <v>3441</v>
      </c>
      <c r="F22" s="388"/>
      <c r="G22" s="1755" t="s">
        <v>3441</v>
      </c>
      <c r="H22" s="387"/>
      <c r="I22" s="1755" t="s">
        <v>3441</v>
      </c>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1810</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t="s">
        <v>3465</v>
      </c>
      <c r="D24" s="387"/>
      <c r="E24" s="386" t="s">
        <v>3465</v>
      </c>
      <c r="F24" s="388"/>
      <c r="G24" s="386" t="s">
        <v>3465</v>
      </c>
      <c r="H24" s="387"/>
      <c r="I24" s="386" t="s">
        <v>3465</v>
      </c>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1690</v>
      </c>
      <c r="B29" s="60" t="s">
        <v>1813</v>
      </c>
      <c r="C29" s="1764" t="s">
        <v>3494</v>
      </c>
      <c r="D29" s="405">
        <v>100</v>
      </c>
      <c r="E29" s="1764" t="s">
        <v>3494</v>
      </c>
      <c r="F29" s="400">
        <f>SUMIF(88:88,E29,89:89)-SUMIF(88:88,C29,89:89)+100</f>
        <v>100</v>
      </c>
      <c r="G29" s="1764" t="s">
        <v>3494</v>
      </c>
      <c r="H29" s="374">
        <f>SUMIF(88:88,G29,89:89)-SUMIF(88:88,C29,89:89)+100</f>
        <v>100</v>
      </c>
      <c r="I29" s="1764" t="s">
        <v>3494</v>
      </c>
      <c r="J29" s="405">
        <f>SUMIF(88:88,I29,89:89)-SUMIF(88:88,C29,89:89)+100</f>
        <v>100</v>
      </c>
      <c r="K29" s="538">
        <v>2</v>
      </c>
      <c r="L29" s="870"/>
      <c r="M29" s="861"/>
      <c r="N29" s="861"/>
      <c r="O29" s="869"/>
      <c r="P29" s="3372" t="s">
        <v>1692</v>
      </c>
      <c r="Q29" s="1263" t="str">
        <f t="shared" si="11"/>
        <v>建筑类型</v>
      </c>
      <c r="R29" s="667" t="s">
        <v>14</v>
      </c>
      <c r="S29" s="668">
        <f t="shared" si="12"/>
        <v>100</v>
      </c>
      <c r="T29" s="667" t="s">
        <v>14</v>
      </c>
      <c r="U29" s="668">
        <f t="shared" si="13"/>
        <v>100</v>
      </c>
      <c r="V29" s="667" t="s">
        <v>14</v>
      </c>
      <c r="W29" s="668">
        <f t="shared" si="14"/>
        <v>100</v>
      </c>
      <c r="X29" s="1265"/>
      <c r="Y29" s="3373" t="s">
        <v>1692</v>
      </c>
      <c r="Z29" s="1264" t="str">
        <f t="shared" si="15"/>
        <v>建筑类型</v>
      </c>
      <c r="AA29" s="1264">
        <f t="shared" si="3"/>
        <v>1</v>
      </c>
      <c r="AB29" s="1264">
        <f t="shared" si="4"/>
        <v>1</v>
      </c>
      <c r="AC29" s="1264">
        <f t="shared" si="5"/>
        <v>1</v>
      </c>
    </row>
    <row r="30" spans="1:29" s="408" customFormat="1" ht="15">
      <c r="A30" s="406"/>
      <c r="B30" s="364" t="s">
        <v>1693</v>
      </c>
      <c r="C30" s="407">
        <f>'数据-汇总表'!F19</f>
        <v>491.32</v>
      </c>
      <c r="D30" s="119">
        <v>100</v>
      </c>
      <c r="E30" s="369">
        <v>630</v>
      </c>
      <c r="F30" s="364">
        <f>LOOKUP(E30,91:91,92:92)-LOOKUP(C30,91:91,92:92)+100</f>
        <v>99</v>
      </c>
      <c r="G30" s="368">
        <v>1336</v>
      </c>
      <c r="H30" s="119">
        <f>LOOKUP(G30,91:91,92:92)-LOOKUP(C30,91:91,92:92)+100</f>
        <v>98</v>
      </c>
      <c r="I30" s="368">
        <v>330</v>
      </c>
      <c r="J30" s="119">
        <f>LOOKUP(I30,91:91,92:92)-LOOKUP(C30,91:91,92:92)+100</f>
        <v>100</v>
      </c>
      <c r="K30" s="539"/>
      <c r="L30" s="868"/>
      <c r="M30" s="871"/>
      <c r="N30" s="871"/>
      <c r="O30" s="872"/>
      <c r="P30" s="3373"/>
      <c r="Q30" s="531" t="str">
        <f t="shared" si="11"/>
        <v>项目建筑规模</v>
      </c>
      <c r="R30" s="669" t="s">
        <v>14</v>
      </c>
      <c r="S30" s="670">
        <f t="shared" si="12"/>
        <v>99</v>
      </c>
      <c r="T30" s="669" t="s">
        <v>14</v>
      </c>
      <c r="U30" s="670">
        <f t="shared" si="13"/>
        <v>98</v>
      </c>
      <c r="V30" s="669" t="s">
        <v>14</v>
      </c>
      <c r="W30" s="670">
        <f t="shared" si="14"/>
        <v>100</v>
      </c>
      <c r="X30" s="671"/>
      <c r="Y30" s="3373"/>
      <c r="Z30" s="672" t="str">
        <f t="shared" si="15"/>
        <v>项目建筑规模</v>
      </c>
      <c r="AA30" s="1264">
        <f t="shared" si="3"/>
        <v>1.0101010101010102</v>
      </c>
      <c r="AB30" s="1264">
        <f t="shared" si="4"/>
        <v>1.0204081632653061</v>
      </c>
      <c r="AC30" s="1264">
        <f t="shared" si="5"/>
        <v>1</v>
      </c>
    </row>
    <row r="31" spans="1:29" ht="15">
      <c r="A31" s="409"/>
      <c r="B31" s="364" t="s">
        <v>1694</v>
      </c>
      <c r="C31" s="399" t="s">
        <v>3421</v>
      </c>
      <c r="D31" s="374">
        <v>100</v>
      </c>
      <c r="E31" s="399" t="s">
        <v>3421</v>
      </c>
      <c r="F31" s="400">
        <f>SUMIF(93:93,E31,94:94)-SUMIF(93:93,C31,94:94)+100</f>
        <v>100</v>
      </c>
      <c r="G31" s="399" t="s">
        <v>3421</v>
      </c>
      <c r="H31" s="374">
        <f>SUMIF(93:93,G31,94:94)-SUMIF(93:93,C31,94:94)+100</f>
        <v>100</v>
      </c>
      <c r="I31" s="399" t="s">
        <v>3421</v>
      </c>
      <c r="J31" s="374">
        <f>SUMIF(93:93,I31,94:94)-SUMIF(93:93,C31,94:94)+100</f>
        <v>100</v>
      </c>
      <c r="K31" s="538">
        <v>1</v>
      </c>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1781</v>
      </c>
      <c r="C32" s="399" t="s">
        <v>3432</v>
      </c>
      <c r="D32" s="374">
        <v>100</v>
      </c>
      <c r="E32" s="399" t="s">
        <v>3432</v>
      </c>
      <c r="F32" s="400">
        <f>SUMIF(95:95,E32,96:96)-SUMIF(95:95,C32,96:96)+100</f>
        <v>100</v>
      </c>
      <c r="G32" s="399" t="s">
        <v>3432</v>
      </c>
      <c r="H32" s="374">
        <f>SUMIF(95:95,G32,96:96)-SUMIF(95:95,C32,96:96)+100</f>
        <v>100</v>
      </c>
      <c r="I32" s="399" t="s">
        <v>3432</v>
      </c>
      <c r="J32" s="374">
        <f>SUMIF(95:95,I32,96:96)-SUMIF(95:95,C32,96:96)+100</f>
        <v>100</v>
      </c>
      <c r="K32" s="538">
        <v>1</v>
      </c>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1782</v>
      </c>
      <c r="C33" s="3163">
        <f>'数据-取费表'!N6</f>
        <v>0.88</v>
      </c>
      <c r="D33" s="374">
        <v>100</v>
      </c>
      <c r="E33" s="411">
        <v>0.78</v>
      </c>
      <c r="F33" s="400">
        <f>LOOKUP(E33,98:98,99:99)-LOOKUP(C33,98:98,99:99)+100</f>
        <v>99</v>
      </c>
      <c r="G33" s="411">
        <v>0.78</v>
      </c>
      <c r="H33" s="400">
        <f>LOOKUP(G33,98:98,99:99)-LOOKUP(C33,98:98,99:99)+100</f>
        <v>99</v>
      </c>
      <c r="I33" s="411">
        <v>0.88</v>
      </c>
      <c r="J33" s="374">
        <f>LOOKUP(I33,98:98,99:99)-LOOKUP(C33,98:98,99:99)+100</f>
        <v>100</v>
      </c>
      <c r="K33" s="538">
        <v>1</v>
      </c>
      <c r="L33" s="870"/>
      <c r="M33" s="861"/>
      <c r="N33" s="861"/>
      <c r="O33" s="869"/>
      <c r="P33" s="3373"/>
      <c r="Q33" s="1263" t="str">
        <f t="shared" si="11"/>
        <v>成新度</v>
      </c>
      <c r="R33" s="667" t="s">
        <v>14</v>
      </c>
      <c r="S33" s="668">
        <f t="shared" si="12"/>
        <v>99</v>
      </c>
      <c r="T33" s="667" t="s">
        <v>14</v>
      </c>
      <c r="U33" s="668">
        <f t="shared" si="13"/>
        <v>99</v>
      </c>
      <c r="V33" s="667" t="s">
        <v>14</v>
      </c>
      <c r="W33" s="668">
        <f t="shared" si="14"/>
        <v>100</v>
      </c>
      <c r="X33" s="1265"/>
      <c r="Y33" s="3373"/>
      <c r="Z33" s="1264" t="str">
        <f t="shared" si="15"/>
        <v>成新度</v>
      </c>
      <c r="AA33" s="1264">
        <f t="shared" si="3"/>
        <v>1.0101010101010102</v>
      </c>
      <c r="AB33" s="1264">
        <f t="shared" si="4"/>
        <v>1.0101010101010102</v>
      </c>
      <c r="AC33" s="1264">
        <f t="shared" si="5"/>
        <v>1</v>
      </c>
    </row>
    <row r="34" spans="1:29" s="102" customFormat="1" ht="15">
      <c r="A34" s="410"/>
      <c r="B34" s="364" t="s">
        <v>1815</v>
      </c>
      <c r="C34" s="399" t="s">
        <v>3438</v>
      </c>
      <c r="D34" s="119">
        <v>100</v>
      </c>
      <c r="E34" s="399" t="s">
        <v>3438</v>
      </c>
      <c r="F34" s="400">
        <f>SUMIF(100:100,E34,101:101)-SUMIF(100:100,C34,101:101)+100</f>
        <v>100</v>
      </c>
      <c r="G34" s="399" t="s">
        <v>3438</v>
      </c>
      <c r="H34" s="374">
        <f>SUMIF(100:100,G34,101:101)-SUMIF(100:100,C34,101:101)+100</f>
        <v>100</v>
      </c>
      <c r="I34" s="399" t="s">
        <v>3438</v>
      </c>
      <c r="J34" s="374">
        <f>SUMIF(100:100,I34,101:101)-SUMIF(100:100,C34,101:101)+100</f>
        <v>100</v>
      </c>
      <c r="K34" s="538">
        <v>1</v>
      </c>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1783</v>
      </c>
      <c r="C35" s="399" t="s">
        <v>3444</v>
      </c>
      <c r="D35" s="374">
        <v>100</v>
      </c>
      <c r="E35" s="399" t="s">
        <v>3444</v>
      </c>
      <c r="F35" s="400">
        <f>SUMIF(102:102,E35,103:103)-SUMIF(102:102,C35,103:103)+100</f>
        <v>100</v>
      </c>
      <c r="G35" s="399" t="s">
        <v>3444</v>
      </c>
      <c r="H35" s="374">
        <f>SUMIF(102:102,G35,103:103)-SUMIF(102:102,C35,103:103)+100</f>
        <v>100</v>
      </c>
      <c r="I35" s="399" t="s">
        <v>3444</v>
      </c>
      <c r="J35" s="374">
        <f>SUMIF(102:102,I35,103:103)-SUMIF(102:102,C35,103:103)+100</f>
        <v>100</v>
      </c>
      <c r="K35" s="538">
        <v>1</v>
      </c>
      <c r="L35" s="870"/>
      <c r="M35" s="861"/>
      <c r="N35" s="861"/>
      <c r="O35" s="869"/>
      <c r="P35" s="3373" t="s">
        <v>1692</v>
      </c>
      <c r="Q35" s="1263" t="str">
        <f t="shared" si="11"/>
        <v>市政基础设施</v>
      </c>
      <c r="R35" s="667" t="s">
        <v>14</v>
      </c>
      <c r="S35" s="668">
        <f t="shared" si="12"/>
        <v>100</v>
      </c>
      <c r="T35" s="667" t="s">
        <v>14</v>
      </c>
      <c r="U35" s="668">
        <f t="shared" si="13"/>
        <v>100</v>
      </c>
      <c r="V35" s="667" t="s">
        <v>14</v>
      </c>
      <c r="W35" s="668">
        <f t="shared" si="14"/>
        <v>100</v>
      </c>
      <c r="X35" s="1265"/>
      <c r="Y35" s="3373" t="s">
        <v>1692</v>
      </c>
      <c r="Z35" s="1264" t="str">
        <f t="shared" si="15"/>
        <v>市政基础设施</v>
      </c>
      <c r="AA35" s="1264">
        <f t="shared" si="3"/>
        <v>1</v>
      </c>
      <c r="AB35" s="1264">
        <f t="shared" si="4"/>
        <v>1</v>
      </c>
      <c r="AC35" s="1264">
        <f t="shared" si="5"/>
        <v>1</v>
      </c>
    </row>
    <row r="36" spans="1:29" ht="15">
      <c r="A36" s="409"/>
      <c r="B36" s="364" t="s">
        <v>1788</v>
      </c>
      <c r="C36" s="399" t="s">
        <v>3432</v>
      </c>
      <c r="D36" s="374">
        <v>100</v>
      </c>
      <c r="E36" s="399" t="s">
        <v>3434</v>
      </c>
      <c r="F36" s="400">
        <f>SUMIF(104:104,E36,105:105)-SUMIF(104:104,C36,105:105)+100</f>
        <v>98</v>
      </c>
      <c r="G36" s="399" t="s">
        <v>3432</v>
      </c>
      <c r="H36" s="374">
        <f>SUMIF(104:104,G36,105:105)-SUMIF(104:104,C36,105:105)+100</f>
        <v>100</v>
      </c>
      <c r="I36" s="399" t="s">
        <v>3434</v>
      </c>
      <c r="J36" s="374">
        <f>SUMIF(104:104,I36,105:105)-SUMIF(104:104,C36,105:105)+100</f>
        <v>98</v>
      </c>
      <c r="K36" s="538">
        <v>2</v>
      </c>
      <c r="L36" s="870"/>
      <c r="M36" s="861"/>
      <c r="N36" s="861"/>
      <c r="O36" s="869"/>
      <c r="P36" s="3373"/>
      <c r="Q36" s="1263" t="str">
        <f t="shared" si="11"/>
        <v>内部装修</v>
      </c>
      <c r="R36" s="667" t="s">
        <v>14</v>
      </c>
      <c r="S36" s="668">
        <f t="shared" si="12"/>
        <v>98</v>
      </c>
      <c r="T36" s="667" t="s">
        <v>14</v>
      </c>
      <c r="U36" s="668">
        <f t="shared" si="13"/>
        <v>100</v>
      </c>
      <c r="V36" s="667" t="s">
        <v>14</v>
      </c>
      <c r="W36" s="668">
        <f t="shared" si="14"/>
        <v>98</v>
      </c>
      <c r="X36" s="1265"/>
      <c r="Y36" s="3373"/>
      <c r="Z36" s="1264" t="str">
        <f t="shared" si="15"/>
        <v>内部装修</v>
      </c>
      <c r="AA36" s="1264">
        <f t="shared" si="3"/>
        <v>1.0204081632653061</v>
      </c>
      <c r="AB36" s="1264">
        <f t="shared" si="4"/>
        <v>1</v>
      </c>
      <c r="AC36" s="1264">
        <f t="shared" si="5"/>
        <v>1.0204081632653061</v>
      </c>
    </row>
    <row r="37" spans="1:29" ht="15">
      <c r="A37" s="409"/>
      <c r="B37" s="364" t="s">
        <v>1824</v>
      </c>
      <c r="C37" s="542" t="s">
        <v>3465</v>
      </c>
      <c r="D37" s="374">
        <v>100</v>
      </c>
      <c r="E37" s="542" t="s">
        <v>3465</v>
      </c>
      <c r="F37" s="400">
        <f>SUMIF(106:106,E37,107:107)-SUMIF(106:106,C37,107:107)+100</f>
        <v>100</v>
      </c>
      <c r="G37" s="542" t="s">
        <v>3465</v>
      </c>
      <c r="H37" s="374">
        <f>SUMIF(106:106,G37,107:107)-SUMIF(106:106,C37,107:107)+100</f>
        <v>100</v>
      </c>
      <c r="I37" s="542" t="s">
        <v>3465</v>
      </c>
      <c r="J37" s="374">
        <f>SUMIF(106:106,I37,107:107)-SUMIF(106:106,C37,107:107)+100</f>
        <v>100</v>
      </c>
      <c r="K37" s="538">
        <v>1</v>
      </c>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3169" t="s">
        <v>3451</v>
      </c>
      <c r="C38" s="3171" t="s">
        <v>3499</v>
      </c>
      <c r="D38" s="374">
        <v>100</v>
      </c>
      <c r="E38" s="3172" t="s">
        <v>3454</v>
      </c>
      <c r="F38" s="400">
        <f>SUMIF(108:108,E38,109:109)-SUMIF(108:108,C38,109:109)+100</f>
        <v>80</v>
      </c>
      <c r="G38" s="3172" t="s">
        <v>3454</v>
      </c>
      <c r="H38" s="374">
        <f>SUMIF(108:108,G38,109:109)-SUMIF(108:108,C38,109:109)+100</f>
        <v>80</v>
      </c>
      <c r="I38" s="3172" t="s">
        <v>3454</v>
      </c>
      <c r="J38" s="374">
        <f>SUMIF(108:108,I38,109:1038)-SUMIF(108:108,C38,109:109)+100</f>
        <v>80</v>
      </c>
      <c r="K38" s="539"/>
      <c r="L38" s="868"/>
      <c r="M38" s="871"/>
      <c r="N38" s="871"/>
      <c r="O38" s="872"/>
      <c r="P38" s="3373"/>
      <c r="Q38" s="531" t="str">
        <f t="shared" si="11"/>
        <v>层高</v>
      </c>
      <c r="R38" s="669" t="s">
        <v>14</v>
      </c>
      <c r="S38" s="670">
        <f t="shared" si="12"/>
        <v>80</v>
      </c>
      <c r="T38" s="669" t="s">
        <v>14</v>
      </c>
      <c r="U38" s="670">
        <f t="shared" si="13"/>
        <v>80</v>
      </c>
      <c r="V38" s="669" t="s">
        <v>14</v>
      </c>
      <c r="W38" s="670">
        <f t="shared" si="14"/>
        <v>80</v>
      </c>
      <c r="X38" s="671"/>
      <c r="Y38" s="3373"/>
      <c r="Z38" s="672" t="str">
        <f t="shared" si="15"/>
        <v>层高</v>
      </c>
      <c r="AA38" s="1264">
        <f t="shared" si="3"/>
        <v>1.25</v>
      </c>
      <c r="AB38" s="1264">
        <f t="shared" si="4"/>
        <v>1.25</v>
      </c>
      <c r="AC38" s="1264">
        <f t="shared" si="5"/>
        <v>1.25</v>
      </c>
    </row>
    <row r="39" spans="1:29" ht="15">
      <c r="A39" s="409"/>
      <c r="B39" s="1066">
        <v>111</v>
      </c>
      <c r="C39" s="407">
        <v>2018</v>
      </c>
      <c r="D39" s="374">
        <v>100</v>
      </c>
      <c r="E39" s="373">
        <v>2012</v>
      </c>
      <c r="F39" s="400">
        <f>SUMIF(110:110,E39,111:111)-SUMIF(110:110,C39,111:111)+100</f>
        <v>100</v>
      </c>
      <c r="G39" s="407">
        <v>2012</v>
      </c>
      <c r="H39" s="374">
        <f>SUMIF(110:110,G39,111:111)-SUMIF(110:110,C39,111:111)+100</f>
        <v>100</v>
      </c>
      <c r="I39" s="407">
        <v>2018</v>
      </c>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1704</v>
      </c>
      <c r="B41" s="417"/>
      <c r="C41" s="1081" t="s">
        <v>0</v>
      </c>
      <c r="D41" s="418"/>
      <c r="E41" s="419">
        <v>11000</v>
      </c>
      <c r="F41" s="420"/>
      <c r="G41" s="421">
        <v>13000</v>
      </c>
      <c r="H41" s="422"/>
      <c r="I41" s="419">
        <v>12000</v>
      </c>
      <c r="J41" s="422"/>
      <c r="K41" s="674"/>
      <c r="L41" s="873"/>
      <c r="M41" s="861"/>
      <c r="N41" s="861"/>
      <c r="O41" s="861"/>
      <c r="P41" s="3365" t="str">
        <f>A41</f>
        <v>成交单价（元/平方米）</v>
      </c>
      <c r="Q41" s="3365"/>
      <c r="R41" s="3366">
        <f>E41</f>
        <v>11000</v>
      </c>
      <c r="S41" s="3366"/>
      <c r="T41" s="3366">
        <f>G41</f>
        <v>13000</v>
      </c>
      <c r="U41" s="3366"/>
      <c r="V41" s="3366">
        <f>I41</f>
        <v>12000</v>
      </c>
      <c r="W41" s="3366"/>
      <c r="X41" s="385"/>
      <c r="Y41" s="673"/>
      <c r="Z41" s="385"/>
      <c r="AA41" s="385"/>
      <c r="AB41" s="385"/>
      <c r="AC41" s="385"/>
    </row>
    <row r="42" spans="1:29" ht="15.75" thickBot="1">
      <c r="A42" s="423" t="s">
        <v>1789</v>
      </c>
      <c r="B42" s="424"/>
      <c r="C42" s="1082">
        <f>R43</f>
        <v>14005</v>
      </c>
      <c r="D42" s="2141" t="s">
        <v>2132</v>
      </c>
      <c r="E42" s="1083">
        <f>R42</f>
        <v>12977</v>
      </c>
      <c r="F42" s="2142"/>
      <c r="G42" s="1082">
        <f>T42</f>
        <v>14460</v>
      </c>
      <c r="H42" s="2142"/>
      <c r="I42" s="1083">
        <f>V42</f>
        <v>14577</v>
      </c>
      <c r="J42" s="2142"/>
      <c r="K42" s="2144">
        <f>F42+H42+J42</f>
        <v>0</v>
      </c>
      <c r="L42" s="873"/>
      <c r="M42" s="861"/>
      <c r="N42" s="861"/>
      <c r="O42" s="861"/>
      <c r="P42" s="3365" t="str">
        <f>A42</f>
        <v>比较价值（元/平方米）</v>
      </c>
      <c r="Q42" s="3365"/>
      <c r="R42" s="3366">
        <f>IF(F1="售价",ROUND(PRODUCT(R41,AA7:AA40),0),ROUND(PRODUCT(R41,AA7:AA40),1))</f>
        <v>12977</v>
      </c>
      <c r="S42" s="3366"/>
      <c r="T42" s="3366">
        <f>IF(F1="售价",ROUND(PRODUCT(T41,AB7:AB40),0),ROUND(PRODUCT(T41,AB7:AB40),1))</f>
        <v>14460</v>
      </c>
      <c r="U42" s="3366"/>
      <c r="V42" s="3366">
        <f>IF(F1="售价",ROUND(PRODUCT(V41,AC7:AC40),0),ROUND(PRODUCT(V41,AC7:AC40),1))</f>
        <v>14577</v>
      </c>
      <c r="W42" s="3366"/>
      <c r="X42" s="385"/>
      <c r="Y42" s="385"/>
      <c r="Z42" s="385"/>
      <c r="AA42" s="385"/>
      <c r="AB42" s="385"/>
      <c r="AC42" s="385"/>
    </row>
    <row r="43" spans="1:29" ht="15.75" thickBot="1">
      <c r="A43" s="427" t="s">
        <v>1790</v>
      </c>
      <c r="B43" s="428"/>
      <c r="C43" s="351">
        <f>R43</f>
        <v>14005</v>
      </c>
      <c r="D43" s="351"/>
      <c r="E43" s="351"/>
      <c r="F43" s="351"/>
      <c r="G43" s="351"/>
      <c r="H43" s="351"/>
      <c r="I43" s="351"/>
      <c r="J43" s="351"/>
      <c r="K43" s="675"/>
      <c r="L43" s="873"/>
      <c r="M43" s="861"/>
      <c r="N43" s="861"/>
      <c r="O43" s="861"/>
      <c r="P43" s="3367" t="str">
        <f>A43</f>
        <v>估价对象XX用房的比较价值（楼面单价，元/平方米）</v>
      </c>
      <c r="Q43" s="3368"/>
      <c r="R43" s="3369">
        <f>IF(F1="售价",ROUND(IF(D42="简单平均",AVERAGE(R42:V42),R42*F42+T42*H42+V42*J42),0),ROUND(IF(D42="简单平均",AVERAGE(R42:V42),R42*F42+T42*H42+V42*J42),1))</f>
        <v>14005</v>
      </c>
      <c r="S43" s="3369"/>
      <c r="T43" s="3369"/>
      <c r="U43" s="3369"/>
      <c r="V43" s="3369"/>
      <c r="W43" s="336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1791</v>
      </c>
      <c r="D46" s="433"/>
      <c r="E46" s="434">
        <f>IF(E41&lt;E42,E42/E41-1,E41/E42-1)</f>
        <v>0.17972727272727274</v>
      </c>
      <c r="F46" s="435" t="str">
        <f>IF(OR(E46&gt;=0.3,E46&lt;=-0.3),"超过30%","")</f>
        <v/>
      </c>
      <c r="G46" s="434">
        <f>IF(G41&lt;G42,G42/G41-1,G41/G42-1)</f>
        <v>0.11230769230769222</v>
      </c>
      <c r="H46" s="435" t="str">
        <f>IF(OR(G46&gt;=0.3,G46&lt;=-0.3),"超过30%","")</f>
        <v/>
      </c>
      <c r="I46" s="434">
        <f>IF(I41&lt;I42,I42/I41-1,I41/I42-1)</f>
        <v>0.21475</v>
      </c>
      <c r="J46" s="435" t="str">
        <f>IF(OR(I46&gt;=0.3,I46&lt;=-0.3),"超过30%","")</f>
        <v/>
      </c>
      <c r="K46" s="2499"/>
      <c r="L46" s="836"/>
      <c r="M46" s="861"/>
      <c r="N46" s="861"/>
      <c r="O46" s="861"/>
    </row>
    <row r="47" spans="1:29" ht="13.5" customHeight="1">
      <c r="A47" s="2487"/>
      <c r="B47" s="2487"/>
      <c r="C47" s="432" t="s">
        <v>1792</v>
      </c>
      <c r="D47" s="436"/>
      <c r="E47" s="434">
        <f>IF(E42&lt;G42,G42/E42-1,E42/G42-1)</f>
        <v>0.11427910919318784</v>
      </c>
      <c r="F47" s="435" t="str">
        <f>IF(OR(E47&gt;=0.2,E47&lt;=-0.2),"超过20%","")</f>
        <v/>
      </c>
      <c r="G47" s="434">
        <f>IF(G42&lt;I42,I42/G42-1,G42/I42-1)</f>
        <v>8.0912863070539132E-3</v>
      </c>
      <c r="H47" s="435" t="str">
        <f>IF(OR(G47&gt;=0.2,G47&lt;=-0.2),"超过20%","")</f>
        <v/>
      </c>
      <c r="I47" s="434">
        <f>IF(I42&lt;E42,E42/I42-1,I42/E42-1)</f>
        <v>0.12329506049163896</v>
      </c>
      <c r="J47" s="435" t="str">
        <f>IF(OR(I47&gt;=0.2,I47&lt;=-0.2),"超过20%","")</f>
        <v/>
      </c>
      <c r="K47" s="2499"/>
      <c r="L47" s="836"/>
      <c r="M47" s="861"/>
      <c r="N47" s="861"/>
      <c r="O47" s="861"/>
    </row>
    <row r="48" spans="1:29" s="437" customFormat="1" ht="13.5" customHeight="1">
      <c r="A48" s="2497"/>
      <c r="B48" s="2497"/>
      <c r="C48" s="432" t="s">
        <v>1793</v>
      </c>
      <c r="D48" s="436"/>
      <c r="E48" s="434">
        <f>IF(E41&lt;G41,G41/E41-1,E41/G41-1)</f>
        <v>0.18181818181818188</v>
      </c>
      <c r="F48" s="435" t="str">
        <f>IF(OR(E48&gt;=0.3,E48&lt;=-0.3),"超过30%","")</f>
        <v/>
      </c>
      <c r="G48" s="434">
        <f>IF(G41&lt;I41,I41/G41-1,G41/I41-1)</f>
        <v>8.3333333333333259E-2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8"/>
      <c r="O54" s="2539"/>
      <c r="P54" s="439"/>
      <c r="Q54" s="439"/>
    </row>
    <row r="55" spans="1:17" s="102" customFormat="1" ht="15">
      <c r="A55" s="455" t="s">
        <v>1677</v>
      </c>
      <c r="B55" s="444"/>
      <c r="C55" s="456" t="s">
        <v>1772</v>
      </c>
      <c r="D55" s="3167" t="s">
        <v>3447</v>
      </c>
      <c r="E55" s="31"/>
      <c r="F55" s="31"/>
      <c r="G55" s="31"/>
      <c r="H55" s="31"/>
      <c r="I55" s="31"/>
      <c r="J55" s="31"/>
      <c r="K55" s="31"/>
      <c r="L55" s="457"/>
      <c r="M55" s="458"/>
      <c r="N55" s="878"/>
      <c r="O55" s="878"/>
      <c r="P55" s="459"/>
      <c r="Q55" s="439"/>
    </row>
    <row r="56" spans="1:17" s="102" customFormat="1" ht="15.75" thickBot="1">
      <c r="A56" s="455"/>
      <c r="B56" s="444"/>
      <c r="C56" s="563">
        <v>100</v>
      </c>
      <c r="D56" s="446">
        <v>105</v>
      </c>
      <c r="E56" s="446"/>
      <c r="F56" s="446"/>
      <c r="G56" s="446"/>
      <c r="H56" s="446"/>
      <c r="I56" s="446"/>
      <c r="J56" s="446"/>
      <c r="K56" s="446"/>
      <c r="L56" s="446"/>
      <c r="M56" s="448"/>
      <c r="N56" s="878"/>
      <c r="O56" s="878"/>
      <c r="P56" s="439"/>
      <c r="Q56" s="439"/>
    </row>
    <row r="57" spans="1:17">
      <c r="A57" s="379" t="s">
        <v>1715</v>
      </c>
      <c r="B57" s="460" t="s">
        <v>1681</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t="s">
        <v>3486</v>
      </c>
      <c r="D59" s="513" t="s">
        <v>3487</v>
      </c>
      <c r="E59" s="513" t="s">
        <v>3488</v>
      </c>
      <c r="F59" s="513" t="s">
        <v>3489</v>
      </c>
      <c r="G59" s="513" t="s">
        <v>3490</v>
      </c>
      <c r="H59" s="513"/>
      <c r="I59" s="513"/>
      <c r="J59" s="513"/>
      <c r="K59" s="514"/>
      <c r="L59" s="515"/>
      <c r="M59" s="516"/>
      <c r="N59" s="879"/>
      <c r="O59" s="879"/>
      <c r="P59" s="40"/>
      <c r="Q59" s="439"/>
    </row>
    <row r="60" spans="1:17" ht="15.75" thickBot="1">
      <c r="A60" s="367"/>
      <c r="B60" s="474"/>
      <c r="C60" s="467">
        <v>100</v>
      </c>
      <c r="D60" s="467">
        <f>C60-3</f>
        <v>97</v>
      </c>
      <c r="E60" s="467">
        <f t="shared" ref="E60:G60" si="17">D60-3</f>
        <v>94</v>
      </c>
      <c r="F60" s="467">
        <f t="shared" si="17"/>
        <v>91</v>
      </c>
      <c r="G60" s="467">
        <f t="shared" si="17"/>
        <v>88</v>
      </c>
      <c r="H60" s="467"/>
      <c r="I60" s="467"/>
      <c r="J60" s="467"/>
      <c r="K60" s="467"/>
      <c r="L60" s="467"/>
      <c r="M60" s="468"/>
      <c r="N60" s="880"/>
      <c r="O60" s="880"/>
      <c r="P60" s="40"/>
      <c r="Q60" s="439"/>
    </row>
    <row r="61" spans="1:17" ht="15.75" thickTop="1">
      <c r="A61" s="367"/>
      <c r="B61" s="477" t="s">
        <v>1685</v>
      </c>
      <c r="C61" s="478" t="str">
        <f>C62&amp;"（含）"&amp;"-"&amp;D62</f>
        <v>0（含）-1</v>
      </c>
      <c r="D61" s="478" t="str">
        <f t="shared" ref="D61:L61" si="18">D62&amp;"（含）"&amp;"-"&amp;E62</f>
        <v>1（含）-2</v>
      </c>
      <c r="E61" s="478" t="str">
        <f t="shared" si="18"/>
        <v>2（含）-3</v>
      </c>
      <c r="F61" s="478" t="str">
        <f t="shared" si="18"/>
        <v>3（含）-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v>3</v>
      </c>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销售类型</v>
      </c>
      <c r="C64" s="3166" t="s">
        <v>3481</v>
      </c>
      <c r="D64" s="3166" t="s">
        <v>3482</v>
      </c>
      <c r="E64" s="485"/>
      <c r="F64" s="485"/>
      <c r="G64" s="485"/>
      <c r="H64" s="486"/>
      <c r="I64" s="486"/>
      <c r="J64" s="486"/>
      <c r="K64" s="486"/>
      <c r="L64" s="487"/>
      <c r="M64" s="488"/>
      <c r="N64" s="881"/>
      <c r="O64" s="881"/>
      <c r="P64" s="489"/>
      <c r="Q64" s="490"/>
    </row>
    <row r="65" spans="1:17" s="408" customFormat="1" ht="15.75" thickBot="1">
      <c r="A65" s="484"/>
      <c r="B65" s="474"/>
      <c r="C65" s="491">
        <v>100</v>
      </c>
      <c r="D65" s="467">
        <v>105</v>
      </c>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3166" t="s">
        <v>3495</v>
      </c>
      <c r="D88" s="3166"/>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1733</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v>96</v>
      </c>
      <c r="H92" s="467"/>
      <c r="I92" s="467"/>
      <c r="J92" s="467"/>
      <c r="K92" s="467"/>
      <c r="L92" s="467"/>
      <c r="M92" s="468"/>
      <c r="N92" s="880"/>
      <c r="O92" s="880"/>
      <c r="P92" s="489"/>
      <c r="Q92" s="490"/>
    </row>
    <row r="93" spans="1:17" ht="15" thickTop="1">
      <c r="A93" s="409"/>
      <c r="B93" s="469" t="s">
        <v>1734</v>
      </c>
      <c r="C93" s="3164" t="s">
        <v>3431</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1736</v>
      </c>
      <c r="C95" s="3164" t="s">
        <v>3433</v>
      </c>
      <c r="D95" s="3164" t="s">
        <v>3435</v>
      </c>
      <c r="E95" s="3164" t="s">
        <v>3436</v>
      </c>
      <c r="F95" s="3165" t="s">
        <v>3437</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1737</v>
      </c>
      <c r="C100" s="3164" t="s">
        <v>3439</v>
      </c>
      <c r="D100" s="3164" t="s">
        <v>3440</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1738</v>
      </c>
      <c r="C102" s="3164" t="s">
        <v>3442</v>
      </c>
      <c r="D102" s="3164" t="s">
        <v>3443</v>
      </c>
      <c r="E102" s="3164" t="s">
        <v>3445</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1740</v>
      </c>
      <c r="C104" s="3164" t="s">
        <v>3433</v>
      </c>
      <c r="D104" s="3164" t="s">
        <v>3435</v>
      </c>
      <c r="E104" s="3164" t="s">
        <v>3436</v>
      </c>
      <c r="F104" s="3165" t="s">
        <v>3437</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64" t="s">
        <v>3499</v>
      </c>
      <c r="D108" s="3164" t="s">
        <v>3454</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80</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t="s">
        <v>3417</v>
      </c>
      <c r="D1" s="1271" t="s">
        <v>43</v>
      </c>
      <c r="E1" s="1272" t="s">
        <v>674</v>
      </c>
      <c r="F1" s="999">
        <f ca="1">J53</f>
        <v>26.98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874</v>
      </c>
      <c r="B2" s="3123">
        <f ca="1">ROUND(D2/10000,4)</f>
        <v>387.48719999999997</v>
      </c>
      <c r="C2" s="1289" t="s">
        <v>875</v>
      </c>
      <c r="D2" s="1375">
        <f ca="1">C40+J29+L46</f>
        <v>3874872</v>
      </c>
      <c r="E2" s="1295" t="s">
        <v>876</v>
      </c>
      <c r="F2" s="1296"/>
      <c r="G2" s="2478"/>
      <c r="H2" s="2468"/>
      <c r="I2" s="2468"/>
      <c r="J2" s="2468"/>
      <c r="K2" s="2469"/>
      <c r="L2" s="2468"/>
      <c r="M2" s="2468"/>
    </row>
    <row r="3" spans="1:37" ht="18" customHeight="1" thickBot="1">
      <c r="A3" s="1297" t="s">
        <v>877</v>
      </c>
      <c r="B3" s="1298">
        <f ca="1">IF(ISERROR(D2/F43),0,ROUND(D2/F43,0))</f>
        <v>7887</v>
      </c>
      <c r="C3" s="1289" t="s">
        <v>878</v>
      </c>
      <c r="D3" s="1289"/>
      <c r="E3" s="1295"/>
      <c r="F3" s="1296"/>
      <c r="G3" s="2478"/>
      <c r="H3" s="649" t="s">
        <v>872</v>
      </c>
      <c r="I3" s="1290"/>
      <c r="J3" s="1290"/>
      <c r="K3" s="1291"/>
      <c r="L3" s="1290"/>
      <c r="M3" s="1290"/>
    </row>
    <row r="4" spans="1:37" ht="18" customHeight="1">
      <c r="A4" s="287" t="s">
        <v>879</v>
      </c>
      <c r="B4" s="288" t="s">
        <v>880</v>
      </c>
      <c r="C4" s="288" t="s">
        <v>881</v>
      </c>
      <c r="D4" s="288" t="s">
        <v>882</v>
      </c>
      <c r="E4" s="289" t="s">
        <v>883</v>
      </c>
      <c r="F4" s="290"/>
      <c r="G4" s="1292"/>
      <c r="H4" s="287" t="s">
        <v>879</v>
      </c>
      <c r="I4" s="288" t="s">
        <v>880</v>
      </c>
      <c r="J4" s="288" t="s">
        <v>881</v>
      </c>
      <c r="K4" s="288" t="s">
        <v>882</v>
      </c>
      <c r="L4" s="289" t="s">
        <v>883</v>
      </c>
      <c r="M4" s="290"/>
    </row>
    <row r="5" spans="1:37" ht="18" customHeight="1">
      <c r="A5" s="291">
        <v>1</v>
      </c>
      <c r="B5" s="292" t="s">
        <v>884</v>
      </c>
      <c r="C5" s="1007">
        <f ca="1">C6+C10+C12</f>
        <v>290881</v>
      </c>
      <c r="D5" s="1273" t="s">
        <v>885</v>
      </c>
      <c r="E5" s="1008"/>
      <c r="F5" s="1009"/>
      <c r="G5" s="1292"/>
      <c r="H5" s="291">
        <v>1</v>
      </c>
      <c r="I5" s="292" t="s">
        <v>884</v>
      </c>
      <c r="J5" s="1007">
        <f ca="1">J6+J10+J12</f>
        <v>0</v>
      </c>
      <c r="K5" s="1273" t="s">
        <v>885</v>
      </c>
      <c r="L5" s="1008"/>
      <c r="M5" s="1009"/>
    </row>
    <row r="6" spans="1:37" ht="18" customHeight="1">
      <c r="A6" s="1006" t="s">
        <v>398</v>
      </c>
      <c r="B6" s="3403" t="s">
        <v>690</v>
      </c>
      <c r="C6" s="1011">
        <f ca="1">ROUND(F6*F8*F7*(1-F9),0)</f>
        <v>290518</v>
      </c>
      <c r="D6" s="147" t="s">
        <v>2100</v>
      </c>
      <c r="E6" s="294" t="s">
        <v>692</v>
      </c>
      <c r="F6" s="295">
        <f ca="1">INDIRECT("'数据-取费表'!u"&amp;$G$1)</f>
        <v>1.8</v>
      </c>
      <c r="G6" s="1292"/>
      <c r="H6" s="1006" t="s">
        <v>398</v>
      </c>
      <c r="I6" s="3403" t="s">
        <v>690</v>
      </c>
      <c r="J6" s="293">
        <f ca="1">ROUND(M6*M8*M7*(1-M9),0)</f>
        <v>0</v>
      </c>
      <c r="K6" s="1284" t="s">
        <v>2101</v>
      </c>
      <c r="L6" s="294" t="s">
        <v>692</v>
      </c>
      <c r="M6" s="295">
        <f ca="1">INDIRECT("'数据-取费表'!z"&amp;$G$1)</f>
        <v>0</v>
      </c>
    </row>
    <row r="7" spans="1:37" ht="18" customHeight="1">
      <c r="A7" s="1010"/>
      <c r="B7" s="3404"/>
      <c r="C7" s="1012"/>
      <c r="D7" s="299"/>
      <c r="E7" s="1013" t="s">
        <v>693</v>
      </c>
      <c r="F7" s="295">
        <f ca="1">IF(INDIRECT("'数据-取费表'!ah"&amp;$G$1)="",INDIRECT("'数据-取费表'!k"&amp;$G$1),INDIRECT("'数据-取费表'!ah"&amp;$G$1))</f>
        <v>491.32</v>
      </c>
      <c r="G7" s="1292"/>
      <c r="H7" s="296"/>
      <c r="I7" s="3404"/>
      <c r="J7" s="298"/>
      <c r="K7" s="299"/>
      <c r="L7" s="294" t="s">
        <v>693</v>
      </c>
      <c r="M7" s="295">
        <f ca="1">F7</f>
        <v>491.32</v>
      </c>
    </row>
    <row r="8" spans="1:37" ht="18" customHeight="1">
      <c r="A8" s="296"/>
      <c r="B8" s="3404"/>
      <c r="C8" s="298"/>
      <c r="D8" s="299"/>
      <c r="E8" s="294" t="s">
        <v>694</v>
      </c>
      <c r="F8" s="295">
        <f ca="1">INDIRECT("'数据-取费表'!ai"&amp;$G$1)</f>
        <v>365</v>
      </c>
      <c r="G8" s="1292"/>
      <c r="H8" s="296"/>
      <c r="I8" s="3404"/>
      <c r="J8" s="298"/>
      <c r="K8" s="299"/>
      <c r="L8" s="294" t="s">
        <v>694</v>
      </c>
      <c r="M8" s="295">
        <f ca="1">INDIRECT("'数据-取费表'!ai"&amp;$G$1)</f>
        <v>365</v>
      </c>
    </row>
    <row r="9" spans="1:37" ht="18" customHeight="1">
      <c r="A9" s="296"/>
      <c r="B9" s="3405"/>
      <c r="C9" s="298"/>
      <c r="D9" s="299"/>
      <c r="E9" s="294" t="s">
        <v>695</v>
      </c>
      <c r="F9" s="304">
        <f ca="1">INDIRECT("'数据-取费表'!w"&amp;$G$1)</f>
        <v>0.1</v>
      </c>
      <c r="G9" s="1292"/>
      <c r="H9" s="296"/>
      <c r="I9" s="3405"/>
      <c r="J9" s="298"/>
      <c r="K9" s="299"/>
      <c r="L9" s="305" t="s">
        <v>695</v>
      </c>
      <c r="M9" s="306">
        <f ca="1">INDIRECT("'数据-取费表'!ab"&amp;$G$1)</f>
        <v>0</v>
      </c>
    </row>
    <row r="10" spans="1:37" ht="18" customHeight="1">
      <c r="A10" s="1006" t="s">
        <v>402</v>
      </c>
      <c r="B10" s="1274" t="s">
        <v>696</v>
      </c>
      <c r="C10" s="308">
        <f ca="1">ROUND(IF(F10="押一",C6/12*F11,IF(F10="押二",C6/12*2*F11,IF(F10="押三",C6/12*3*F11,C11*F11))),0)</f>
        <v>363</v>
      </c>
      <c r="D10" s="150" t="s">
        <v>2110</v>
      </c>
      <c r="E10" s="305" t="s">
        <v>697</v>
      </c>
      <c r="F10" s="1053" t="s">
        <v>3420</v>
      </c>
      <c r="G10" s="1292"/>
      <c r="H10" s="1006" t="s">
        <v>402</v>
      </c>
      <c r="I10" s="1274" t="s">
        <v>696</v>
      </c>
      <c r="J10" s="293">
        <f ca="1">ROUND(IF(M10="押一",J6/12*M11,IF(M10="押二",J6/12*2*M11,IF(M10="押三",J6/12*3*M11,J11*M11))),0)</f>
        <v>0</v>
      </c>
      <c r="K10" s="1285" t="s">
        <v>2112</v>
      </c>
      <c r="L10" s="305" t="s">
        <v>697</v>
      </c>
      <c r="M10" s="1053"/>
    </row>
    <row r="11" spans="1:37" ht="18" customHeight="1">
      <c r="A11" s="300"/>
      <c r="B11" s="1275" t="s">
        <v>886</v>
      </c>
      <c r="C11" s="905"/>
      <c r="D11" s="299"/>
      <c r="E11" s="305" t="s">
        <v>698</v>
      </c>
      <c r="F11" s="306">
        <f ca="1">'数据-取费表'!B39</f>
        <v>1.4999999999999999E-2</v>
      </c>
      <c r="G11" s="1292"/>
      <c r="H11" s="1014"/>
      <c r="I11" s="1275" t="s">
        <v>887</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2439402</v>
      </c>
      <c r="D13" s="1018" t="s">
        <v>701</v>
      </c>
      <c r="E13" s="1018" t="s">
        <v>702</v>
      </c>
      <c r="F13" s="1019">
        <f ca="1">INDIRECT("'数据-取费表'!y"&amp;$G$1)</f>
        <v>0.88</v>
      </c>
      <c r="G13" s="1292"/>
      <c r="H13" s="1016">
        <v>2</v>
      </c>
      <c r="I13" s="1017" t="s">
        <v>700</v>
      </c>
      <c r="J13" s="1005">
        <f ca="1">ROUND(J14*J15,0)</f>
        <v>0</v>
      </c>
      <c r="K13" s="1024" t="s">
        <v>701</v>
      </c>
      <c r="L13" s="1299"/>
      <c r="M13" s="1300"/>
    </row>
    <row r="14" spans="1:37" ht="18" customHeight="1">
      <c r="A14" s="928" t="s">
        <v>397</v>
      </c>
      <c r="B14" s="294" t="s">
        <v>703</v>
      </c>
      <c r="C14" s="310">
        <f ca="1">ROUND(INDIRECT("'数据-取费表'!l"&amp;$G$1)*F43+'数据-取费表'!L14*INDIRECT("'数据-取费表'!S"&amp;$G$1),0)</f>
        <v>1965280</v>
      </c>
      <c r="D14" s="1257" t="s">
        <v>704</v>
      </c>
      <c r="E14" s="1255"/>
      <c r="F14" s="311"/>
      <c r="G14" s="1292"/>
      <c r="H14" s="928" t="s">
        <v>398</v>
      </c>
      <c r="I14" s="294" t="s">
        <v>705</v>
      </c>
      <c r="J14" s="21">
        <f ca="1">C29</f>
        <v>2772048</v>
      </c>
      <c r="K14" s="12"/>
      <c r="L14" s="759"/>
      <c r="M14" s="760"/>
    </row>
    <row r="15" spans="1:37" s="1304" customFormat="1" ht="18" customHeight="1" thickBot="1">
      <c r="A15" s="928" t="s">
        <v>399</v>
      </c>
      <c r="B15" s="294" t="s">
        <v>706</v>
      </c>
      <c r="C15" s="21">
        <f ca="1">ROUND(C14*F15,0)</f>
        <v>98264</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ROUND(INDIRECT("'数据-取费表'!l"&amp;$G$1)*F43*F16,0)</f>
        <v>0</v>
      </c>
      <c r="D16" s="294" t="s">
        <v>707</v>
      </c>
      <c r="E16" s="294" t="s">
        <v>708</v>
      </c>
      <c r="F16" s="314">
        <f ca="1">IF(INDIRECT("'数据-取费表'!c"&amp;$G$1)="住宅",'数据-取费表'!B34,0)</f>
        <v>0</v>
      </c>
      <c r="G16" s="1292"/>
      <c r="H16" s="1016" t="s">
        <v>393</v>
      </c>
      <c r="I16" s="1017" t="s">
        <v>710</v>
      </c>
      <c r="J16" s="302">
        <f ca="1">ROUND(J17+J22+J23+J24,0)</f>
        <v>8316</v>
      </c>
      <c r="K16" s="1024" t="s">
        <v>711</v>
      </c>
      <c r="L16" s="1025"/>
      <c r="M16" s="1009"/>
    </row>
    <row r="17" spans="1:37" s="1304" customFormat="1" ht="18" customHeight="1">
      <c r="A17" s="928" t="s">
        <v>677</v>
      </c>
      <c r="B17" s="294" t="s">
        <v>712</v>
      </c>
      <c r="C17" s="21">
        <f ca="1">ROUND(F17*(F43+INDIRECT("'数据-取费表'!S"&amp;$G$1)),0)</f>
        <v>98264</v>
      </c>
      <c r="D17" s="294" t="s">
        <v>713</v>
      </c>
      <c r="E17" s="294" t="s">
        <v>714</v>
      </c>
      <c r="F17" s="23">
        <f>'数据-取费表'!B35</f>
        <v>200</v>
      </c>
      <c r="G17" s="1303"/>
      <c r="H17" s="928" t="s">
        <v>398</v>
      </c>
      <c r="I17" s="294" t="s">
        <v>715</v>
      </c>
      <c r="J17" s="2140">
        <f ca="1">ROUND(IF(AND(项目基本情况!B11="自然人",项目基本情况!B10="北京市"),J6*M17/(1+'数据-取费表'!C42),J18+J19+J20),0)</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39306</v>
      </c>
      <c r="D18" s="294" t="s">
        <v>707</v>
      </c>
      <c r="E18" s="294" t="s">
        <v>708</v>
      </c>
      <c r="F18" s="314">
        <f>'数据-取费表'!B36</f>
        <v>0.02</v>
      </c>
      <c r="G18" s="1303"/>
      <c r="H18" s="928" t="s">
        <v>397</v>
      </c>
      <c r="I18" s="294" t="s">
        <v>719</v>
      </c>
      <c r="J18" s="21">
        <f ca="1">ROUND(J6*M18/(1+'数据-取费表'!C42),0)</f>
        <v>0</v>
      </c>
      <c r="K18" s="1256" t="s">
        <v>720</v>
      </c>
      <c r="L18" s="294" t="s">
        <v>708</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2201114</v>
      </c>
      <c r="D19" s="123" t="s">
        <v>722</v>
      </c>
      <c r="E19" s="1269"/>
      <c r="F19" s="23"/>
      <c r="G19" s="1292"/>
      <c r="H19" s="928" t="s">
        <v>399</v>
      </c>
      <c r="I19" s="294" t="s">
        <v>723</v>
      </c>
      <c r="J19" s="21">
        <f ca="1">IF(K19="按租金收入计税",ROUND(J6*M19/(1+'数据-取费表'!C42),0),ROUND(C29*M19*0.7,0))</f>
        <v>0</v>
      </c>
      <c r="K19" s="1278" t="s">
        <v>3330</v>
      </c>
      <c r="L19" s="294" t="s">
        <v>708</v>
      </c>
      <c r="M19" s="314">
        <f>IF(K19="按租金收入计税",'数据-取费表'!B51,'数据-取费表'!B50)</f>
        <v>0.12</v>
      </c>
    </row>
    <row r="20" spans="1:37" s="1304" customFormat="1" ht="18" customHeight="1">
      <c r="A20" s="928" t="s">
        <v>402</v>
      </c>
      <c r="B20" s="294" t="s">
        <v>724</v>
      </c>
      <c r="C20" s="21">
        <f ca="1">ROUND(C19*F20,0)</f>
        <v>66033</v>
      </c>
      <c r="D20" s="315" t="s">
        <v>725</v>
      </c>
      <c r="E20" s="294" t="s">
        <v>708</v>
      </c>
      <c r="F20" s="314">
        <f>'数据-取费表'!B37</f>
        <v>0.03</v>
      </c>
      <c r="G20" s="1303"/>
      <c r="H20" s="928" t="s">
        <v>676</v>
      </c>
      <c r="I20" s="147" t="s">
        <v>726</v>
      </c>
      <c r="J20" s="22">
        <f ca="1">ROUND(M20*M21,0)</f>
        <v>0</v>
      </c>
      <c r="K20" s="316" t="s">
        <v>727</v>
      </c>
      <c r="L20" s="294" t="s">
        <v>728</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0</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ROUND(J14*M22,0)</f>
        <v>8316</v>
      </c>
      <c r="K22" s="1256" t="s">
        <v>735</v>
      </c>
      <c r="L22" s="294" t="s">
        <v>708</v>
      </c>
      <c r="M22" s="320">
        <f ca="1">INDIRECT("'数据-取费表'!Ak"&amp;$G$1)</f>
        <v>3.0000000000000001E-3</v>
      </c>
    </row>
    <row r="23" spans="1:37" s="1304" customFormat="1" ht="18" customHeight="1">
      <c r="A23" s="928" t="s">
        <v>397</v>
      </c>
      <c r="B23" s="294" t="s">
        <v>736</v>
      </c>
      <c r="C23" s="21">
        <f ca="1">IF('数据-取费表'!B22&lt;=1,ROUND(C19*F24*F23/2,0)+ROUND(C20*F24*F23/2,0),ROUND(C19*(POWER((1+F24),F23/2)-1),0)+ROUND(C20*(POWER((1+F24),F23/2)-1),0))</f>
        <v>70282</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ROUND(J13*M23,0)</f>
        <v>0</v>
      </c>
      <c r="K23" s="1256" t="s">
        <v>739</v>
      </c>
      <c r="L23" s="294" t="s">
        <v>740</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3"/>
      <c r="H24" s="1026" t="s">
        <v>680</v>
      </c>
      <c r="I24" s="1027" t="s">
        <v>724</v>
      </c>
      <c r="J24" s="1028">
        <f ca="1">ROUND(J5*M24,0)</f>
        <v>0</v>
      </c>
      <c r="K24" s="1029" t="s">
        <v>744</v>
      </c>
      <c r="L24" s="1027" t="s">
        <v>740</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745</v>
      </c>
      <c r="B25" s="294" t="s">
        <v>746</v>
      </c>
      <c r="C25" s="21"/>
      <c r="D25" s="123" t="s">
        <v>747</v>
      </c>
      <c r="E25" s="1269"/>
      <c r="F25" s="23"/>
      <c r="G25" s="1292"/>
      <c r="H25" s="1016" t="s">
        <v>394</v>
      </c>
      <c r="I25" s="1031" t="s">
        <v>748</v>
      </c>
      <c r="J25" s="302">
        <f ca="1">J5-J16</f>
        <v>-8316</v>
      </c>
      <c r="K25" s="1032" t="s">
        <v>749</v>
      </c>
      <c r="L25" s="1033"/>
      <c r="M25" s="1034"/>
    </row>
    <row r="26" spans="1:37" ht="18" customHeight="1">
      <c r="A26" s="928" t="s">
        <v>397</v>
      </c>
      <c r="B26" s="294" t="s">
        <v>750</v>
      </c>
      <c r="C26" s="21">
        <f ca="1">ROUND((C19+C20)*F26,0)</f>
        <v>226715</v>
      </c>
      <c r="D26" s="315" t="s">
        <v>751</v>
      </c>
      <c r="E26" s="305" t="s">
        <v>752</v>
      </c>
      <c r="F26" s="304">
        <f ca="1">INDIRECT("'数据-取费表'!q"&amp;$G$1)</f>
        <v>0.1</v>
      </c>
      <c r="G26" s="1292"/>
      <c r="H26" s="291" t="s">
        <v>395</v>
      </c>
      <c r="I26" s="292" t="s">
        <v>753</v>
      </c>
      <c r="J26" s="293">
        <f ca="1">IF(J5&lt;&gt;0,ROUND(J25*(1-((1+M28)/(1+M26))^M27)/(M26-M28),0),0)</f>
        <v>0</v>
      </c>
      <c r="K26" s="316" t="s">
        <v>754</v>
      </c>
      <c r="L26" s="294" t="s">
        <v>755</v>
      </c>
      <c r="M26" s="304">
        <f ca="1">INDIRECT("'数据-取费表'!I"&amp;$G$1)</f>
        <v>5.5E-2</v>
      </c>
    </row>
    <row r="27" spans="1:37" ht="18" customHeight="1">
      <c r="A27" s="928" t="s">
        <v>399</v>
      </c>
      <c r="B27" s="294" t="s">
        <v>756</v>
      </c>
      <c r="C27" s="21">
        <f ca="1">ROUND(F21*F26,4)</f>
        <v>2E-3</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5.2400000000000002E-2</v>
      </c>
      <c r="D28" s="315" t="s">
        <v>761</v>
      </c>
      <c r="E28" s="294" t="s">
        <v>708</v>
      </c>
      <c r="F28" s="314">
        <f>'数据-取费表'!B41</f>
        <v>5.5000000000000007E-2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2772048</v>
      </c>
      <c r="D29" s="1029"/>
      <c r="E29" s="1027"/>
      <c r="F29" s="1030"/>
      <c r="G29" s="1303"/>
      <c r="H29" s="325" t="s">
        <v>396</v>
      </c>
      <c r="I29" s="326" t="s">
        <v>764</v>
      </c>
      <c r="J29" s="327">
        <f ca="1">ROUND(J26/(1+F40)^F41,0)</f>
        <v>0</v>
      </c>
      <c r="K29" s="328" t="s">
        <v>765</v>
      </c>
      <c r="L29" s="329"/>
      <c r="M29" s="330">
        <f ca="1">INDIRECT("'数据-取费表'!k"&amp;$G$1)</f>
        <v>491.32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62084</v>
      </c>
      <c r="D30" s="1024" t="s">
        <v>711</v>
      </c>
      <c r="E30" s="1025"/>
      <c r="F30" s="1009"/>
      <c r="G30" s="1292"/>
      <c r="H30" s="2470"/>
      <c r="I30" s="1305"/>
      <c r="J30" s="1306"/>
      <c r="K30" s="121"/>
      <c r="L30" s="2471"/>
      <c r="M30" s="2472"/>
    </row>
    <row r="31" spans="1:37" ht="18" customHeight="1">
      <c r="A31" s="928" t="s">
        <v>398</v>
      </c>
      <c r="B31" s="294" t="s">
        <v>715</v>
      </c>
      <c r="C31" s="2140">
        <f ca="1">ROUND(IF(AND(项目基本情况!B11="自然人",项目基本情况!B10="北京市"),C6*F31/(1+'数据-取费表'!C42),C32+C33+C34),0)</f>
        <v>48420</v>
      </c>
      <c r="D31" s="1257" t="s">
        <v>716</v>
      </c>
      <c r="E31" s="1256" t="s">
        <v>766</v>
      </c>
      <c r="F31" s="2139" t="str">
        <f>IF(项目基本情况!B11="企业","——",IF(M47="住宅",IF(F6*F7*F8/12/(1+'数据-取费表'!F30)&gt;100000,4%,2.5%),IF(F6*F7*F8/12/(1+'数据-取费表'!F30)&gt;100000,12%,7%)))</f>
        <v>——</v>
      </c>
      <c r="G31" s="1292"/>
      <c r="H31" s="2569" t="s">
        <v>2300</v>
      </c>
      <c r="I31" s="1305"/>
      <c r="J31" s="1306"/>
      <c r="K31" s="121"/>
      <c r="L31" s="2471"/>
      <c r="M31" s="2472"/>
    </row>
    <row r="32" spans="1:37" ht="18" customHeight="1">
      <c r="A32" s="928" t="s">
        <v>397</v>
      </c>
      <c r="B32" s="294" t="s">
        <v>719</v>
      </c>
      <c r="C32" s="21">
        <f ca="1">IF(项目基本情况!B11="自然人","——",ROUND(C6*F32/(1+'数据-取费表'!C42),0))</f>
        <v>15218</v>
      </c>
      <c r="D32" s="1256" t="s">
        <v>720</v>
      </c>
      <c r="E32" s="294" t="s">
        <v>708</v>
      </c>
      <c r="F32" s="322">
        <f>'数据-取费表'!B41</f>
        <v>5.5000000000000007E-2</v>
      </c>
      <c r="G32" s="1292"/>
      <c r="H32" s="2470"/>
      <c r="I32" s="1305"/>
      <c r="J32" s="1306"/>
      <c r="K32" s="121"/>
      <c r="L32" s="2471"/>
      <c r="M32" s="2472"/>
    </row>
    <row r="33" spans="1:18" ht="18" customHeight="1">
      <c r="A33" s="928" t="s">
        <v>399</v>
      </c>
      <c r="B33" s="294" t="s">
        <v>723</v>
      </c>
      <c r="C33" s="21">
        <f ca="1">IF(项目基本情况!B11="自然人","——",IF(D33="按租金收入计税",ROUND(C6*F33/(1+'数据-取费表'!C42),0),IF(D33="按房产原值计税",ROUND(C29*F33*0.7,0),INDIRECT("'数据-取费表'!Aj"&amp;$G$1))))</f>
        <v>33202</v>
      </c>
      <c r="D33" s="1278" t="s">
        <v>3330</v>
      </c>
      <c r="E33" s="294" t="s">
        <v>708</v>
      </c>
      <c r="F33" s="314">
        <f>IF(D33="按票据","——",IF(D33="按租金收入计税",'数据-取费表'!B51,'数据-取费表'!B50))</f>
        <v>0.12</v>
      </c>
      <c r="G33" s="1292"/>
      <c r="H33" s="2473"/>
      <c r="I33" s="1305"/>
      <c r="J33" s="1306"/>
      <c r="K33" s="2474"/>
      <c r="L33" s="2473"/>
      <c r="M33" s="2473"/>
    </row>
    <row r="34" spans="1:18" ht="18" customHeight="1">
      <c r="A34" s="1006" t="s">
        <v>676</v>
      </c>
      <c r="B34" s="147" t="s">
        <v>726</v>
      </c>
      <c r="C34" s="22">
        <f ca="1">IF(项目基本情况!B11="自然人","——",ROUND(F34*F35,0))</f>
        <v>0</v>
      </c>
      <c r="D34" s="316" t="s">
        <v>727</v>
      </c>
      <c r="E34" s="294" t="s">
        <v>728</v>
      </c>
      <c r="F34" s="317">
        <f>'数据-取费表'!B52</f>
        <v>0</v>
      </c>
      <c r="G34" s="1292"/>
      <c r="H34" s="2470"/>
      <c r="I34" s="1305"/>
      <c r="J34" s="1306"/>
      <c r="K34" s="2475"/>
      <c r="L34" s="2476"/>
      <c r="M34" s="2476"/>
    </row>
    <row r="35" spans="1:18" ht="18" customHeight="1">
      <c r="A35" s="1040"/>
      <c r="B35" s="1038"/>
      <c r="C35" s="26"/>
      <c r="D35" s="319"/>
      <c r="E35" s="294" t="s">
        <v>732</v>
      </c>
      <c r="F35" s="295">
        <f ca="1">INDIRECT("'数据-取费表'!r"&amp;$G$1)</f>
        <v>0</v>
      </c>
      <c r="G35" s="1292"/>
      <c r="H35" s="2470"/>
      <c r="I35" s="1305"/>
      <c r="J35" s="1306"/>
      <c r="K35" s="2474"/>
      <c r="L35" s="2473"/>
      <c r="M35" s="2473"/>
    </row>
    <row r="36" spans="1:18" ht="18" customHeight="1">
      <c r="A36" s="1039" t="s">
        <v>402</v>
      </c>
      <c r="B36" s="294" t="s">
        <v>734</v>
      </c>
      <c r="C36" s="21">
        <f ca="1">ROUND(C29*F36,0)</f>
        <v>8316</v>
      </c>
      <c r="D36" s="1256" t="s">
        <v>767</v>
      </c>
      <c r="E36" s="294" t="s">
        <v>708</v>
      </c>
      <c r="F36" s="320">
        <f ca="1">INDIRECT("'数据-取费表'!Ak"&amp;$G$1)</f>
        <v>3.0000000000000001E-3</v>
      </c>
      <c r="G36" s="1292"/>
      <c r="H36" s="2473"/>
      <c r="I36" s="1305"/>
      <c r="J36" s="1306"/>
      <c r="K36" s="2331"/>
      <c r="L36" s="2473"/>
      <c r="M36" s="2473"/>
    </row>
    <row r="37" spans="1:18" ht="18" customHeight="1">
      <c r="A37" s="928" t="s">
        <v>437</v>
      </c>
      <c r="B37" s="294" t="s">
        <v>738</v>
      </c>
      <c r="C37" s="21">
        <f ca="1">ROUND(C13*F37,0)</f>
        <v>2439</v>
      </c>
      <c r="D37" s="1256" t="s">
        <v>739</v>
      </c>
      <c r="E37" s="294" t="s">
        <v>740</v>
      </c>
      <c r="F37" s="321">
        <f ca="1">INDIRECT("'数据-取费表'!Al"&amp;$G$1)</f>
        <v>1E-3</v>
      </c>
      <c r="G37" s="1292"/>
      <c r="H37" s="2473"/>
      <c r="I37" s="1305"/>
      <c r="J37" s="1306"/>
      <c r="K37" s="2331"/>
      <c r="L37" s="2473"/>
      <c r="M37" s="2473"/>
    </row>
    <row r="38" spans="1:18" ht="18" customHeight="1" thickBot="1">
      <c r="A38" s="1026" t="s">
        <v>680</v>
      </c>
      <c r="B38" s="1027" t="s">
        <v>724</v>
      </c>
      <c r="C38" s="1028">
        <f ca="1">ROUND(C5*F38,0)</f>
        <v>2909</v>
      </c>
      <c r="D38" s="1029" t="s">
        <v>744</v>
      </c>
      <c r="E38" s="1027" t="s">
        <v>740</v>
      </c>
      <c r="F38" s="1023">
        <f ca="1">INDIRECT("'数据-取费表'!Am"&amp;$G$1)</f>
        <v>0.01</v>
      </c>
      <c r="G38" s="1292"/>
      <c r="H38" s="2473"/>
      <c r="I38" s="1305"/>
      <c r="J38" s="1306"/>
      <c r="K38" s="2471"/>
      <c r="L38" s="2473"/>
      <c r="M38" s="2473"/>
    </row>
    <row r="39" spans="1:18" ht="24.6" customHeight="1" thickTop="1">
      <c r="A39" s="1016" t="s">
        <v>394</v>
      </c>
      <c r="B39" s="1031" t="s">
        <v>768</v>
      </c>
      <c r="C39" s="302">
        <f ca="1">C5-C30</f>
        <v>228797</v>
      </c>
      <c r="D39" s="1032" t="s">
        <v>769</v>
      </c>
      <c r="E39" s="1033"/>
      <c r="F39" s="1034"/>
      <c r="G39" s="1292"/>
      <c r="H39" s="2473"/>
      <c r="I39" s="1305"/>
      <c r="J39" s="1306"/>
      <c r="K39" s="2471"/>
      <c r="L39" s="2473"/>
      <c r="M39" s="2473"/>
    </row>
    <row r="40" spans="1:18" ht="18" customHeight="1">
      <c r="A40" s="291" t="s">
        <v>395</v>
      </c>
      <c r="B40" s="292" t="s">
        <v>770</v>
      </c>
      <c r="C40" s="293">
        <f ca="1">ROUND(C39*(1-((1+F42)/(1+F40))^F41)/(F40-F42),0)</f>
        <v>3703914</v>
      </c>
      <c r="D40" s="316" t="s">
        <v>754</v>
      </c>
      <c r="E40" s="294" t="s">
        <v>755</v>
      </c>
      <c r="F40" s="304">
        <f ca="1">INDIRECT("'数据-取费表'!I"&amp;$G$1)</f>
        <v>5.5E-2</v>
      </c>
      <c r="G40" s="1292"/>
      <c r="H40" s="1366"/>
      <c r="I40" s="1305"/>
      <c r="J40" s="1306"/>
      <c r="K40" s="2471"/>
      <c r="L40" s="1366"/>
      <c r="M40" s="1366"/>
    </row>
    <row r="41" spans="1:18" ht="18" customHeight="1">
      <c r="A41" s="296"/>
      <c r="B41" s="297"/>
      <c r="C41" s="298"/>
      <c r="D41" s="323" t="s">
        <v>771</v>
      </c>
      <c r="E41" s="294" t="s">
        <v>759</v>
      </c>
      <c r="F41" s="324">
        <f ca="1">IF(INDIRECT("'数据-取费表'!af"&amp;$G$1)=0,INDIRECT("'数据-取费表'!ae"&amp;$G$1),INDIRECT("'数据-取费表'!af"&amp;$G$1))</f>
        <v>26.98</v>
      </c>
      <c r="G41" s="1292"/>
      <c r="H41" s="121"/>
      <c r="I41" s="1305"/>
      <c r="J41" s="1306"/>
      <c r="K41" s="2331"/>
      <c r="L41" s="121"/>
      <c r="M41" s="121"/>
    </row>
    <row r="42" spans="1:18" ht="18" customHeight="1">
      <c r="A42" s="300"/>
      <c r="B42" s="301"/>
      <c r="C42" s="302"/>
      <c r="D42" s="319"/>
      <c r="E42" s="294" t="s">
        <v>762</v>
      </c>
      <c r="F42" s="304">
        <f ca="1">INDIRECT("'数据-取费表'!v"&amp;$G$1)</f>
        <v>1.4999999999999999E-2</v>
      </c>
      <c r="G42" s="1292"/>
      <c r="H42" s="121"/>
      <c r="I42" s="1305"/>
      <c r="J42" s="1306"/>
      <c r="K42" s="2331"/>
      <c r="L42" s="121"/>
      <c r="M42" s="121"/>
    </row>
    <row r="43" spans="1:18" ht="18" customHeight="1" thickBot="1">
      <c r="A43" s="325" t="s">
        <v>396</v>
      </c>
      <c r="B43" s="326" t="s">
        <v>772</v>
      </c>
      <c r="C43" s="327">
        <f ca="1">ROUND(C40/F43,0)</f>
        <v>7539</v>
      </c>
      <c r="D43" s="328" t="s">
        <v>773</v>
      </c>
      <c r="E43" s="329" t="s">
        <v>774</v>
      </c>
      <c r="F43" s="330">
        <f ca="1">INDIRECT("'数据-取费表'!k"&amp;$G$1)</f>
        <v>491.32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3346</v>
      </c>
      <c r="B45" s="1307"/>
      <c r="C45" s="1376">
        <f ca="1">ROUND((C68-C40)/10000,4)</f>
        <v>-385.33390000000003</v>
      </c>
      <c r="D45" s="3130" t="s">
        <v>3347</v>
      </c>
      <c r="E45" s="1307"/>
      <c r="F45" s="1307"/>
      <c r="O45" s="1310" t="s">
        <v>804</v>
      </c>
      <c r="P45" s="1366"/>
      <c r="Q45" s="1366"/>
      <c r="R45" s="1366"/>
    </row>
    <row r="46" spans="1:18" s="1292" customFormat="1" ht="13.5" thickBot="1">
      <c r="A46" s="1311" t="s">
        <v>805</v>
      </c>
      <c r="C46" s="1312">
        <f ca="1">ROUND(C45,0)</f>
        <v>-385</v>
      </c>
      <c r="D46" s="1313" t="str">
        <f>C2</f>
        <v>万元</v>
      </c>
      <c r="I46" s="1314" t="s">
        <v>806</v>
      </c>
      <c r="J46" s="1315"/>
      <c r="K46" s="1316"/>
      <c r="L46" s="1317">
        <f ca="1">IF(M47="住宅",0,IF(L48&gt;J51,L60,J60))</f>
        <v>170958</v>
      </c>
      <c r="O46" s="1318" t="s">
        <v>807</v>
      </c>
      <c r="P46" s="1319" t="s">
        <v>808</v>
      </c>
      <c r="Q46" s="1320" t="s">
        <v>809</v>
      </c>
      <c r="R46" s="1320" t="s">
        <v>810</v>
      </c>
    </row>
    <row r="47" spans="1:18" s="1292" customFormat="1" ht="13.5" thickBot="1">
      <c r="A47" s="892" t="s">
        <v>683</v>
      </c>
      <c r="B47" s="924" t="s">
        <v>684</v>
      </c>
      <c r="C47" s="924" t="s">
        <v>685</v>
      </c>
      <c r="D47" s="924" t="s">
        <v>686</v>
      </c>
      <c r="E47" s="995" t="s">
        <v>687</v>
      </c>
      <c r="F47" s="996"/>
      <c r="G47" s="681"/>
      <c r="I47" s="1321" t="s">
        <v>811</v>
      </c>
      <c r="J47" s="1322" t="s">
        <v>3421</v>
      </c>
      <c r="K47" s="1323" t="s">
        <v>812</v>
      </c>
      <c r="L47" s="1324">
        <f ca="1">INDIRECT("'数据-取费表'!d"&amp;$G$1)</f>
        <v>50</v>
      </c>
      <c r="M47" s="1288" t="str">
        <f>IF(ISNUMBER(FIND("住宅",C1)),"住宅","非住宅")</f>
        <v>非住宅</v>
      </c>
      <c r="O47" s="1325" t="s">
        <v>403</v>
      </c>
      <c r="P47" s="1326" t="s">
        <v>813</v>
      </c>
      <c r="Q47" s="1327">
        <f ca="1">C40+J29</f>
        <v>3703914</v>
      </c>
      <c r="R47" s="1327" t="s">
        <v>814</v>
      </c>
    </row>
    <row r="48" spans="1:18" s="1292" customFormat="1" ht="28.5" thickBot="1">
      <c r="A48" s="1047" t="s">
        <v>438</v>
      </c>
      <c r="B48" s="292" t="s">
        <v>688</v>
      </c>
      <c r="C48" s="1268">
        <f ca="1">C49+C53+C55</f>
        <v>0</v>
      </c>
      <c r="D48" s="1049"/>
      <c r="E48" s="1050"/>
      <c r="F48" s="908"/>
      <c r="G48" s="681"/>
      <c r="H48" s="682"/>
      <c r="I48" s="1328" t="s">
        <v>815</v>
      </c>
      <c r="J48" s="1329" t="s">
        <v>3422</v>
      </c>
      <c r="K48" s="1330" t="s">
        <v>816</v>
      </c>
      <c r="L48" s="1331">
        <f ca="1">INDIRECT("'数据-取费表'!f"&amp;$G$1)</f>
        <v>26.98</v>
      </c>
      <c r="O48" s="1325" t="s">
        <v>404</v>
      </c>
      <c r="P48" s="1326" t="s">
        <v>817</v>
      </c>
      <c r="Q48" s="1327">
        <f ca="1">J60</f>
        <v>170958</v>
      </c>
      <c r="R48" s="1327" t="s">
        <v>818</v>
      </c>
    </row>
    <row r="49" spans="1:18" s="1292" customFormat="1" ht="13.5" thickBot="1">
      <c r="A49" s="921" t="s">
        <v>439</v>
      </c>
      <c r="B49" s="1279" t="s">
        <v>775</v>
      </c>
      <c r="C49" s="1051">
        <f ca="1">ROUND(F49*F51*F50*(1-F52),0)</f>
        <v>0</v>
      </c>
      <c r="D49" s="992" t="s">
        <v>691</v>
      </c>
      <c r="E49" s="1280" t="s">
        <v>776</v>
      </c>
      <c r="F49" s="997"/>
      <c r="H49" s="682"/>
      <c r="I49" s="1328" t="s">
        <v>819</v>
      </c>
      <c r="J49" s="1332">
        <f>'数据-取费表'!N19</f>
        <v>2018</v>
      </c>
      <c r="K49" s="1330" t="s">
        <v>820</v>
      </c>
      <c r="L49" s="1333"/>
      <c r="O49" s="1334" t="s">
        <v>405</v>
      </c>
      <c r="P49" s="1326" t="s">
        <v>821</v>
      </c>
      <c r="Q49" s="1327">
        <f ca="1">C29</f>
        <v>2772048</v>
      </c>
      <c r="R49" s="1327" t="s">
        <v>814</v>
      </c>
    </row>
    <row r="50" spans="1:18" s="1292" customFormat="1" ht="13.5" thickBot="1">
      <c r="A50" s="922"/>
      <c r="B50" s="925"/>
      <c r="C50" s="926"/>
      <c r="D50" s="899"/>
      <c r="E50" s="993" t="s">
        <v>693</v>
      </c>
      <c r="F50" s="994">
        <f ca="1">F7</f>
        <v>491.32</v>
      </c>
      <c r="H50" s="682"/>
      <c r="I50" s="1328" t="s">
        <v>822</v>
      </c>
      <c r="J50" s="1335">
        <f>SUMPRODUCT((I63:I65=J47)*(J62:L62=J48)*(J63:L65))</f>
        <v>60</v>
      </c>
      <c r="K50" s="1330" t="s">
        <v>823</v>
      </c>
      <c r="L50" s="1333"/>
      <c r="M50" s="1336"/>
      <c r="O50" s="1334" t="s">
        <v>406</v>
      </c>
      <c r="P50" s="1326" t="s">
        <v>824</v>
      </c>
      <c r="Q50" s="1337">
        <f ca="1">J58</f>
        <v>0.434</v>
      </c>
      <c r="R50" s="1327"/>
    </row>
    <row r="51" spans="1:18" s="1292" customFormat="1" ht="13.5" thickBot="1">
      <c r="A51" s="923"/>
      <c r="B51" s="925"/>
      <c r="C51" s="926"/>
      <c r="D51" s="899"/>
      <c r="E51" s="927" t="s">
        <v>694</v>
      </c>
      <c r="F51" s="295">
        <f ca="1">F8</f>
        <v>365</v>
      </c>
      <c r="I51" s="1338" t="s">
        <v>825</v>
      </c>
      <c r="J51" s="1331">
        <f>IF(J49="",J50,J49+J50-YEAR('数据-取费表'!B2))</f>
        <v>53</v>
      </c>
      <c r="K51" s="1339" t="s">
        <v>826</v>
      </c>
      <c r="L51" s="1340">
        <f ca="1">ROUND(-PV(INDIRECT("'数据-取费表'!h"&amp;$G$1),J51,(C39-C13*C76),0),0)</f>
        <v>1073336</v>
      </c>
      <c r="M51" s="1341"/>
      <c r="O51" s="1334" t="s">
        <v>407</v>
      </c>
      <c r="P51" s="1326" t="s">
        <v>827</v>
      </c>
      <c r="Q51" s="1337">
        <f>J52</f>
        <v>7.4999999999999997E-2</v>
      </c>
      <c r="R51" s="1327"/>
    </row>
    <row r="52" spans="1:18" s="1292" customFormat="1" ht="13.5" thickBot="1">
      <c r="A52" s="923"/>
      <c r="B52" s="925"/>
      <c r="C52" s="926"/>
      <c r="D52" s="899"/>
      <c r="E52" s="927" t="s">
        <v>695</v>
      </c>
      <c r="F52" s="991"/>
      <c r="I52" s="1342" t="s">
        <v>828</v>
      </c>
      <c r="J52" s="1343">
        <v>7.4999999999999997E-2</v>
      </c>
      <c r="K52" s="1342" t="s">
        <v>829</v>
      </c>
      <c r="L52" s="1343"/>
      <c r="O52" s="1334" t="s">
        <v>408</v>
      </c>
      <c r="P52" s="1326" t="s">
        <v>830</v>
      </c>
      <c r="Q52" s="1327">
        <f ca="1">J53</f>
        <v>26.98</v>
      </c>
      <c r="R52" s="1327" t="s">
        <v>831</v>
      </c>
    </row>
    <row r="53" spans="1:18" s="1292" customFormat="1" ht="30.75" customHeight="1" thickBot="1">
      <c r="A53" s="1048" t="s">
        <v>440</v>
      </c>
      <c r="B53" s="315" t="s">
        <v>696</v>
      </c>
      <c r="C53" s="308">
        <f ca="1">ROUND(IF(F53="押一",C49/12*F11,IF(F53="押二",C49/12*2*F11,IF(F53="押三",C49/12*3*F11,C54*F11))),0)</f>
        <v>0</v>
      </c>
      <c r="D53" s="150" t="s">
        <v>2113</v>
      </c>
      <c r="E53" s="305" t="s">
        <v>697</v>
      </c>
      <c r="F53" s="1053"/>
      <c r="I53" s="1344" t="s">
        <v>832</v>
      </c>
      <c r="J53" s="2006">
        <f ca="1">IF(M47="住宅",IF(D1="——",MAX(J51,L48),MAX(J51,L48-'数据-取费表'!B24)),IF(D1="——",MIN(J51,L48),MIN(J51,L48-'数据-取费表'!B24)))</f>
        <v>26.98</v>
      </c>
      <c r="K53" s="3406" t="s">
        <v>833</v>
      </c>
      <c r="L53" s="3407"/>
      <c r="O53" s="1325" t="s">
        <v>409</v>
      </c>
      <c r="P53" s="1326" t="s">
        <v>834</v>
      </c>
      <c r="Q53" s="1327">
        <f ca="1">Q47+Q48</f>
        <v>3874872</v>
      </c>
      <c r="R53" s="1327" t="s">
        <v>410</v>
      </c>
    </row>
    <row r="54" spans="1:18" s="1292" customFormat="1" ht="13.5" thickBot="1">
      <c r="A54" s="921"/>
      <c r="B54" s="1377" t="s">
        <v>887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f ca="1">ROUND(IF(J47="钢混",J57/J50,1-(1-2%)*(J50-J57)/J50),3)</f>
        <v>0.434</v>
      </c>
      <c r="K55" s="1350" t="s">
        <v>837</v>
      </c>
      <c r="L55" s="1351"/>
      <c r="O55" s="1318" t="s">
        <v>807</v>
      </c>
      <c r="P55" s="1319" t="s">
        <v>808</v>
      </c>
      <c r="Q55" s="1320" t="s">
        <v>809</v>
      </c>
      <c r="R55" s="1320" t="s">
        <v>810</v>
      </c>
    </row>
    <row r="56" spans="1:18" s="1292" customFormat="1" ht="36" customHeight="1" thickTop="1" thickBot="1">
      <c r="A56" s="903">
        <v>2</v>
      </c>
      <c r="B56" s="904" t="s">
        <v>700</v>
      </c>
      <c r="C56" s="224">
        <f ca="1">C13</f>
        <v>2439402</v>
      </c>
      <c r="D56" s="1352"/>
      <c r="E56" s="1353"/>
      <c r="F56" s="1345"/>
      <c r="I56" s="1354" t="s">
        <v>838</v>
      </c>
      <c r="J56" s="1355" t="s">
        <v>3412</v>
      </c>
      <c r="K56" s="1328" t="s">
        <v>839</v>
      </c>
      <c r="L56" s="1331" t="str">
        <f ca="1">IF(L48&lt;J51,"——",L48-J51)</f>
        <v>——</v>
      </c>
      <c r="O56" s="1325" t="s">
        <v>403</v>
      </c>
      <c r="P56" s="1326" t="s">
        <v>813</v>
      </c>
      <c r="Q56" s="1327">
        <f ca="1">C40+J29</f>
        <v>3703914</v>
      </c>
      <c r="R56" s="1327" t="s">
        <v>814</v>
      </c>
    </row>
    <row r="57" spans="1:18" s="1292" customFormat="1" ht="24.75" thickBot="1">
      <c r="A57" s="1356"/>
      <c r="B57" s="896" t="s">
        <v>763</v>
      </c>
      <c r="C57" s="230">
        <f ca="1">C29</f>
        <v>2772048</v>
      </c>
      <c r="D57" s="1357"/>
      <c r="E57" s="1358"/>
      <c r="F57" s="1359"/>
      <c r="I57" s="1360" t="s">
        <v>840</v>
      </c>
      <c r="J57" s="1361">
        <f ca="1">IF(OR(M47="住宅",J51&lt;L48,J56="是"),"——",J51-L48)</f>
        <v>26.02</v>
      </c>
      <c r="K57" s="1328" t="s">
        <v>888</v>
      </c>
      <c r="L57" s="1331" t="str">
        <f ca="1">IF(L48&lt;J51,"——",IF(L55="比较法",L49,IF(L55="基准地价",L50,L51)))</f>
        <v>——</v>
      </c>
      <c r="O57" s="1325" t="s">
        <v>404</v>
      </c>
      <c r="P57" s="1326" t="s">
        <v>889</v>
      </c>
      <c r="Q57" s="1327">
        <f ca="1">L60</f>
        <v>0</v>
      </c>
      <c r="R57" s="1327" t="s">
        <v>890</v>
      </c>
    </row>
    <row r="58" spans="1:18" s="1292" customFormat="1" ht="24.75" thickBot="1">
      <c r="A58" s="307" t="s">
        <v>393</v>
      </c>
      <c r="B58" s="904" t="s">
        <v>710</v>
      </c>
      <c r="C58" s="308">
        <f ca="1">ROUND(C59+C64+C65+C66,0)</f>
        <v>10755</v>
      </c>
      <c r="D58" s="906" t="s">
        <v>711</v>
      </c>
      <c r="E58" s="907"/>
      <c r="F58" s="908"/>
      <c r="I58" s="1360" t="s">
        <v>844</v>
      </c>
      <c r="J58" s="1362">
        <f ca="1">IF(J55&lt;0.4,0.4,J55)</f>
        <v>0.434</v>
      </c>
      <c r="K58" s="1339" t="s">
        <v>891</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f ca="1">IF(OR(M47="住宅",J51&lt;L48,J56="是"),"——",ROUND(C29*J58,0))</f>
        <v>1203069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IF(项目基本情况!B11="自然人","——",ROUND(C48*F60/(1+'数据-取费表'!C42),0))</f>
        <v>0</v>
      </c>
      <c r="D60" s="910" t="s">
        <v>720</v>
      </c>
      <c r="E60" s="896" t="s">
        <v>708</v>
      </c>
      <c r="F60" s="322">
        <f t="shared" ref="F60:F66" si="0">F32</f>
        <v>5.5000000000000007E-2</v>
      </c>
      <c r="I60" s="1363" t="s">
        <v>849</v>
      </c>
      <c r="J60" s="1364">
        <f ca="1">IF(OR(M47="住宅",J51&lt;L48,J56="是"),"0",ROUND(J59/(1+J52)^J53,0))</f>
        <v>170958</v>
      </c>
      <c r="K60" s="1365" t="s">
        <v>850</v>
      </c>
      <c r="L60" s="1364">
        <f ca="1">IF(OR(M47="住宅",L48&lt;J51),0,ROUND(L57*(L58/L59-1),0))</f>
        <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IF(项目基本情况!B11="自然人","——",IF(D61="按租金收入计税",ROUND(C49*F61/(1+'数据-取费表'!C42),0),IF(D61="按房产原值计税",ROUND(C57*F61*0.7,0),INDIRECT("'数据-取费表'!Aj"&amp;$G$1))))</f>
        <v>0</v>
      </c>
      <c r="D61" s="1278" t="s">
        <v>3330</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IF(项目基本情况!B11="自然人","——",ROUND(F62*F63,0))</f>
        <v>0</v>
      </c>
      <c r="D62" s="911" t="s">
        <v>782</v>
      </c>
      <c r="E62" s="896" t="s">
        <v>783</v>
      </c>
      <c r="F62" s="317">
        <f t="shared" si="0"/>
        <v>0</v>
      </c>
      <c r="I62" s="1367" t="s">
        <v>854</v>
      </c>
      <c r="J62" s="610" t="s">
        <v>855</v>
      </c>
      <c r="K62" s="610" t="s">
        <v>856</v>
      </c>
      <c r="L62" s="610" t="s">
        <v>857</v>
      </c>
      <c r="M62" s="1368" t="s">
        <v>858</v>
      </c>
      <c r="O62" s="1325" t="s">
        <v>409</v>
      </c>
      <c r="P62" s="1326" t="s">
        <v>859</v>
      </c>
      <c r="Q62" s="1327">
        <f ca="1">Q56+Q57</f>
        <v>3703914</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ROUND(C57*F64,0)</f>
        <v>8316</v>
      </c>
      <c r="D64" s="910" t="s">
        <v>787</v>
      </c>
      <c r="E64" s="896" t="s">
        <v>779</v>
      </c>
      <c r="F64" s="320">
        <f t="shared" ca="1" si="0"/>
        <v>3.0000000000000001E-3</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ROUND(C56*F65,0)</f>
        <v>2439</v>
      </c>
      <c r="D65" s="910" t="s">
        <v>739</v>
      </c>
      <c r="E65" s="896" t="s">
        <v>740</v>
      </c>
      <c r="F65" s="321">
        <f t="shared" ca="1" si="0"/>
        <v>1E-3</v>
      </c>
      <c r="I65" s="1367" t="s">
        <v>863</v>
      </c>
      <c r="J65" s="610">
        <v>40</v>
      </c>
      <c r="K65" s="610">
        <v>30</v>
      </c>
      <c r="L65" s="610">
        <v>50</v>
      </c>
      <c r="M65" s="1369">
        <v>0.02</v>
      </c>
      <c r="O65" s="1325" t="s">
        <v>403</v>
      </c>
      <c r="P65" s="1326" t="s">
        <v>864</v>
      </c>
      <c r="Q65" s="1327">
        <f ca="1">C40+J29</f>
        <v>3703914</v>
      </c>
      <c r="R65" s="1327" t="s">
        <v>814</v>
      </c>
    </row>
    <row r="66" spans="1:18" s="1292" customFormat="1" ht="16.5" thickBot="1">
      <c r="A66" s="928" t="s">
        <v>789</v>
      </c>
      <c r="B66" s="896" t="s">
        <v>724</v>
      </c>
      <c r="C66" s="21">
        <f ca="1">ROUND(C48*F66,0)</f>
        <v>0</v>
      </c>
      <c r="D66" s="910" t="s">
        <v>790</v>
      </c>
      <c r="E66" s="896" t="s">
        <v>708</v>
      </c>
      <c r="F66" s="304">
        <f t="shared" ca="1" si="0"/>
        <v>0.01</v>
      </c>
      <c r="O66" s="1325" t="s">
        <v>404</v>
      </c>
      <c r="P66" s="1326" t="s">
        <v>842</v>
      </c>
      <c r="Q66" s="1327">
        <f ca="1">L60</f>
        <v>0</v>
      </c>
      <c r="R66" s="1327" t="s">
        <v>865</v>
      </c>
    </row>
    <row r="67" spans="1:18" s="1292" customFormat="1" ht="16.5" thickBot="1">
      <c r="A67" s="903" t="s">
        <v>394</v>
      </c>
      <c r="B67" s="913" t="s">
        <v>748</v>
      </c>
      <c r="C67" s="308">
        <f ca="1">C48-C58</f>
        <v>-10755</v>
      </c>
      <c r="D67" s="909" t="s">
        <v>749</v>
      </c>
      <c r="E67" s="914"/>
      <c r="F67" s="915"/>
      <c r="O67" s="1334" t="s">
        <v>405</v>
      </c>
      <c r="P67" s="1326" t="s">
        <v>846</v>
      </c>
      <c r="Q67" s="1370">
        <f ca="1">L51</f>
        <v>1073336</v>
      </c>
      <c r="R67" s="1327" t="s">
        <v>866</v>
      </c>
    </row>
    <row r="68" spans="1:18" s="1292" customFormat="1" ht="16.5" thickBot="1">
      <c r="A68" s="893" t="s">
        <v>395</v>
      </c>
      <c r="B68" s="894" t="s">
        <v>770</v>
      </c>
      <c r="C68" s="293">
        <f ca="1">ROUND(C67*(1-((1+F70)/(1+F68))^F69)/(F68-F70),0)</f>
        <v>-149425</v>
      </c>
      <c r="D68" s="911" t="s">
        <v>754</v>
      </c>
      <c r="E68" s="896" t="s">
        <v>755</v>
      </c>
      <c r="F68" s="304">
        <f ca="1">F40</f>
        <v>5.5E-2</v>
      </c>
      <c r="O68" s="1334" t="s">
        <v>406</v>
      </c>
      <c r="P68" s="1371" t="s">
        <v>867</v>
      </c>
      <c r="Q68" s="1327">
        <f ca="1">ROUND(Q69-Q70*Q71,0)</f>
        <v>58039</v>
      </c>
      <c r="R68" s="1327" t="s">
        <v>414</v>
      </c>
    </row>
    <row r="69" spans="1:18" s="1292" customFormat="1" ht="13.5" thickBot="1">
      <c r="A69" s="897"/>
      <c r="B69" s="898"/>
      <c r="C69" s="298"/>
      <c r="D69" s="916" t="s">
        <v>758</v>
      </c>
      <c r="E69" s="896" t="s">
        <v>759</v>
      </c>
      <c r="F69" s="324">
        <f ca="1">F41</f>
        <v>26.98</v>
      </c>
      <c r="O69" s="1334" t="s">
        <v>411</v>
      </c>
      <c r="P69" s="1371" t="s">
        <v>868</v>
      </c>
      <c r="Q69" s="1327">
        <f ca="1">C39</f>
        <v>228797</v>
      </c>
      <c r="R69" s="1327" t="s">
        <v>814</v>
      </c>
    </row>
    <row r="70" spans="1:18" s="1292" customFormat="1" ht="13.5" thickBot="1">
      <c r="A70" s="900"/>
      <c r="B70" s="901"/>
      <c r="C70" s="302"/>
      <c r="D70" s="912"/>
      <c r="E70" s="896" t="s">
        <v>762</v>
      </c>
      <c r="F70" s="991"/>
      <c r="O70" s="1334" t="s">
        <v>412</v>
      </c>
      <c r="P70" s="1371" t="s">
        <v>869</v>
      </c>
      <c r="Q70" s="1327">
        <f ca="1">C13</f>
        <v>2439402</v>
      </c>
      <c r="R70" s="1327" t="s">
        <v>814</v>
      </c>
    </row>
    <row r="71" spans="1:18" s="1292" customFormat="1" ht="13.5" thickBot="1">
      <c r="A71" s="917" t="s">
        <v>396</v>
      </c>
      <c r="B71" s="918" t="s">
        <v>772</v>
      </c>
      <c r="C71" s="327">
        <f ca="1">ROUND(C68/F71,0)</f>
        <v>-304</v>
      </c>
      <c r="D71" s="919" t="s">
        <v>773</v>
      </c>
      <c r="E71" s="920" t="s">
        <v>774</v>
      </c>
      <c r="F71" s="330">
        <f ca="1">F43</f>
        <v>491.32</v>
      </c>
      <c r="O71" s="1334" t="s">
        <v>413</v>
      </c>
      <c r="P71" s="1371" t="s">
        <v>870</v>
      </c>
      <c r="Q71" s="1337">
        <f ca="1">C76</f>
        <v>7.0000000000000007E-2</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170758</v>
      </c>
      <c r="D75" s="1292"/>
      <c r="E75" s="1292"/>
      <c r="F75" s="1292"/>
      <c r="K75" s="1309"/>
      <c r="L75" s="1292"/>
      <c r="O75" s="1325" t="s">
        <v>409</v>
      </c>
      <c r="P75" s="1326" t="s">
        <v>834</v>
      </c>
      <c r="Q75" s="1327">
        <f ca="1">Q65+Q66</f>
        <v>3703914</v>
      </c>
      <c r="R75" s="1327" t="s">
        <v>410</v>
      </c>
    </row>
    <row r="76" spans="1:18">
      <c r="B76" s="333" t="s">
        <v>792</v>
      </c>
      <c r="C76" s="334">
        <f ca="1">INDIRECT("'数据-取费表'!j"&amp;$G$1)</f>
        <v>7.0000000000000007E-2</v>
      </c>
      <c r="I76" s="1292"/>
      <c r="J76" s="1292"/>
      <c r="K76" s="1309"/>
      <c r="L76" s="1292"/>
    </row>
    <row r="77" spans="1:18">
      <c r="B77" s="335" t="s">
        <v>793</v>
      </c>
      <c r="C77" s="336"/>
      <c r="I77" s="1292"/>
      <c r="J77" s="1292"/>
      <c r="K77" s="1309"/>
      <c r="L77" s="1292"/>
    </row>
    <row r="78" spans="1:18">
      <c r="B78" s="262" t="s">
        <v>794</v>
      </c>
      <c r="C78" s="337"/>
    </row>
    <row r="79" spans="1:18">
      <c r="B79" s="331" t="s">
        <v>795</v>
      </c>
      <c r="C79" s="266">
        <f ca="1">1-C80</f>
        <v>0.254</v>
      </c>
    </row>
    <row r="80" spans="1:18">
      <c r="B80" s="331" t="s">
        <v>796</v>
      </c>
      <c r="C80" s="266">
        <f ca="1">ROUND(C75/C39,3)</f>
        <v>0.746</v>
      </c>
    </row>
    <row r="81" spans="2:3">
      <c r="B81" s="262" t="s">
        <v>797</v>
      </c>
      <c r="C81" s="230"/>
    </row>
    <row r="82" spans="2:3">
      <c r="B82" s="265" t="s">
        <v>798</v>
      </c>
      <c r="C82" s="267">
        <f ca="1">1-C83</f>
        <v>0.34099999999999997</v>
      </c>
    </row>
    <row r="83" spans="2:3">
      <c r="B83" s="265" t="s">
        <v>799</v>
      </c>
      <c r="C83" s="266">
        <f ca="1">ROUND(C13/C40,3)</f>
        <v>0.65900000000000003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c r="C1" s="1717" t="s">
        <v>1559</v>
      </c>
      <c r="D1" s="190"/>
      <c r="E1" s="190"/>
      <c r="F1" s="190"/>
      <c r="G1" s="1062">
        <f>MATCH(B1,'数据-取费表'!A6:A16,0)+5</f>
        <v>7</v>
      </c>
      <c r="H1" s="998" t="str">
        <f>IF(ISERROR(FIND("住宅",B1)),"非住宅","住宅")</f>
        <v>非住宅</v>
      </c>
    </row>
    <row r="2" spans="1:8" s="192" customFormat="1" ht="18" customHeight="1">
      <c r="A2" s="193" t="s">
        <v>1458</v>
      </c>
      <c r="B2" s="3122">
        <f ca="1">ROUND(IF(D2="——",C52/10000,C52/10000-E2),4)</f>
        <v>303.56189999999998</v>
      </c>
      <c r="C2" s="191" t="s">
        <v>1459</v>
      </c>
      <c r="D2" s="1711" t="s">
        <v>43</v>
      </c>
      <c r="E2" s="1089" t="e">
        <f ca="1">SUMIF(INDIRECT("'"&amp;G2&amp;"'"&amp;"!A:A"),"承租人权益价值",INDIRECT("'"&amp;G2&amp;"'"&amp;"!c:c"))</f>
        <v>#REF!</v>
      </c>
      <c r="F2" s="1712" t="s">
        <v>1459</v>
      </c>
      <c r="G2" s="1713"/>
    </row>
    <row r="3" spans="1:8" s="192" customFormat="1" ht="18" customHeight="1" thickBot="1">
      <c r="A3" s="195" t="s">
        <v>1460</v>
      </c>
      <c r="B3" s="196">
        <f ca="1">ROUND(B2*10000/(IF(B1="",'数据-汇总表'!E3,INDIRECT("'数据-取费表'!k"&amp;$G$1))),0)</f>
        <v>6178</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460778.12</v>
      </c>
      <c r="D5" s="203" t="s">
        <v>1465</v>
      </c>
      <c r="E5" s="204" t="s">
        <v>1466</v>
      </c>
      <c r="F5" s="204" t="s">
        <v>1467</v>
      </c>
      <c r="G5" s="205"/>
    </row>
    <row r="6" spans="1:8" s="206" customFormat="1" ht="13.5" customHeight="1">
      <c r="A6" s="732" t="s">
        <v>1468</v>
      </c>
      <c r="B6" s="207" t="s">
        <v>1469</v>
      </c>
      <c r="C6" s="208">
        <f ca="1">基准地价修正!C33*'成本法 (元)'!D10</f>
        <v>351785.12</v>
      </c>
      <c r="D6" s="209"/>
      <c r="E6" s="210"/>
      <c r="F6" s="210"/>
      <c r="G6" s="211"/>
    </row>
    <row r="7" spans="1:8" s="206" customFormat="1" ht="13.5" customHeight="1">
      <c r="A7" s="732" t="s">
        <v>1470</v>
      </c>
      <c r="B7" s="207" t="s">
        <v>1471</v>
      </c>
      <c r="C7" s="212">
        <f ca="1">ROUND(C6*F7,0)</f>
        <v>10729</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98264</v>
      </c>
      <c r="D8" s="214"/>
      <c r="E8" s="212"/>
      <c r="F8" s="213"/>
      <c r="G8" s="1714" t="s">
        <v>3467</v>
      </c>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1476</v>
      </c>
      <c r="C10" s="217">
        <f ca="1">ROUND(D10*E10,0)</f>
        <v>98264</v>
      </c>
      <c r="D10" s="795">
        <f ca="1">IF(B1="",'数据-汇总表'!E6,IF(INDIRECT("'数据-取费表'!c"&amp;$G$1)="住宅",INDIRECT("'数据-取费表'!s"&amp;$G$1),INDIRECT("'数据-取费表'!k"&amp;$G$1)+INDIRECT("'数据-取费表'!s"&amp;$G$1)))</f>
        <v>491.32</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491.32</v>
      </c>
      <c r="E19" s="203">
        <f>'数据-取费表'!B31</f>
        <v>200</v>
      </c>
      <c r="F19" s="223"/>
      <c r="G19" s="1714" t="s">
        <v>3468</v>
      </c>
    </row>
    <row r="20" spans="1:7" s="206" customFormat="1" ht="13.5" customHeight="1">
      <c r="A20" s="247" t="s">
        <v>1570</v>
      </c>
      <c r="B20" s="202" t="s">
        <v>1571</v>
      </c>
      <c r="C20" s="224">
        <f ca="1">ROUND((C5+C19)*F20,0)</f>
        <v>13823</v>
      </c>
      <c r="D20" s="224"/>
      <c r="E20" s="224"/>
      <c r="F20" s="225">
        <f>'数据-取费表'!B37</f>
        <v>0.03</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29440</v>
      </c>
      <c r="D22" s="227">
        <f ca="1">C26</f>
        <v>5.9999999999999995E-4</v>
      </c>
      <c r="E22" s="228" t="s">
        <v>1575</v>
      </c>
      <c r="F22" s="229">
        <f ca="1">'数据-取费表'!B40</f>
        <v>3.1E-2</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29011</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34" t="s">
        <v>1472</v>
      </c>
      <c r="B25" s="207" t="s">
        <v>1583</v>
      </c>
      <c r="C25" s="230">
        <f ca="1">ROUND(IF('数据-取费表'!B22&lt;=1,C20*F22*'数据-取费表'!B22/2,C20*(POWER((1+F22),'数据-取费表'!B22/2)-1)),0)</f>
        <v>429</v>
      </c>
      <c r="D25" s="230"/>
      <c r="E25" s="233"/>
      <c r="F25" s="231"/>
      <c r="G25" s="234" t="s">
        <v>1584</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47460</v>
      </c>
      <c r="D27" s="227">
        <f ca="1">C29</f>
        <v>2E-3</v>
      </c>
      <c r="E27" s="228" t="s">
        <v>1510</v>
      </c>
      <c r="F27" s="238">
        <f ca="1">IF(B1="",'数据-取费表'!Q16,INDIRECT("'数据-取费表'!q"&amp;$G$1))</f>
        <v>0.1</v>
      </c>
      <c r="G27" s="239" t="s">
        <v>1511</v>
      </c>
    </row>
    <row r="28" spans="1:7" s="206" customFormat="1" ht="13.5" customHeight="1">
      <c r="A28" s="734" t="s">
        <v>346</v>
      </c>
      <c r="B28" s="240" t="s">
        <v>1512</v>
      </c>
      <c r="C28" s="241">
        <f ca="1">ROUND((C5+C19+C20)*F27,0)</f>
        <v>47460</v>
      </c>
      <c r="D28" s="227"/>
      <c r="E28" s="228"/>
      <c r="F28" s="238"/>
      <c r="G28" s="239"/>
    </row>
    <row r="29" spans="1:7" s="206" customFormat="1" ht="13.5" customHeight="1">
      <c r="A29" s="734" t="s">
        <v>347</v>
      </c>
      <c r="B29" s="240" t="s">
        <v>1513</v>
      </c>
      <c r="C29" s="230">
        <f ca="1">ROUND(C21*F27,4)</f>
        <v>2E-3</v>
      </c>
      <c r="D29" s="227"/>
      <c r="E29" s="228"/>
      <c r="F29" s="238"/>
      <c r="G29" s="239"/>
    </row>
    <row r="30" spans="1:7" s="206" customFormat="1" ht="13.5" customHeight="1">
      <c r="A30" s="247" t="s">
        <v>1514</v>
      </c>
      <c r="B30" s="202" t="s">
        <v>1515</v>
      </c>
      <c r="C30" s="227">
        <f>ROUND(F30/(1+'数据-取费表'!C42),4)</f>
        <v>5.2400000000000002E-2</v>
      </c>
      <c r="D30" s="228" t="s">
        <v>1510</v>
      </c>
      <c r="E30" s="233"/>
      <c r="F30" s="229">
        <f>'数据-取费表'!B41</f>
        <v>5.5000000000000007E-2</v>
      </c>
      <c r="G30" s="226" t="s">
        <v>1516</v>
      </c>
    </row>
    <row r="31" spans="1:7" ht="16.5" customHeight="1">
      <c r="A31" s="201">
        <v>1</v>
      </c>
      <c r="B31" s="202" t="s">
        <v>1517</v>
      </c>
      <c r="C31" s="203">
        <f ca="1">ROUND((C5+C19+C20+C22+C27)/(1-C21-D22-D27-C30),0)</f>
        <v>596217</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2201114</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1965280</v>
      </c>
      <c r="D34" s="209"/>
      <c r="E34" s="212"/>
      <c r="F34" s="249"/>
      <c r="G34" s="211"/>
    </row>
    <row r="35" spans="1:7" ht="13.5" customHeight="1">
      <c r="A35" s="734" t="s">
        <v>351</v>
      </c>
      <c r="B35" s="207" t="s">
        <v>1523</v>
      </c>
      <c r="C35" s="212">
        <f ca="1">ROUND(C34*F35,0)</f>
        <v>98264</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34" t="s">
        <v>353</v>
      </c>
      <c r="B37" s="207" t="s">
        <v>1527</v>
      </c>
      <c r="C37" s="241">
        <f ca="1">ROUND(E37*D37,0)</f>
        <v>98264</v>
      </c>
      <c r="D37" s="209">
        <f ca="1">D19</f>
        <v>491.32</v>
      </c>
      <c r="E37" s="241">
        <f>'数据-取费表'!B35</f>
        <v>200</v>
      </c>
      <c r="F37" s="251"/>
      <c r="G37" s="253"/>
    </row>
    <row r="38" spans="1:7" ht="13.5" customHeight="1">
      <c r="A38" s="734" t="s">
        <v>354</v>
      </c>
      <c r="B38" s="207" t="s">
        <v>1529</v>
      </c>
      <c r="C38" s="212">
        <f ca="1">ROUND(C34*F38,0)</f>
        <v>39306</v>
      </c>
      <c r="D38" s="212"/>
      <c r="E38" s="212"/>
      <c r="F38" s="251">
        <f>'数据-取费表'!B36</f>
        <v>0.02</v>
      </c>
      <c r="G38" s="211" t="s">
        <v>1524</v>
      </c>
    </row>
    <row r="39" spans="1:7" s="206" customFormat="1" ht="13.5" customHeight="1">
      <c r="A39" s="247" t="s">
        <v>1530</v>
      </c>
      <c r="B39" s="202" t="s">
        <v>1531</v>
      </c>
      <c r="C39" s="224">
        <f ca="1">ROUND(C33*F20,0)</f>
        <v>66033</v>
      </c>
      <c r="D39" s="224"/>
      <c r="E39" s="224"/>
      <c r="F39" s="225">
        <f>F20</f>
        <v>0.03</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70282</v>
      </c>
      <c r="D41" s="227">
        <f ca="1">C44</f>
        <v>5.9999999999999995E-4</v>
      </c>
      <c r="E41" s="228" t="s">
        <v>1535</v>
      </c>
      <c r="F41" s="229">
        <f ca="1">F22</f>
        <v>3.1E-2</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68235</v>
      </c>
      <c r="D42" s="230"/>
      <c r="E42" s="230"/>
      <c r="F42" s="231"/>
      <c r="G42" s="3362" t="s">
        <v>1587</v>
      </c>
    </row>
    <row r="43" spans="1:7" ht="13.5" customHeight="1">
      <c r="A43" s="734" t="s">
        <v>347</v>
      </c>
      <c r="B43" s="207" t="s">
        <v>1541</v>
      </c>
      <c r="C43" s="230">
        <f ca="1">ROUND(IF('数据-取费表'!B22&lt;=1,C39*F22*'数据-取费表'!B20/2,C39*(POWER((1+F22),'数据-取费表'!B20/2)-1)),0)</f>
        <v>2047</v>
      </c>
      <c r="D43" s="230"/>
      <c r="E43" s="230"/>
      <c r="F43" s="231"/>
      <c r="G43" s="3363"/>
    </row>
    <row r="44" spans="1:7" ht="13.5" customHeight="1">
      <c r="A44" s="734" t="s">
        <v>348</v>
      </c>
      <c r="B44" s="207" t="s">
        <v>1542</v>
      </c>
      <c r="C44" s="230">
        <f ca="1">ROUND(IF('数据-取费表'!B22&lt;=1,C40*F22*'数据-取费表'!B20/2,C40*(POWER((1+F22),'数据-取费表'!B20/2)-1)),4)</f>
        <v>5.9999999999999995E-4</v>
      </c>
      <c r="D44" s="230"/>
      <c r="E44" s="230"/>
      <c r="F44" s="231"/>
      <c r="G44" s="3364"/>
    </row>
    <row r="45" spans="1:7" s="206" customFormat="1" ht="13.5" customHeight="1">
      <c r="A45" s="247" t="s">
        <v>1543</v>
      </c>
      <c r="B45" s="236" t="s">
        <v>1509</v>
      </c>
      <c r="C45" s="237">
        <f ca="1">C46</f>
        <v>226715</v>
      </c>
      <c r="D45" s="227">
        <f ca="1">C47</f>
        <v>2E-3</v>
      </c>
      <c r="E45" s="228" t="s">
        <v>1535</v>
      </c>
      <c r="F45" s="238">
        <f ca="1">F27</f>
        <v>0.1</v>
      </c>
      <c r="G45" s="239" t="s">
        <v>1544</v>
      </c>
    </row>
    <row r="46" spans="1:7" s="206" customFormat="1" ht="13.5" customHeight="1">
      <c r="A46" s="734" t="s">
        <v>346</v>
      </c>
      <c r="B46" s="240" t="s">
        <v>1545</v>
      </c>
      <c r="C46" s="241">
        <f ca="1">ROUND((C33+C39)*F27,0)</f>
        <v>226715</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54">
        <f>ROUND(F30/(1+'数据-取费表'!C42),4)</f>
        <v>5.2400000000000002E-2</v>
      </c>
      <c r="D48" s="228" t="s">
        <v>1535</v>
      </c>
      <c r="E48" s="224"/>
      <c r="F48" s="229">
        <f>F30</f>
        <v>5.5000000000000007E-2</v>
      </c>
      <c r="G48" s="226" t="s">
        <v>1548</v>
      </c>
    </row>
    <row r="49" spans="1:7" ht="16.5" customHeight="1">
      <c r="A49" s="247" t="s">
        <v>1514</v>
      </c>
      <c r="B49" s="202" t="s">
        <v>1588</v>
      </c>
      <c r="C49" s="224">
        <f ca="1">ROUND((C33+C39+C41+C45)/(1-C40-D41-D45-C48),0)</f>
        <v>2772048</v>
      </c>
      <c r="D49" s="224"/>
      <c r="E49" s="224"/>
      <c r="F49" s="256"/>
      <c r="G49" s="226" t="s">
        <v>1550</v>
      </c>
    </row>
    <row r="50" spans="1:7" s="250" customFormat="1">
      <c r="A50" s="247" t="s">
        <v>1551</v>
      </c>
      <c r="B50" s="202" t="s">
        <v>1552</v>
      </c>
      <c r="C50" s="224"/>
      <c r="D50" s="224"/>
      <c r="E50" s="224"/>
      <c r="F50" s="256">
        <f>IF('数据-取费表'!B24=0,'数据-取费表'!N16,1)</f>
        <v>0.88</v>
      </c>
      <c r="G50" s="239"/>
    </row>
    <row r="51" spans="1:7" ht="16.5" customHeight="1">
      <c r="A51" s="247" t="s">
        <v>1554</v>
      </c>
      <c r="B51" s="202" t="s">
        <v>1589</v>
      </c>
      <c r="C51" s="224">
        <f ca="1">ROUND(C49*F50,0)</f>
        <v>2439402</v>
      </c>
      <c r="D51" s="224"/>
      <c r="E51" s="224"/>
      <c r="F51" s="256"/>
      <c r="G51" s="226" t="s">
        <v>1556</v>
      </c>
    </row>
    <row r="52" spans="1:7" s="200" customFormat="1" ht="16.5" thickBot="1">
      <c r="A52" s="257" t="s">
        <v>1557</v>
      </c>
      <c r="B52" s="258"/>
      <c r="C52" s="259">
        <f ca="1">C31+C51</f>
        <v>3035619</v>
      </c>
      <c r="D52" s="258"/>
      <c r="E52" s="258"/>
      <c r="F52" s="258"/>
      <c r="G52" s="260"/>
    </row>
    <row r="55" spans="1:7" ht="15">
      <c r="B55" s="262" t="s">
        <v>1558</v>
      </c>
      <c r="C55" s="263"/>
    </row>
    <row r="56" spans="1:7">
      <c r="B56" s="265" t="s">
        <v>798</v>
      </c>
      <c r="C56" s="267">
        <f ca="1">1-C57</f>
        <v>0.19599999999999995</v>
      </c>
    </row>
    <row r="57" spans="1:7">
      <c r="B57" s="265" t="s">
        <v>799</v>
      </c>
      <c r="C57" s="266">
        <f ca="1">ROUND(C51/C52,3)</f>
        <v>0.80400000000000005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10"/>
      <c r="D1" s="1109"/>
      <c r="E1" s="2567"/>
      <c r="F1" s="2567"/>
      <c r="G1" s="2448"/>
      <c r="H1" s="2567"/>
      <c r="I1" s="2567"/>
      <c r="J1" s="2567"/>
      <c r="K1" s="2568">
        <f>MATCH(C1,'数据-取费表'!A6:A16,0)+5</f>
        <v>7</v>
      </c>
    </row>
    <row r="2" spans="1:33" ht="18" customHeight="1">
      <c r="A2" s="193" t="s">
        <v>1458</v>
      </c>
      <c r="B2" s="196">
        <f ca="1">C32</f>
        <v>-11</v>
      </c>
      <c r="C2" s="268" t="s">
        <v>1591</v>
      </c>
      <c r="D2" s="268"/>
      <c r="E2" s="2567"/>
      <c r="F2" s="2567"/>
      <c r="G2" s="2567"/>
      <c r="H2" s="2567"/>
      <c r="I2" s="2567"/>
      <c r="J2" s="2567"/>
      <c r="K2" s="2567"/>
    </row>
    <row r="3" spans="1:33" ht="18" customHeight="1" thickBot="1">
      <c r="A3" s="195" t="s">
        <v>1460</v>
      </c>
      <c r="B3" s="196">
        <f ca="1">ROUND(B2*10000/IF(C1="",'数据-汇总表'!E3,INDIRECT("'数据-取费表'!K"&amp;$K$1)),0)</f>
        <v>-224</v>
      </c>
      <c r="C3" s="268" t="s">
        <v>1592</v>
      </c>
      <c r="D3" s="268"/>
      <c r="E3" s="2567"/>
      <c r="F3" s="2567"/>
      <c r="G3" s="2567"/>
      <c r="H3" s="2567"/>
      <c r="I3" s="2567"/>
      <c r="J3" s="2567"/>
      <c r="K3" s="2567"/>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491.32</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0.02</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491.32</v>
      </c>
      <c r="E17" s="21">
        <f>'数据-取费表'!B32</f>
        <v>0</v>
      </c>
      <c r="F17" s="758"/>
      <c r="G17" s="123" t="s">
        <v>1619</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10</v>
      </c>
      <c r="D18" s="796"/>
      <c r="E18" s="21"/>
      <c r="F18" s="756"/>
      <c r="G18" s="1720"/>
      <c r="H18" s="1106"/>
      <c r="I18" s="1721" t="s">
        <v>1621</v>
      </c>
      <c r="J18" s="759"/>
      <c r="K18" s="760"/>
    </row>
    <row r="19" spans="1:33" s="755" customFormat="1" ht="13.5" customHeight="1">
      <c r="A19" s="752" t="s">
        <v>360</v>
      </c>
      <c r="B19" s="753" t="s">
        <v>1622</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1623</v>
      </c>
      <c r="C20" s="21">
        <f ca="1">ROUND(D20*E20/10000,0)</f>
        <v>10</v>
      </c>
      <c r="D20" s="796">
        <f ca="1">IF(C1="",'数据-汇总表'!E6,IF(INDIRECT("'数据-取费表'!c"&amp;$K$1)="住宅",INDIRECT("'数据-取费表'!s"&amp;$K$1),INDIRECT("'数据-取费表'!k"&amp;$K$1)+INDIRECT("'数据-取费表'!s"&amp;$K$1)))</f>
        <v>491.32</v>
      </c>
      <c r="E20" s="21">
        <f>'数据-取费表'!B28</f>
        <v>200</v>
      </c>
      <c r="F20" s="756"/>
      <c r="G20" s="12"/>
      <c r="H20" s="761"/>
      <c r="I20" s="761"/>
      <c r="J20" s="761"/>
      <c r="K20" s="762"/>
    </row>
    <row r="21" spans="1:33" s="755" customFormat="1" ht="13.5" customHeight="1">
      <c r="A21" s="744" t="s">
        <v>357</v>
      </c>
      <c r="B21" s="765" t="s">
        <v>1624</v>
      </c>
      <c r="C21" s="766">
        <f ca="1">C16+C17+C18</f>
        <v>10</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0.03</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0.02</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1637</v>
      </c>
      <c r="B28" s="1723" t="s">
        <v>1638</v>
      </c>
      <c r="C28" s="279">
        <f ca="1">C30</f>
        <v>1</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1</v>
      </c>
      <c r="D30" s="276"/>
      <c r="E30" s="277"/>
      <c r="F30" s="282"/>
      <c r="G30" s="123"/>
      <c r="H30" s="759"/>
      <c r="I30" s="759"/>
      <c r="J30" s="759"/>
      <c r="K30" s="760"/>
    </row>
    <row r="31" spans="1:33" s="755" customFormat="1" ht="13.5" customHeight="1" thickBot="1">
      <c r="A31" s="1724" t="s">
        <v>1642</v>
      </c>
      <c r="B31" s="783" t="s">
        <v>1643</v>
      </c>
      <c r="C31" s="784">
        <f>ROUND(C4*F31/(1+'数据-取费表'!C42),0)</f>
        <v>0</v>
      </c>
      <c r="D31" s="785"/>
      <c r="E31" s="786"/>
      <c r="F31" s="787">
        <f>'数据-取费表'!B41</f>
        <v>5.5000000000000007E-2</v>
      </c>
      <c r="G31" s="788" t="s">
        <v>1644</v>
      </c>
      <c r="H31" s="789"/>
      <c r="I31" s="789"/>
      <c r="J31" s="789"/>
      <c r="K31" s="790"/>
    </row>
    <row r="32" spans="1:33" s="751" customFormat="1" ht="13.5" customHeight="1" thickBot="1">
      <c r="A32" s="449" t="s">
        <v>1645</v>
      </c>
      <c r="B32" s="779"/>
      <c r="C32" s="780">
        <f ca="1">ROUND((C4-C21-C22-C23-C25-C28-C31)/(1+C24+D25+D28),0)</f>
        <v>-11</v>
      </c>
      <c r="D32" s="779"/>
      <c r="E32" s="779"/>
      <c r="F32" s="779"/>
      <c r="G32" s="781" t="s">
        <v>1646</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800</v>
      </c>
      <c r="B2" s="1294" t="e">
        <f ca="1">C40+J29+L46</f>
        <v>#DIV/0!</v>
      </c>
      <c r="C2" s="1289" t="s">
        <v>801</v>
      </c>
      <c r="D2" s="1289"/>
      <c r="E2" s="1295"/>
      <c r="F2" s="1296"/>
      <c r="G2" s="2478"/>
      <c r="H2" s="2468"/>
      <c r="I2" s="2468"/>
      <c r="J2" s="2468"/>
      <c r="K2" s="2469"/>
      <c r="L2" s="2468"/>
      <c r="M2" s="2468"/>
    </row>
    <row r="3" spans="1:37" ht="18" customHeight="1" thickBot="1">
      <c r="A3" s="1297" t="s">
        <v>802</v>
      </c>
      <c r="B3" s="1298">
        <f ca="1">IF(ISERROR(B2*10000/F43),0,ROUND(B2*10000/F43,0))</f>
        <v>0</v>
      </c>
      <c r="C3" s="1289" t="s">
        <v>803</v>
      </c>
      <c r="D3" s="1289"/>
      <c r="E3" s="1295"/>
      <c r="F3" s="1296"/>
      <c r="G3" s="2478"/>
      <c r="H3" s="649" t="s">
        <v>872</v>
      </c>
      <c r="I3" s="1290"/>
      <c r="J3" s="1290"/>
      <c r="K3" s="1291"/>
      <c r="L3" s="1290"/>
      <c r="M3" s="1290"/>
    </row>
    <row r="4" spans="1:37" ht="18" customHeight="1">
      <c r="A4" s="287" t="s">
        <v>683</v>
      </c>
      <c r="B4" s="288" t="s">
        <v>684</v>
      </c>
      <c r="C4" s="288" t="s">
        <v>685</v>
      </c>
      <c r="D4" s="288" t="s">
        <v>686</v>
      </c>
      <c r="E4" s="289" t="s">
        <v>687</v>
      </c>
      <c r="F4" s="290"/>
      <c r="G4" s="1292"/>
      <c r="H4" s="287" t="s">
        <v>683</v>
      </c>
      <c r="I4" s="288" t="s">
        <v>684</v>
      </c>
      <c r="J4" s="288" t="s">
        <v>685</v>
      </c>
      <c r="K4" s="288" t="s">
        <v>686</v>
      </c>
      <c r="L4" s="289" t="s">
        <v>687</v>
      </c>
      <c r="M4" s="290"/>
    </row>
    <row r="5" spans="1:37" ht="18" customHeight="1">
      <c r="A5" s="291">
        <v>1</v>
      </c>
      <c r="B5" s="292" t="s">
        <v>688</v>
      </c>
      <c r="C5" s="1007">
        <f ca="1">C6+C10+C12</f>
        <v>0</v>
      </c>
      <c r="D5" s="1273" t="s">
        <v>689</v>
      </c>
      <c r="E5" s="1008"/>
      <c r="F5" s="1009"/>
      <c r="G5" s="1292"/>
      <c r="H5" s="291">
        <v>1</v>
      </c>
      <c r="I5" s="292" t="s">
        <v>688</v>
      </c>
      <c r="J5" s="1007">
        <f ca="1">J6+J10+J12</f>
        <v>0</v>
      </c>
      <c r="K5" s="1273" t="s">
        <v>689</v>
      </c>
      <c r="L5" s="1008"/>
      <c r="M5" s="1009"/>
    </row>
    <row r="6" spans="1:37" ht="18" customHeight="1">
      <c r="A6" s="1006" t="s">
        <v>398</v>
      </c>
      <c r="B6" s="3403" t="s">
        <v>690</v>
      </c>
      <c r="C6" s="1011">
        <f ca="1">ROUND(F6*F8*F7*(1-F9)/10000,0)</f>
        <v>0</v>
      </c>
      <c r="D6" s="147" t="s">
        <v>2103</v>
      </c>
      <c r="E6" s="294" t="s">
        <v>692</v>
      </c>
      <c r="F6" s="295">
        <f ca="1">INDIRECT("'数据-取费表'!u"&amp;$G$1)</f>
        <v>0</v>
      </c>
      <c r="G6" s="1292"/>
      <c r="H6" s="1006" t="s">
        <v>398</v>
      </c>
      <c r="I6" s="3403" t="s">
        <v>690</v>
      </c>
      <c r="J6" s="293">
        <f ca="1">ROUND(M6*M8*M7*(1-M9)/10000,0)</f>
        <v>0</v>
      </c>
      <c r="K6" s="147" t="s">
        <v>2102</v>
      </c>
      <c r="L6" s="294" t="s">
        <v>692</v>
      </c>
      <c r="M6" s="295">
        <f ca="1">INDIRECT("'数据-取费表'!z"&amp;$G$1)</f>
        <v>0</v>
      </c>
    </row>
    <row r="7" spans="1:37" ht="18" customHeight="1">
      <c r="A7" s="1010"/>
      <c r="B7" s="3404"/>
      <c r="C7" s="1012"/>
      <c r="D7" s="299"/>
      <c r="E7" s="1013" t="s">
        <v>693</v>
      </c>
      <c r="F7" s="295">
        <f ca="1">IF(INDIRECT("'数据-取费表'!ah"&amp;$G$1)="",INDIRECT("'数据-取费表'!k"&amp;$G$1),INDIRECT("'数据-取费表'!ah"&amp;$G$1))</f>
        <v>0</v>
      </c>
      <c r="G7" s="1292"/>
      <c r="H7" s="296"/>
      <c r="I7" s="3404"/>
      <c r="J7" s="298"/>
      <c r="K7" s="299"/>
      <c r="L7" s="294" t="s">
        <v>693</v>
      </c>
      <c r="M7" s="295">
        <f ca="1">F7</f>
        <v>0</v>
      </c>
    </row>
    <row r="8" spans="1:37" ht="18" customHeight="1">
      <c r="A8" s="296"/>
      <c r="B8" s="3404"/>
      <c r="C8" s="298"/>
      <c r="D8" s="299"/>
      <c r="E8" s="294" t="s">
        <v>694</v>
      </c>
      <c r="F8" s="295">
        <f ca="1">INDIRECT("'数据-取费表'!ai"&amp;$G$1)</f>
        <v>0</v>
      </c>
      <c r="G8" s="1292"/>
      <c r="H8" s="296"/>
      <c r="I8" s="3404"/>
      <c r="J8" s="298"/>
      <c r="K8" s="299"/>
      <c r="L8" s="294" t="s">
        <v>694</v>
      </c>
      <c r="M8" s="295">
        <f ca="1">INDIRECT("'数据-取费表'!ai"&amp;$G$1)</f>
        <v>0</v>
      </c>
    </row>
    <row r="9" spans="1:37" ht="18" customHeight="1">
      <c r="A9" s="296"/>
      <c r="B9" s="3405"/>
      <c r="C9" s="298"/>
      <c r="D9" s="299"/>
      <c r="E9" s="294" t="s">
        <v>695</v>
      </c>
      <c r="F9" s="304">
        <f ca="1">INDIRECT("'数据-取费表'!w"&amp;$G$1)</f>
        <v>0</v>
      </c>
      <c r="G9" s="1292"/>
      <c r="H9" s="296"/>
      <c r="I9" s="3405"/>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2111</v>
      </c>
      <c r="E10" s="305" t="s">
        <v>697</v>
      </c>
      <c r="F10" s="1053"/>
      <c r="G10" s="1292"/>
      <c r="H10" s="1006" t="s">
        <v>402</v>
      </c>
      <c r="I10" s="1274" t="s">
        <v>696</v>
      </c>
      <c r="J10" s="293">
        <f ca="1">ROUND(IF(M10="押一",J6/12*M11,IF(M10="押二",J6/12*2*M11,IF(M10="押三",J6/12*3*M11,J11*M11))),0)</f>
        <v>0</v>
      </c>
      <c r="K10" s="150" t="s">
        <v>2110</v>
      </c>
      <c r="L10" s="305" t="s">
        <v>697</v>
      </c>
      <c r="M10" s="1053"/>
    </row>
    <row r="11" spans="1:37" ht="18" customHeight="1">
      <c r="A11" s="300"/>
      <c r="B11" s="1275" t="s">
        <v>675</v>
      </c>
      <c r="C11" s="905"/>
      <c r="D11" s="1276"/>
      <c r="E11" s="305" t="s">
        <v>698</v>
      </c>
      <c r="F11" s="306">
        <f ca="1">'数据-取费表'!B39</f>
        <v>1.4999999999999999E-2</v>
      </c>
      <c r="G11" s="1292"/>
      <c r="H11" s="1014"/>
      <c r="I11" s="1275" t="s">
        <v>675</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INDIRECT("'数据-取费表'!m"&amp;$G$1)+INDIRECT("'数据-取费表'!t"&amp;$G$1)</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ROUND(INDIRECT("'数据-取费表'!m"&amp;$G$1)*F16,0)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ROUND(F17*(F43+INDIRECT("'数据-取费表'!S"&amp;$G$1))/10000,0)</f>
        <v>0</v>
      </c>
      <c r="D17" s="294" t="s">
        <v>713</v>
      </c>
      <c r="E17" s="294" t="s">
        <v>714</v>
      </c>
      <c r="F17" s="23">
        <f>'数据-取费表'!B35</f>
        <v>200</v>
      </c>
      <c r="G17" s="1303"/>
      <c r="H17" s="928" t="s">
        <v>398</v>
      </c>
      <c r="I17" s="294" t="s">
        <v>715</v>
      </c>
      <c r="J17" s="2140">
        <f ca="1">ROUND(IF(AND(项目基本情况!B11="自然人",项目基本情况!B10="北京市"),J6*M17/(1+'数据-取费表'!C42),J18+J19+J20),2)</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ROUND(J6*M18/(1+'数据-取费表'!C42),2)</f>
        <v>0</v>
      </c>
      <c r="K18" s="1256" t="s">
        <v>720</v>
      </c>
      <c r="L18" s="294" t="s">
        <v>708</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IF(K19="按租金收入计税",ROUND(J6*M19/(1+'数据-取费表'!C42),2),ROUND(C29*M19*0.7,2))</f>
        <v>0</v>
      </c>
      <c r="K19" s="1278" t="s">
        <v>3330</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0.03</v>
      </c>
      <c r="G20" s="1303"/>
      <c r="H20" s="928" t="s">
        <v>676</v>
      </c>
      <c r="I20" s="147" t="s">
        <v>726</v>
      </c>
      <c r="J20" s="22">
        <f ca="1">ROUND(M20*M21/10000,2)</f>
        <v>0</v>
      </c>
      <c r="K20" s="316" t="s">
        <v>727</v>
      </c>
      <c r="L20" s="294" t="s">
        <v>728</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15</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ROUND(J14*M22,2)</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ROUND(J13*M23,2)</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3"/>
      <c r="H24" s="1026" t="s">
        <v>680</v>
      </c>
      <c r="I24" s="1027" t="s">
        <v>724</v>
      </c>
      <c r="J24" s="1028">
        <f ca="1">ROUND(J5*M24,2)</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5.2400000000000002E-2</v>
      </c>
      <c r="D28" s="315" t="s">
        <v>761</v>
      </c>
      <c r="E28" s="294" t="s">
        <v>708</v>
      </c>
      <c r="F28" s="314">
        <f>'数据-取费表'!B41</f>
        <v>5.5000000000000007E-2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0"/>
      <c r="I30" s="1305"/>
      <c r="J30" s="1306"/>
      <c r="K30" s="121"/>
      <c r="L30" s="2471"/>
      <c r="M30" s="2472"/>
    </row>
    <row r="31" spans="1:37" ht="18" customHeight="1">
      <c r="A31" s="928" t="s">
        <v>398</v>
      </c>
      <c r="B31" s="294" t="s">
        <v>715</v>
      </c>
      <c r="C31" s="2140">
        <f ca="1">ROUND(IF(AND(项目基本情况!B11="自然人",项目基本情况!B10="北京市"),C6*F31/(1+'数据-取费表'!C42),C32+C33+C34),2)</f>
        <v>0</v>
      </c>
      <c r="D31" s="1257" t="s">
        <v>716</v>
      </c>
      <c r="E31" s="1256" t="s">
        <v>766</v>
      </c>
      <c r="F31" s="2139" t="str">
        <f>IF(项目基本情况!B11="企业","——",IF(M47="住宅",IF(F6*F7*F8/12/(1+'数据-取费表'!F30)&gt;100000,4%,2.5%),IF(F6*F7*F8/12/(1+'数据-取费表'!F30)&gt;100000,12%,7%)))</f>
        <v>——</v>
      </c>
      <c r="G31" s="1292"/>
      <c r="H31" s="2569" t="s">
        <v>2300</v>
      </c>
      <c r="I31" s="1305"/>
      <c r="J31" s="1306"/>
      <c r="K31" s="121"/>
      <c r="L31" s="2471"/>
      <c r="M31" s="2472"/>
    </row>
    <row r="32" spans="1:37" ht="18" customHeight="1">
      <c r="A32" s="928" t="s">
        <v>397</v>
      </c>
      <c r="B32" s="294" t="s">
        <v>719</v>
      </c>
      <c r="C32" s="21">
        <f ca="1">IF(项目基本情况!B11="自然人","——",ROUND(C6*F32/(1+'数据-取费表'!C42),2))</f>
        <v>0</v>
      </c>
      <c r="D32" s="1256" t="s">
        <v>720</v>
      </c>
      <c r="E32" s="294" t="s">
        <v>708</v>
      </c>
      <c r="F32" s="322">
        <f>'数据-取费表'!B41</f>
        <v>5.5000000000000007E-2</v>
      </c>
      <c r="G32" s="1292"/>
      <c r="H32" s="2470"/>
      <c r="I32" s="1305"/>
      <c r="J32" s="1306"/>
      <c r="K32" s="121"/>
      <c r="L32" s="2471"/>
      <c r="M32" s="2472"/>
    </row>
    <row r="33" spans="1:18" ht="18" customHeight="1">
      <c r="A33" s="928" t="s">
        <v>399</v>
      </c>
      <c r="B33" s="294" t="s">
        <v>723</v>
      </c>
      <c r="C33" s="21">
        <f ca="1">IF(项目基本情况!B11="自然人","——",IF(D33="按租金收入计税",ROUND(C6*F33/(1+'数据-取费表'!C42),2),IF(D33="按房产原值计税",ROUND(C29*F33*0.7,2),INDIRECT("'数据-取费表'!Aj"&amp;$G$1))))</f>
        <v>0</v>
      </c>
      <c r="D33" s="1278" t="s">
        <v>3330</v>
      </c>
      <c r="E33" s="294" t="s">
        <v>708</v>
      </c>
      <c r="F33" s="314">
        <f>IF(D33="按票据","——",IF(D33="按租金收入计税",'数据-取费表'!B51,'数据-取费表'!B50))</f>
        <v>0.12</v>
      </c>
      <c r="G33" s="1292"/>
      <c r="H33" s="2473"/>
      <c r="I33" s="1305"/>
      <c r="J33" s="1306"/>
      <c r="K33" s="2474"/>
      <c r="L33" s="2473"/>
      <c r="M33" s="2473"/>
    </row>
    <row r="34" spans="1:18" ht="18" customHeight="1">
      <c r="A34" s="1006" t="s">
        <v>676</v>
      </c>
      <c r="B34" s="147" t="s">
        <v>726</v>
      </c>
      <c r="C34" s="22">
        <f ca="1">IF(项目基本情况!B11="自然人","——",ROUND(F34*F35/10000,2))</f>
        <v>0</v>
      </c>
      <c r="D34" s="316" t="s">
        <v>727</v>
      </c>
      <c r="E34" s="294" t="s">
        <v>728</v>
      </c>
      <c r="F34" s="317">
        <f>'数据-取费表'!B52</f>
        <v>0</v>
      </c>
      <c r="G34" s="1292"/>
      <c r="H34" s="2470"/>
      <c r="I34" s="1305"/>
      <c r="J34" s="1306"/>
      <c r="K34" s="2475"/>
      <c r="L34" s="2476"/>
      <c r="M34" s="2476"/>
    </row>
    <row r="35" spans="1:18" ht="18" customHeight="1">
      <c r="A35" s="1040"/>
      <c r="B35" s="1038"/>
      <c r="C35" s="26"/>
      <c r="D35" s="319"/>
      <c r="E35" s="294" t="s">
        <v>732</v>
      </c>
      <c r="F35" s="295">
        <f ca="1">INDIRECT("'数据-取费表'!r"&amp;$G$1)</f>
        <v>0</v>
      </c>
      <c r="G35" s="1292"/>
      <c r="H35" s="2470"/>
      <c r="I35" s="1305"/>
      <c r="J35" s="1306"/>
      <c r="K35" s="2474"/>
      <c r="L35" s="2473"/>
      <c r="M35" s="2473"/>
    </row>
    <row r="36" spans="1:18" ht="18" customHeight="1">
      <c r="A36" s="1039" t="s">
        <v>402</v>
      </c>
      <c r="B36" s="294" t="s">
        <v>734</v>
      </c>
      <c r="C36" s="21">
        <f ca="1">ROUND(C29*F36,2)</f>
        <v>0</v>
      </c>
      <c r="D36" s="1256" t="s">
        <v>767</v>
      </c>
      <c r="E36" s="294" t="s">
        <v>708</v>
      </c>
      <c r="F36" s="320">
        <f ca="1">INDIRECT("'数据-取费表'!Ak"&amp;$G$1)</f>
        <v>0</v>
      </c>
      <c r="G36" s="1292"/>
      <c r="H36" s="2473"/>
      <c r="I36" s="1305"/>
      <c r="J36" s="1306"/>
      <c r="K36" s="2331"/>
      <c r="L36" s="2473"/>
      <c r="M36" s="2473"/>
    </row>
    <row r="37" spans="1:18" ht="18" customHeight="1">
      <c r="A37" s="928" t="s">
        <v>437</v>
      </c>
      <c r="B37" s="294" t="s">
        <v>738</v>
      </c>
      <c r="C37" s="21">
        <f ca="1">ROUND(C13*F37,2)</f>
        <v>0</v>
      </c>
      <c r="D37" s="1256" t="s">
        <v>739</v>
      </c>
      <c r="E37" s="294" t="s">
        <v>740</v>
      </c>
      <c r="F37" s="321">
        <f ca="1">INDIRECT("'数据-取费表'!Al"&amp;$G$1)</f>
        <v>0</v>
      </c>
      <c r="G37" s="1292"/>
      <c r="H37" s="2473"/>
      <c r="I37" s="1305"/>
      <c r="J37" s="1306"/>
      <c r="K37" s="2331"/>
      <c r="L37" s="2473"/>
      <c r="M37" s="2473"/>
    </row>
    <row r="38" spans="1:18" ht="18" customHeight="1" thickBot="1">
      <c r="A38" s="1026" t="s">
        <v>680</v>
      </c>
      <c r="B38" s="1027" t="s">
        <v>724</v>
      </c>
      <c r="C38" s="1028">
        <f ca="1">ROUND(C5*F38,2)</f>
        <v>0</v>
      </c>
      <c r="D38" s="1029" t="s">
        <v>744</v>
      </c>
      <c r="E38" s="1027" t="s">
        <v>740</v>
      </c>
      <c r="F38" s="1023">
        <f ca="1">INDIRECT("'数据-取费表'!Am"&amp;$G$1)</f>
        <v>0</v>
      </c>
      <c r="G38" s="1292"/>
      <c r="H38" s="2473"/>
      <c r="I38" s="1305"/>
      <c r="J38" s="1306"/>
      <c r="K38" s="2471"/>
      <c r="L38" s="2473"/>
      <c r="M38" s="2473"/>
    </row>
    <row r="39" spans="1:18" ht="24.6" customHeight="1" thickTop="1">
      <c r="A39" s="1016" t="s">
        <v>394</v>
      </c>
      <c r="B39" s="1031" t="s">
        <v>768</v>
      </c>
      <c r="C39" s="302">
        <f ca="1">C5-C30</f>
        <v>0</v>
      </c>
      <c r="D39" s="1032" t="s">
        <v>769</v>
      </c>
      <c r="E39" s="1033"/>
      <c r="F39" s="1034"/>
      <c r="G39" s="1292"/>
      <c r="H39" s="2473"/>
      <c r="I39" s="1305"/>
      <c r="J39" s="1306"/>
      <c r="K39" s="2471"/>
      <c r="L39" s="2473"/>
      <c r="M39" s="2473"/>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1"/>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ROUND(C40*10000/F43,0)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804</v>
      </c>
      <c r="P45" s="1366"/>
      <c r="Q45" s="1366"/>
      <c r="R45" s="1366"/>
    </row>
    <row r="46" spans="1:18" s="1292" customFormat="1" ht="13.5" thickBot="1">
      <c r="A46" s="1311" t="s">
        <v>805</v>
      </c>
      <c r="C46" s="1312" t="e">
        <f ca="1">C68-C40</f>
        <v>#DIV/0!</v>
      </c>
      <c r="D46" s="1313" t="str">
        <f>C2</f>
        <v>万元</v>
      </c>
      <c r="E46" s="1307"/>
      <c r="F46" s="1307"/>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105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ROUND(F49*F51*F50*(1-F52)/10000,0)</f>
        <v>0</v>
      </c>
      <c r="D49" s="992" t="s">
        <v>2104</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1055"/>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24.75" thickBot="1">
      <c r="A53" s="1079" t="s">
        <v>440</v>
      </c>
      <c r="B53" s="1281" t="s">
        <v>696</v>
      </c>
      <c r="C53" s="308">
        <f ca="1">ROUND(IF(F53="押一",C49/12*F11,IF(F53="押二",C49/12*2*F11,IF(F53="押三",C49/12*3*F11,C54*F11))),0)</f>
        <v>0</v>
      </c>
      <c r="D53" s="150" t="s">
        <v>2110</v>
      </c>
      <c r="E53" s="305" t="s">
        <v>697</v>
      </c>
      <c r="F53" s="1053"/>
      <c r="I53" s="1344" t="s">
        <v>832</v>
      </c>
      <c r="J53" s="2006">
        <f ca="1">IF(M47="住宅",IF(D1="——",MAX(J51,L48),MAX(J51,L48-'数据-取费表'!B24)),IF(D1="——",MIN(J51,L48),MIN(J51,L48-'数据-取费表'!B24)))</f>
        <v>0</v>
      </c>
      <c r="K53" s="3406" t="s">
        <v>833</v>
      </c>
      <c r="L53" s="3407"/>
      <c r="O53" s="1325" t="s">
        <v>409</v>
      </c>
      <c r="P53" s="1326" t="s">
        <v>834</v>
      </c>
      <c r="Q53" s="1327" t="e">
        <f ca="1">Q47+Q48</f>
        <v>#DIV/0!</v>
      </c>
      <c r="R53" s="1327" t="s">
        <v>410</v>
      </c>
    </row>
    <row r="54" spans="1:18" s="1292" customFormat="1" ht="13.5" thickBot="1">
      <c r="A54" s="1080"/>
      <c r="B54" s="1275" t="s">
        <v>675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25.5" thickTop="1" thickBot="1">
      <c r="A56" s="903">
        <v>2</v>
      </c>
      <c r="B56" s="904" t="s">
        <v>700</v>
      </c>
      <c r="C56" s="224">
        <f ca="1">C13</f>
        <v>0</v>
      </c>
      <c r="D56" s="1352"/>
      <c r="E56" s="1353"/>
      <c r="F56" s="1345"/>
      <c r="I56" s="1354" t="s">
        <v>838</v>
      </c>
      <c r="J56" s="1355"/>
      <c r="K56" s="1328" t="s">
        <v>839</v>
      </c>
      <c r="L56" s="1331">
        <f ca="1">IF(L48&lt;J51,"——",L48-J53)</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841</v>
      </c>
      <c r="L57" s="1331">
        <f ca="1">IF(L48&lt;J51,"——",IF(L55="比较法",L49,IF(L55="基准地价",L50,L51)))</f>
        <v>0</v>
      </c>
      <c r="O57" s="1325" t="s">
        <v>404</v>
      </c>
      <c r="P57" s="1326" t="s">
        <v>842</v>
      </c>
      <c r="Q57" s="1327" t="e">
        <f ca="1">L60</f>
        <v>#DIV/0!</v>
      </c>
      <c r="R57" s="1327" t="s">
        <v>843</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845</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IF(项目基本情况!B11="自然人","——",ROUND(C48*F60/(1+'数据-取费表'!C42),2))</f>
        <v>0</v>
      </c>
      <c r="D60" s="910" t="s">
        <v>720</v>
      </c>
      <c r="E60" s="896" t="s">
        <v>708</v>
      </c>
      <c r="F60" s="322">
        <f t="shared" ref="F60:F66" si="0">F32</f>
        <v>5.5000000000000007E-2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IF(项目基本情况!B11="自然人","——",IF(D61="按租金收入计税",ROUND(C49*F61/(1+'数据-取费表'!C42),2),IF(D61="按房产原值计税",ROUND(C57*F61*0.7,2),INDIRECT("'数据-取费表'!Aj"&amp;$G$1))))</f>
        <v>0</v>
      </c>
      <c r="D61" s="1278" t="s">
        <v>3330</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IF(项目基本情况!B11="自然人","——",ROUND(F62*F63/10000,2))</f>
        <v>0</v>
      </c>
      <c r="D62" s="911" t="s">
        <v>782</v>
      </c>
      <c r="E62" s="896" t="s">
        <v>783</v>
      </c>
      <c r="F62" s="317">
        <f t="shared" si="0"/>
        <v>0</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ROUND(C57*F64,2)</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ROUND(C56*F65,2)</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ROUND(C48*F66,2)</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ROUND(C68*10000/F71,0)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5" zoomScaleNormal="80" zoomScaleSheetLayoutView="100" workbookViewId="0">
      <selection activeCell="C87" sqref="C8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1922</v>
      </c>
      <c r="B1" s="189"/>
      <c r="C1" s="193" t="s">
        <v>1923</v>
      </c>
      <c r="D1" s="333">
        <f>SUM(D33:D34,D37:D42)</f>
        <v>491.32</v>
      </c>
      <c r="E1" s="1842"/>
      <c r="F1" s="1842"/>
      <c r="G1" s="1842"/>
      <c r="H1" s="1842"/>
      <c r="I1" s="1842"/>
      <c r="J1" s="1842"/>
      <c r="K1" s="1056"/>
      <c r="L1" s="1843" t="s">
        <v>1924</v>
      </c>
      <c r="M1" s="810">
        <f>SUMPRODUCT((区片价!B5:B9=I2)*(区片价!C3:G3=E2)*(区片价!C5:G9))</f>
        <v>0</v>
      </c>
      <c r="N1" s="813">
        <f>SUMPRODUCT((因素修正幅度!B5:B9=I2)*(因素修正幅度!C3:G3=E2)*(因素修正幅度!C5:G9))</f>
        <v>0</v>
      </c>
      <c r="O1" s="1844"/>
      <c r="P1" s="1844"/>
      <c r="Q1" s="1056"/>
      <c r="R1" s="1129" t="s">
        <v>1925</v>
      </c>
      <c r="S1" s="1129" t="s">
        <v>1926</v>
      </c>
      <c r="T1" s="1129" t="s">
        <v>1927</v>
      </c>
      <c r="U1" s="1129" t="s">
        <v>1928</v>
      </c>
      <c r="V1" s="1129" t="s">
        <v>1929</v>
      </c>
      <c r="W1" s="1133"/>
      <c r="X1" s="1133"/>
      <c r="Y1" s="1133"/>
      <c r="Z1" s="1133"/>
      <c r="AA1" s="1133"/>
      <c r="AB1" s="1133"/>
      <c r="AC1" s="1134"/>
      <c r="AD1" s="1135"/>
      <c r="AE1" s="1135"/>
      <c r="AF1" s="1135"/>
      <c r="AG1" s="1135"/>
      <c r="AH1" s="1135"/>
      <c r="AI1" s="1135"/>
      <c r="AJ1" s="1136"/>
    </row>
    <row r="2" spans="1:36" ht="15.75">
      <c r="A2" s="193" t="s">
        <v>1930</v>
      </c>
      <c r="B2" s="196">
        <f>C30</f>
        <v>35</v>
      </c>
      <c r="C2" s="1846" t="s">
        <v>1931</v>
      </c>
      <c r="D2" s="162" t="s">
        <v>1932</v>
      </c>
      <c r="E2" s="3120" t="s">
        <v>3</v>
      </c>
      <c r="F2" s="162" t="s">
        <v>1933</v>
      </c>
      <c r="G2" s="163" t="str">
        <f>IF(E2="商业",项目基本情况!B37,IF(E2="办公",项目基本情况!C37,IF(E2="住宅",项目基本情况!D37,IF(E2="工业",项目基本情况!E37,项目基本情况!F37))))</f>
        <v>九级</v>
      </c>
      <c r="H2" s="162" t="s">
        <v>1934</v>
      </c>
      <c r="I2" s="163" t="str">
        <f>IF(E2="商业",项目基本情况!B38,IF(E2="办公",项目基本情况!C38,IF(E2="住宅",项目基本情况!D38,IF(E2="工业",项目基本情况!E38,项目基本情况!F38))))</f>
        <v>Ⅸ-亦2</v>
      </c>
      <c r="J2" s="1842"/>
      <c r="K2" s="1056"/>
      <c r="L2" s="1847" t="s">
        <v>1935</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1104</v>
      </c>
      <c r="U2" s="1130"/>
      <c r="V2" s="3063">
        <f>ROUND(T2*U2/10000,0)</f>
        <v>0</v>
      </c>
      <c r="W2" s="1133"/>
      <c r="X2" s="1133"/>
      <c r="Y2" s="1133"/>
      <c r="Z2" s="1133"/>
      <c r="AA2" s="1133"/>
      <c r="AB2" s="1133"/>
      <c r="AC2" s="1134"/>
      <c r="AD2" s="1135"/>
      <c r="AE2" s="1135"/>
      <c r="AF2" s="1135"/>
      <c r="AG2" s="1135"/>
      <c r="AH2" s="1135"/>
      <c r="AI2" s="1135"/>
      <c r="AJ2" s="1136"/>
    </row>
    <row r="3" spans="1:36" ht="15.75">
      <c r="A3" s="195" t="s">
        <v>1936</v>
      </c>
      <c r="B3" s="196">
        <f>ROUND(B2*10000/D1,0)</f>
        <v>712</v>
      </c>
      <c r="C3" s="1846" t="s">
        <v>1937</v>
      </c>
      <c r="D3" s="162" t="s">
        <v>1938</v>
      </c>
      <c r="E3" s="3118" t="s">
        <v>2473</v>
      </c>
      <c r="F3" s="1848" t="s">
        <v>3455</v>
      </c>
      <c r="G3" s="708">
        <f>IF(F3="宗地容积率",'数据-汇总表'!I4,IF(F3="估价对象容积率",'数据-汇总表'!I6,'数据-汇总表'!I7))</f>
        <v>1</v>
      </c>
      <c r="H3" s="162" t="s">
        <v>1939</v>
      </c>
      <c r="I3" s="729"/>
      <c r="J3" s="1842" t="s">
        <v>1940</v>
      </c>
      <c r="K3" s="1056"/>
      <c r="L3" s="1847" t="s">
        <v>1941</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851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15"/>
      <c r="B4" s="3416"/>
      <c r="C4" s="3416"/>
      <c r="D4" s="3417"/>
      <c r="E4" s="3417"/>
      <c r="F4" s="3417"/>
      <c r="G4" s="3417"/>
      <c r="H4" s="3417"/>
      <c r="I4" s="3417"/>
      <c r="J4" s="3418"/>
      <c r="K4" s="1056"/>
      <c r="L4" s="1847" t="s">
        <v>1942</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694</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1943</v>
      </c>
      <c r="C5" s="709">
        <f>ROUND(IF(E2="商业",C6*C7*C17+C20,(IF(E2="住宅",C6*C13*C17+C20,IF(E2="办公",C6*C12*C17+C20,C6+C20)))),0)</f>
        <v>800</v>
      </c>
      <c r="D5" s="1252">
        <f>ROUND(C6*C17+C20,0)</f>
        <v>800</v>
      </c>
      <c r="E5" s="1252"/>
      <c r="F5" s="1851"/>
      <c r="G5" s="1852"/>
      <c r="H5" s="1852"/>
      <c r="I5" s="1852"/>
      <c r="J5" s="1853"/>
      <c r="K5" s="1854"/>
      <c r="L5" s="1847" t="s">
        <v>1944</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589</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1945</v>
      </c>
      <c r="B6" s="1860" t="s">
        <v>1946</v>
      </c>
      <c r="C6" s="710">
        <f>SUMIF(L1:L12,G2,M1:M12)</f>
        <v>800</v>
      </c>
      <c r="D6" s="1861"/>
      <c r="E6" s="1862"/>
      <c r="F6" s="1862"/>
      <c r="G6" s="1863"/>
      <c r="H6" s="1863"/>
      <c r="I6" s="1863"/>
      <c r="J6" s="1864"/>
      <c r="K6" s="1292"/>
      <c r="L6" s="1847" t="s">
        <v>1947</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537</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3231</v>
      </c>
      <c r="B7" s="1865" t="s">
        <v>1948</v>
      </c>
      <c r="C7" s="711">
        <f>IF(C8="不临65条商业街",1,ROUND(1+(1.6*E8+1.2*E9+0.8*E10+0.4*E11)*C9,4))</f>
        <v>1</v>
      </c>
      <c r="D7" s="1866" t="s">
        <v>1949</v>
      </c>
      <c r="E7" s="730"/>
      <c r="F7" s="1867"/>
      <c r="G7" s="1868"/>
      <c r="H7" s="1868"/>
      <c r="I7" s="1868"/>
      <c r="J7" s="1869"/>
      <c r="K7" s="1292"/>
      <c r="L7" s="1847" t="s">
        <v>1950</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1951</v>
      </c>
      <c r="X7" s="1131" t="str">
        <f>G2</f>
        <v>九级</v>
      </c>
      <c r="Y7" s="1131" t="s">
        <v>1952</v>
      </c>
      <c r="Z7" s="1132">
        <f>G3</f>
        <v>1</v>
      </c>
      <c r="AA7" s="1133"/>
      <c r="AB7" s="1133"/>
      <c r="AC7" s="1134"/>
      <c r="AD7" s="1135"/>
      <c r="AE7" s="1135"/>
      <c r="AF7" s="1135"/>
      <c r="AG7" s="1135"/>
      <c r="AH7" s="1135"/>
      <c r="AI7" s="1135"/>
      <c r="AJ7" s="1136"/>
    </row>
    <row r="8" spans="1:36" ht="25.5">
      <c r="A8" s="3009"/>
      <c r="B8" s="162" t="s">
        <v>1953</v>
      </c>
      <c r="C8" s="1870" t="s">
        <v>3456</v>
      </c>
      <c r="D8" s="712" t="s">
        <v>112</v>
      </c>
      <c r="E8" s="713" t="e">
        <f>ROUND(C11/E7,4)</f>
        <v>#DIV/0!</v>
      </c>
      <c r="F8" s="1871" t="s">
        <v>1954</v>
      </c>
      <c r="G8" s="1872"/>
      <c r="H8" s="1872"/>
      <c r="I8" s="1872"/>
      <c r="J8" s="1873"/>
      <c r="K8" s="1056"/>
      <c r="L8" s="1847" t="s">
        <v>1955</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12" t="s">
        <v>1956</v>
      </c>
      <c r="X8" s="3413"/>
      <c r="Y8" s="1137" t="s">
        <v>1957</v>
      </c>
      <c r="Z8" s="1137" t="s">
        <v>1958</v>
      </c>
      <c r="AA8" s="1137" t="s">
        <v>1959</v>
      </c>
      <c r="AB8" s="1137" t="s">
        <v>1960</v>
      </c>
      <c r="AC8" s="1137" t="s">
        <v>1961</v>
      </c>
      <c r="AD8" s="1137" t="s">
        <v>1962</v>
      </c>
      <c r="AE8" s="1137" t="s">
        <v>1963</v>
      </c>
      <c r="AF8" s="1137" t="s">
        <v>1964</v>
      </c>
      <c r="AG8" s="1137" t="s">
        <v>1965</v>
      </c>
      <c r="AH8" s="1137" t="s">
        <v>1966</v>
      </c>
      <c r="AI8" s="1137" t="s">
        <v>1967</v>
      </c>
      <c r="AJ8" s="1137" t="s">
        <v>1968</v>
      </c>
    </row>
    <row r="9" spans="1:36" ht="15">
      <c r="A9" s="3009"/>
      <c r="B9" s="162" t="s">
        <v>1969</v>
      </c>
      <c r="C9" s="714">
        <f>SUMIF(修正!C71:C138,C8,修正!E71:E138)</f>
        <v>0</v>
      </c>
      <c r="D9" s="163" t="s">
        <v>113</v>
      </c>
      <c r="E9" s="163" t="e">
        <f>ROUND(C11/E7,4)</f>
        <v>#DIV/0!</v>
      </c>
      <c r="F9" s="1871" t="s">
        <v>1970</v>
      </c>
      <c r="G9" s="1872"/>
      <c r="H9" s="1872"/>
      <c r="I9" s="1872"/>
      <c r="J9" s="1873"/>
      <c r="K9" s="1056"/>
      <c r="L9" s="1847" t="s">
        <v>1971</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3">
        <f t="shared" si="0"/>
        <v>0</v>
      </c>
      <c r="U9" s="1130"/>
      <c r="V9" s="3063">
        <f t="shared" si="1"/>
        <v>0</v>
      </c>
      <c r="W9" s="3414"/>
      <c r="X9" s="3064" t="s">
        <v>3262</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1972</v>
      </c>
      <c r="C10" s="163">
        <f>SUMIF(修正!C71:C138,C8,修正!F71:F138)</f>
        <v>0</v>
      </c>
      <c r="D10" s="163" t="s">
        <v>114</v>
      </c>
      <c r="E10" s="163" t="e">
        <f>ROUND(C11/E7,4)</f>
        <v>#DIV/0!</v>
      </c>
      <c r="F10" s="1871" t="s">
        <v>1973</v>
      </c>
      <c r="G10" s="1872"/>
      <c r="H10" s="1872"/>
      <c r="I10" s="1872"/>
      <c r="J10" s="1873"/>
      <c r="K10" s="1056"/>
      <c r="L10" s="1847" t="s">
        <v>1974</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1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1975</v>
      </c>
      <c r="C11" s="715">
        <f>C10/4</f>
        <v>0</v>
      </c>
      <c r="D11" s="715" t="s">
        <v>115</v>
      </c>
      <c r="E11" s="715" t="e">
        <f>ROUND(C11/E7,4)</f>
        <v>#DIV/0!</v>
      </c>
      <c r="F11" s="1875" t="s">
        <v>1976</v>
      </c>
      <c r="G11" s="1876"/>
      <c r="H11" s="1876"/>
      <c r="I11" s="1876"/>
      <c r="J11" s="1877"/>
      <c r="K11" s="1056"/>
      <c r="L11" s="1847" t="s">
        <v>1977</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3232</v>
      </c>
      <c r="B12" s="3013" t="s">
        <v>3233</v>
      </c>
      <c r="C12" s="3014"/>
      <c r="D12" s="3015" t="s">
        <v>3234</v>
      </c>
      <c r="E12" s="3016" t="s">
        <v>3235</v>
      </c>
      <c r="F12" s="3017"/>
      <c r="G12" s="3018"/>
      <c r="H12" s="3018"/>
      <c r="I12" s="3018"/>
      <c r="J12" s="3019"/>
      <c r="K12" s="1056"/>
      <c r="L12" s="1796" t="s">
        <v>1980</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3236</v>
      </c>
      <c r="B13" s="1878" t="s">
        <v>1978</v>
      </c>
      <c r="C13" s="711">
        <f>ROUND(C16*D16*E16*F16*G16*H16*I16*J16,4)</f>
        <v>0</v>
      </c>
      <c r="D13" s="1879" t="s">
        <v>1979</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1981</v>
      </c>
      <c r="C14" s="1884" t="s">
        <v>1982</v>
      </c>
      <c r="D14" s="1261" t="s">
        <v>1983</v>
      </c>
      <c r="E14" s="27" t="s">
        <v>1984</v>
      </c>
      <c r="F14" s="3020" t="s">
        <v>3237</v>
      </c>
      <c r="G14" s="3020" t="s">
        <v>3237</v>
      </c>
      <c r="H14" s="3020" t="s">
        <v>3237</v>
      </c>
      <c r="I14" s="3020" t="s">
        <v>3237</v>
      </c>
      <c r="J14" s="3020" t="s">
        <v>3237</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3238</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1985</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3239</v>
      </c>
      <c r="B17" s="3027" t="s">
        <v>3240</v>
      </c>
      <c r="C17" s="3036">
        <f>ROUND(IF(OR(E2="工业",E2="公共服务"),1,IF(AND(E18=0,E19=0),1,IF(AND(E18=J24,E19=G19),0.8,IF(E19=0,1+E17*(-0.2),1+E17*G17*(-0.2))))),4)</f>
        <v>1</v>
      </c>
      <c r="D17" s="3028" t="s">
        <v>3241</v>
      </c>
      <c r="E17" s="3036">
        <f>ROUND(G18/I18,2)</f>
        <v>0</v>
      </c>
      <c r="F17" s="3028" t="s">
        <v>3244</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3242</v>
      </c>
      <c r="E18" s="2357"/>
      <c r="F18" s="3030" t="s">
        <v>3245</v>
      </c>
      <c r="G18" s="3034">
        <f>ROUND(1-(1/(POWER(1+G24,E18))),4)</f>
        <v>0</v>
      </c>
      <c r="H18" s="3030" t="s">
        <v>3247</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3243</v>
      </c>
      <c r="E19" s="3043"/>
      <c r="F19" s="3044" t="s">
        <v>3246</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19" t="s">
        <v>3248</v>
      </c>
      <c r="B20" s="159" t="s">
        <v>1990</v>
      </c>
      <c r="C20" s="3031">
        <f>ROUND(IF(F21="与级别开发程度一致",0,(G21-E21)/C21),0)</f>
        <v>0</v>
      </c>
      <c r="D20" s="3046" t="s">
        <v>1994</v>
      </c>
      <c r="E20" s="3047"/>
      <c r="F20" s="3425" t="s">
        <v>1991</v>
      </c>
      <c r="G20" s="3426"/>
      <c r="H20" s="3032" t="s">
        <v>3458</v>
      </c>
      <c r="I20" s="3032" t="s">
        <v>3459</v>
      </c>
      <c r="J20" s="3033" t="s">
        <v>3460</v>
      </c>
      <c r="K20" s="1889" t="s">
        <v>3461</v>
      </c>
      <c r="L20" s="1889" t="s">
        <v>3462</v>
      </c>
      <c r="M20" s="1889" t="s">
        <v>3463</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20"/>
      <c r="B21" s="2002" t="s">
        <v>1993</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3457</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1996</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1997</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1998</v>
      </c>
      <c r="E23" s="717">
        <v>44197</v>
      </c>
      <c r="F23" s="1896" t="s">
        <v>1999</v>
      </c>
      <c r="G23" s="718">
        <f>'数据-取费表'!B2</f>
        <v>45786</v>
      </c>
      <c r="H23" s="3048" t="s">
        <v>3250</v>
      </c>
      <c r="I23" s="3049" t="str">
        <f>IF(H23="季度增幅（自定义）",SUMIF(N25:N28,E2,O25:O28),"")</f>
        <v/>
      </c>
      <c r="J23" s="3141" t="s">
        <v>3249</v>
      </c>
      <c r="K23" s="1061"/>
      <c r="L23" s="1897" t="s">
        <v>2000</v>
      </c>
      <c r="M23" s="1241">
        <f>ROUND(SUMIF(地价!B2:G2,E2,地价!B16:G16),0)</f>
        <v>318</v>
      </c>
      <c r="N23" s="1898" t="s">
        <v>2001</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2002</v>
      </c>
      <c r="C24" s="720">
        <f>ROUND(POWER(1+G24,J24-I24)*(POWER(1+G24,I24)-1)/(POWER(1+G24,J24)-1),4)</f>
        <v>0.80179999999999996</v>
      </c>
      <c r="D24" s="1902" t="s">
        <v>2003</v>
      </c>
      <c r="E24" s="1248">
        <f>存贷款利率!E27/100</f>
        <v>4.3499999999999997E-2</v>
      </c>
      <c r="F24" s="1902" t="s">
        <v>1995</v>
      </c>
      <c r="G24" s="724">
        <f>SUMIF(M30:Q30,E2,M33:Q33)</f>
        <v>0.05</v>
      </c>
      <c r="H24" s="1902" t="s">
        <v>2004</v>
      </c>
      <c r="I24" s="725">
        <f>SUMIF('数据-取费表'!C6:C15,E2,'数据-取费表'!F6:F15)/COUNTIF('数据-取费表'!C6:C15,E2)</f>
        <v>26.98</v>
      </c>
      <c r="J24" s="726">
        <f>IF(E2="住宅",70,IF(E2="商业",40,50))</f>
        <v>50</v>
      </c>
      <c r="K24" s="1061"/>
      <c r="L24" s="1903" t="s">
        <v>2005</v>
      </c>
      <c r="M24" s="1242">
        <f>ROUND(SUMPRODUCT((地价!A4:A16=YEAR(G23)&amp;"-"&amp;ROUNDUP(MONTH(G23)/3,0))*(地价!B2:G2=E2)*(地价!B4:G16)),0)</f>
        <v>0</v>
      </c>
      <c r="N24" s="1904" t="s">
        <v>2006</v>
      </c>
      <c r="O24" s="1905" t="s">
        <v>2007</v>
      </c>
      <c r="P24" s="1906" t="s">
        <v>2008</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3329</v>
      </c>
      <c r="C25" s="461">
        <f>IF(B25="容积率修正",IF(G3&lt;10,D26,J26),C27)</f>
        <v>1</v>
      </c>
      <c r="D25" s="1909"/>
      <c r="E25" s="1909"/>
      <c r="F25" s="1909"/>
      <c r="G25" s="1909"/>
      <c r="H25" s="1909"/>
      <c r="I25" s="1909"/>
      <c r="J25" s="1910"/>
      <c r="K25" s="1061"/>
      <c r="L25" s="2552"/>
      <c r="M25" s="2552"/>
      <c r="N25" s="1911" t="s">
        <v>2009</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2010</v>
      </c>
      <c r="B26" s="1912" t="s">
        <v>2011</v>
      </c>
      <c r="C26" s="1912" t="s">
        <v>3251</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3252</v>
      </c>
      <c r="J26" s="374" t="str">
        <f>IF(G3&gt;=10,D115,"——")</f>
        <v>——</v>
      </c>
      <c r="K26" s="1061"/>
      <c r="L26" s="2552"/>
      <c r="M26" s="2552"/>
      <c r="N26" s="1911" t="s">
        <v>2012</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2013</v>
      </c>
      <c r="B27" s="1913" t="s">
        <v>2014</v>
      </c>
      <c r="C27" s="791">
        <f>ROUND(IF(I3&lt;6,SUMPRODUCT((B106:B110=I3)*(C105:N105=G2)*(C106:N110)),SUMIF(C105:N105,G2,C112:N112)),4)</f>
        <v>0</v>
      </c>
      <c r="D27" s="1842"/>
      <c r="E27" s="1842"/>
      <c r="F27" s="1914"/>
      <c r="G27" s="1915"/>
      <c r="H27" s="1916"/>
      <c r="I27" s="1917"/>
      <c r="J27" s="1918"/>
      <c r="K27" s="1056"/>
      <c r="L27" s="1844"/>
      <c r="M27" s="1844"/>
      <c r="N27" s="1911" t="s">
        <v>2015</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2016</v>
      </c>
      <c r="C28" s="716">
        <f>SUMIF(A47:A101,E2,B47:B101)</f>
        <v>1.0266999999999999</v>
      </c>
      <c r="D28" s="1894"/>
      <c r="E28" s="1919"/>
      <c r="F28" s="1919"/>
      <c r="G28" s="1919"/>
      <c r="H28" s="1919"/>
      <c r="I28" s="1919"/>
      <c r="J28" s="1920"/>
      <c r="K28" s="1061"/>
      <c r="L28" s="2552"/>
      <c r="M28" s="2552"/>
      <c r="N28" s="1921"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2018</v>
      </c>
      <c r="C29" s="721"/>
      <c r="D29" s="1868"/>
      <c r="E29" s="1868"/>
      <c r="F29" s="1923"/>
      <c r="G29" s="1868"/>
      <c r="H29" s="1868"/>
      <c r="I29" s="1868"/>
      <c r="J29" s="1869"/>
      <c r="K29" s="1056"/>
      <c r="L29" s="1844"/>
      <c r="M29" s="1844"/>
      <c r="N29" s="2549" t="s">
        <v>2019</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2020</v>
      </c>
      <c r="C30" s="2145">
        <f>IF(B25="容积率修正",E33+SUM(E37:E42),SUM(V2:V16)+SUM(E37:E42))</f>
        <v>35</v>
      </c>
      <c r="D30" s="1925"/>
      <c r="E30" s="1842"/>
      <c r="F30" s="1926"/>
      <c r="G30" s="1842"/>
      <c r="H30" s="1842"/>
      <c r="I30" s="1842"/>
      <c r="J30" s="1927"/>
      <c r="K30" s="1056"/>
      <c r="L30" s="3055" t="s">
        <v>1932</v>
      </c>
      <c r="M30" s="3056" t="s">
        <v>1986</v>
      </c>
      <c r="N30" s="3056" t="s">
        <v>1987</v>
      </c>
      <c r="O30" s="3056" t="s">
        <v>1988</v>
      </c>
      <c r="P30" s="3056" t="s">
        <v>1989</v>
      </c>
      <c r="Q30" s="3059" t="s">
        <v>3256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2021</v>
      </c>
      <c r="C31" s="722">
        <f>E34+SUM(I37:I42)</f>
        <v>0</v>
      </c>
      <c r="D31" s="1929"/>
      <c r="E31" s="1930"/>
      <c r="F31" s="1931"/>
      <c r="G31" s="1930"/>
      <c r="H31" s="1930"/>
      <c r="I31" s="1930"/>
      <c r="J31" s="1932"/>
      <c r="K31" s="1056"/>
      <c r="L31" s="3057" t="s">
        <v>1992</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2022</v>
      </c>
      <c r="C32" s="1935" t="s">
        <v>2023</v>
      </c>
      <c r="D32" s="1935" t="s">
        <v>2024</v>
      </c>
      <c r="E32" s="1936" t="s">
        <v>2025</v>
      </c>
      <c r="F32" s="1937"/>
      <c r="G32" s="1881"/>
      <c r="H32" s="1881"/>
      <c r="I32" s="1881"/>
      <c r="J32" s="1882"/>
      <c r="K32" s="1056"/>
      <c r="L32" s="3058" t="s">
        <v>1995</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2026</v>
      </c>
      <c r="C33" s="167">
        <f>ROUND(C5*C22*C23*C24*C25*C28,0)</f>
        <v>716</v>
      </c>
      <c r="D33" s="1940">
        <f>'数据-汇总表'!F19</f>
        <v>491.32</v>
      </c>
      <c r="E33" s="727">
        <f>ROUND(C33*D33/10000,0)</f>
        <v>35</v>
      </c>
      <c r="F33" s="3050" t="s">
        <v>3254</v>
      </c>
      <c r="G33" s="1941"/>
      <c r="H33" s="1941"/>
      <c r="I33" s="1941"/>
      <c r="J33" s="1942"/>
      <c r="K33" s="1056"/>
      <c r="L33" s="3053" t="s">
        <v>3257</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2027</v>
      </c>
      <c r="C34" s="179">
        <f>ROUND(IF(E2="工业",C33*M42,IF(B25="楼层修正",SUM(V2:V16)*M41*10000/D34,C33*M41)),0)</f>
        <v>107</v>
      </c>
      <c r="D34" s="1945"/>
      <c r="E34" s="727">
        <f>ROUND(IF(B25="楼层修正",SUM(V2:V16)*M40,C34*D34/10000),0)</f>
        <v>0</v>
      </c>
      <c r="F34" s="1946" t="s">
        <v>2028</v>
      </c>
      <c r="G34" s="1947"/>
      <c r="H34" s="1947"/>
      <c r="I34" s="1947"/>
      <c r="J34" s="1948"/>
      <c r="K34" s="1056"/>
      <c r="L34" s="3053" t="s">
        <v>3258</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2029</v>
      </c>
      <c r="C35" s="3051" t="s">
        <v>3255</v>
      </c>
      <c r="D35" s="1881"/>
      <c r="E35" s="1951"/>
      <c r="F35" s="1951"/>
      <c r="G35" s="1879" t="s">
        <v>2030</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2023</v>
      </c>
      <c r="D36" s="433" t="s">
        <v>2024</v>
      </c>
      <c r="E36" s="433" t="s">
        <v>2025</v>
      </c>
      <c r="F36" s="333" t="s">
        <v>2031</v>
      </c>
      <c r="G36" s="1954" t="s">
        <v>2023</v>
      </c>
      <c r="H36" s="1954" t="s">
        <v>2024</v>
      </c>
      <c r="I36" s="1954" t="s">
        <v>2025</v>
      </c>
      <c r="J36" s="235"/>
      <c r="K36" s="1964" t="s">
        <v>3259</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3"/>
      <c r="B37" s="1955" t="s">
        <v>2032</v>
      </c>
      <c r="C37" s="167">
        <f>ROUND(D5*C22*C23*C24*C28*F37,0)</f>
        <v>358</v>
      </c>
      <c r="D37" s="1940"/>
      <c r="E37" s="163">
        <f>ROUND(C37*D37/10000,0)</f>
        <v>0</v>
      </c>
      <c r="F37" s="163">
        <f>SUMIF(修正!A57:A68,G2,修正!B57:B68)</f>
        <v>0.5</v>
      </c>
      <c r="G37" s="163">
        <f>ROUND(IF(E2="工业",C37*$M$42,C37*$M$41),0)</f>
        <v>54</v>
      </c>
      <c r="H37" s="163">
        <f>D37</f>
        <v>0</v>
      </c>
      <c r="I37" s="163">
        <f>ROUND(G37*H37/10000,0)</f>
        <v>0</v>
      </c>
      <c r="J37" s="2754"/>
      <c r="K37" s="3061" t="s">
        <v>3260</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4"/>
      <c r="B38" s="1884" t="s">
        <v>2033</v>
      </c>
      <c r="C38" s="167">
        <f>ROUND(D5*C22*C23*C24*C28*F38,0)</f>
        <v>143</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4"/>
      <c r="B39" s="1884" t="s">
        <v>3253</v>
      </c>
      <c r="C39" s="167">
        <f>ROUND(D5*C22*C23*C24*C28*F39,0)</f>
        <v>143</v>
      </c>
      <c r="D39" s="1940"/>
      <c r="E39" s="163">
        <f t="shared" si="4"/>
        <v>0</v>
      </c>
      <c r="F39" s="163">
        <f>SUMIF(修正!A57:A68,G2,修正!D57:D68)</f>
        <v>0.2</v>
      </c>
      <c r="G39" s="163">
        <f>ROUND(IF(E2="工业",C39*$M$42,C39*$M$41),0)</f>
        <v>21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2034</v>
      </c>
      <c r="C40" s="163">
        <f>ROUND(D5*C22*C23*C24*C28*F40,0)</f>
        <v>143</v>
      </c>
      <c r="D40" s="1940"/>
      <c r="E40" s="163">
        <f t="shared" si="4"/>
        <v>0</v>
      </c>
      <c r="F40" s="167">
        <f>SUMIF(修正!A57:A68,G2,修正!E57:E68)</f>
        <v>0.2</v>
      </c>
      <c r="G40" s="163">
        <f>ROUND(IF(E2="工业",C40*$M$42,C40*$M$41),0)</f>
        <v>21</v>
      </c>
      <c r="H40" s="163">
        <f t="shared" si="5"/>
        <v>0</v>
      </c>
      <c r="I40" s="163">
        <f t="shared" si="6"/>
        <v>0</v>
      </c>
      <c r="J40" s="939"/>
      <c r="L40" s="1957" t="s">
        <v>2035</v>
      </c>
      <c r="M40" s="1958"/>
      <c r="Z40" s="1057"/>
      <c r="AA40" s="1057"/>
      <c r="AB40" s="1057"/>
      <c r="AC40" s="1057"/>
      <c r="AD40" s="1057"/>
      <c r="AE40" s="1057"/>
      <c r="AF40" s="1057"/>
      <c r="AG40" s="1057"/>
      <c r="AH40" s="1057"/>
      <c r="AI40" s="1057"/>
      <c r="AJ40" s="1057"/>
    </row>
    <row r="41" spans="1:37" s="1056" customFormat="1">
      <c r="A41" s="1956"/>
      <c r="B41" s="1884" t="s">
        <v>2036</v>
      </c>
      <c r="C41" s="163">
        <f>ROUND(D5*C22*C23*C44*C28*F41,0)</f>
        <v>143</v>
      </c>
      <c r="D41" s="1940"/>
      <c r="E41" s="163">
        <f t="shared" si="4"/>
        <v>0</v>
      </c>
      <c r="F41" s="167">
        <f>SUMIF(修正!A57:A68,G2,修正!F57:F68)</f>
        <v>0.2</v>
      </c>
      <c r="G41" s="163">
        <f>ROUND(IF(E2="工业",C41*$M$42,C41*$M$41),0)</f>
        <v>21</v>
      </c>
      <c r="H41" s="163">
        <f t="shared" si="5"/>
        <v>0</v>
      </c>
      <c r="I41" s="163">
        <f t="shared" si="6"/>
        <v>0</v>
      </c>
      <c r="J41" s="939"/>
      <c r="L41" s="3062" t="s">
        <v>3261</v>
      </c>
      <c r="M41" s="1959">
        <v>0.25</v>
      </c>
      <c r="Z41" s="1057"/>
      <c r="AA41" s="1057"/>
      <c r="AB41" s="1057"/>
      <c r="AC41" s="1057"/>
      <c r="AD41" s="1057"/>
      <c r="AE41" s="1057"/>
      <c r="AF41" s="1057"/>
      <c r="AG41" s="1057"/>
      <c r="AH41" s="1057"/>
      <c r="AI41" s="1057"/>
      <c r="AJ41" s="1057"/>
    </row>
    <row r="42" spans="1:37" s="1056" customFormat="1" ht="13.5" thickBot="1">
      <c r="A42" s="1943"/>
      <c r="B42" s="1960" t="s">
        <v>2037</v>
      </c>
      <c r="C42" s="179">
        <f>ROUND(D5*C22*C23*C44*C28*F42,0)</f>
        <v>72</v>
      </c>
      <c r="D42" s="1945"/>
      <c r="E42" s="179">
        <f t="shared" si="4"/>
        <v>0</v>
      </c>
      <c r="F42" s="723">
        <f>SUMIF(修正!A57:A68,G2,修正!G57:G68)</f>
        <v>0.1</v>
      </c>
      <c r="G42" s="179">
        <f>ROUND(IF(E2="工业",C42*$M$42,C42*$M$41),0)</f>
        <v>11</v>
      </c>
      <c r="H42" s="179">
        <f t="shared" si="5"/>
        <v>0</v>
      </c>
      <c r="I42" s="179">
        <f t="shared" si="6"/>
        <v>0</v>
      </c>
      <c r="J42" s="1961"/>
      <c r="L42" s="1962" t="s">
        <v>1989</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2116</v>
      </c>
      <c r="C44" s="333">
        <f>ROUND(POWER(1+E44,H44-G44)*(POWER(1+E44,G44)-1)/(POWER(1+E44,H44)-1),4)</f>
        <v>0.80179999999999996</v>
      </c>
      <c r="D44" s="163" t="s">
        <v>1995</v>
      </c>
      <c r="E44" s="1991">
        <f>G24</f>
        <v>0.05</v>
      </c>
      <c r="F44" s="163" t="s">
        <v>2004</v>
      </c>
      <c r="G44" s="175">
        <f>项目基本情况!H15</f>
        <v>26.98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2038</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2039</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2040</v>
      </c>
      <c r="B49" s="1262" t="s">
        <v>2041</v>
      </c>
      <c r="C49" s="1262" t="s">
        <v>2042</v>
      </c>
      <c r="D49" s="1262" t="s">
        <v>2043</v>
      </c>
      <c r="E49" s="701" t="s">
        <v>2044</v>
      </c>
      <c r="F49" s="1971" t="s">
        <v>2045</v>
      </c>
      <c r="G49" s="1262" t="s">
        <v>310</v>
      </c>
      <c r="H49" s="1972" t="s">
        <v>2046</v>
      </c>
      <c r="I49" s="1262" t="s">
        <v>2047</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38.25">
      <c r="A50" s="1970" t="s">
        <v>2048</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2049</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3263</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2050</v>
      </c>
      <c r="B53" s="1974" t="s">
        <v>2051</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2052</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2053</v>
      </c>
      <c r="B55" s="1975" t="s">
        <v>2054</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2055</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2056</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2057</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2058</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2040</v>
      </c>
      <c r="B60" s="1262"/>
      <c r="C60" s="1262" t="s">
        <v>2042</v>
      </c>
      <c r="D60" s="1262" t="s">
        <v>2043</v>
      </c>
      <c r="E60" s="701" t="s">
        <v>2044</v>
      </c>
      <c r="F60" s="1971" t="s">
        <v>2059</v>
      </c>
      <c r="G60" s="1262" t="s">
        <v>310</v>
      </c>
      <c r="H60" s="1972" t="s">
        <v>2046</v>
      </c>
      <c r="I60" s="1262" t="s">
        <v>2047</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38.25">
      <c r="A61" s="1970" t="s">
        <v>2060</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2049</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3263</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2050</v>
      </c>
      <c r="B64" s="1974" t="s">
        <v>2051</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2052</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2053</v>
      </c>
      <c r="B66" s="1975" t="s">
        <v>2054</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2055</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2056</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2057</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2061</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2040</v>
      </c>
      <c r="B71" s="1262"/>
      <c r="C71" s="1262" t="s">
        <v>2042</v>
      </c>
      <c r="D71" s="1262" t="s">
        <v>2043</v>
      </c>
      <c r="E71" s="701" t="s">
        <v>2044</v>
      </c>
      <c r="F71" s="1971" t="s">
        <v>2059</v>
      </c>
      <c r="G71" s="1262" t="s">
        <v>310</v>
      </c>
      <c r="H71" s="1972" t="s">
        <v>2046</v>
      </c>
      <c r="I71" s="1262" t="s">
        <v>2047</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51">
      <c r="A72" s="1970" t="s">
        <v>2062</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2049</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3263</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2063</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2055</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2056</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2053</v>
      </c>
      <c r="B78" s="1975" t="s">
        <v>2054</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2057</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2064</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2065</v>
      </c>
      <c r="B81" s="1968">
        <f>1+E83</f>
        <v>1.0266999999999999</v>
      </c>
      <c r="C81" s="699"/>
      <c r="D81" s="699"/>
      <c r="E81" s="700"/>
      <c r="F81" s="1969"/>
      <c r="G81" s="3"/>
      <c r="H81" s="3"/>
      <c r="I81" s="3"/>
      <c r="J81" s="4"/>
      <c r="K81" s="4"/>
      <c r="L81" s="4"/>
      <c r="M81" s="4"/>
      <c r="N81" s="4"/>
      <c r="Z81" s="1845"/>
      <c r="AA81" s="1895"/>
      <c r="AG81" s="1058"/>
      <c r="AK81" s="1895"/>
    </row>
    <row r="82" spans="1:37" ht="24.75">
      <c r="A82" s="1970" t="s">
        <v>2040</v>
      </c>
      <c r="B82" s="1262"/>
      <c r="C82" s="1262" t="s">
        <v>2042</v>
      </c>
      <c r="D82" s="1262" t="s">
        <v>2043</v>
      </c>
      <c r="E82" s="701" t="s">
        <v>2044</v>
      </c>
      <c r="F82" s="1971" t="s">
        <v>2059</v>
      </c>
      <c r="G82" s="1262" t="s">
        <v>310</v>
      </c>
      <c r="H82" s="1972" t="s">
        <v>2046</v>
      </c>
      <c r="I82" s="1262" t="s">
        <v>2047</v>
      </c>
      <c r="J82" s="530" t="s">
        <v>1717</v>
      </c>
      <c r="K82" s="530" t="s">
        <v>1718</v>
      </c>
      <c r="L82" s="530" t="s">
        <v>1719</v>
      </c>
      <c r="M82" s="530" t="s">
        <v>1720</v>
      </c>
      <c r="N82" s="530" t="s">
        <v>1721</v>
      </c>
      <c r="Z82" s="1845"/>
      <c r="AA82" s="1895"/>
      <c r="AG82" s="1058"/>
      <c r="AK82" s="1895"/>
    </row>
    <row r="83" spans="1:37" ht="38.25">
      <c r="A83" s="1970" t="s">
        <v>2066</v>
      </c>
      <c r="B83" s="1262" t="str">
        <f>估价对象房地状况!G15</f>
        <v>估价对象位于XX开发区，园区建设成熟度XX，产业集聚程度XX</v>
      </c>
      <c r="C83" s="1887" t="s">
        <v>3465</v>
      </c>
      <c r="D83" s="1002">
        <f t="shared" ref="D83:D90" si="22">SUMIF($J$82:$N$82,C83,J83:N83)</f>
        <v>1.9300000000000001E-2</v>
      </c>
      <c r="E83" s="702">
        <f>ROUND(SUM(D83:D90),4)</f>
        <v>2.6700000000000002E-2</v>
      </c>
      <c r="F83" s="1675">
        <f>IF(E2="工业",SUMIF(L1:L12,G2,N1:N12),"——")</f>
        <v>0.14899999999999999</v>
      </c>
      <c r="G83" s="1000">
        <f>H83</f>
        <v>1.9300000000000001E-2</v>
      </c>
      <c r="H83" s="1003">
        <f t="shared" ref="H83:H90" si="23">IFERROR(ROUNDDOWN($F$83*I83/2,4),"——")</f>
        <v>1.9300000000000001E-2</v>
      </c>
      <c r="I83" s="3068">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38.25">
      <c r="A84" s="1970" t="s">
        <v>2049</v>
      </c>
      <c r="B84" s="1262" t="str">
        <f>估价对象房地状况!G16</f>
        <v>估价对象周边道路状况、公共交通通达情况、停车便捷程度，综合评价交通便捷度较好</v>
      </c>
      <c r="C84" s="1887" t="s">
        <v>3464</v>
      </c>
      <c r="D84" s="1002">
        <f t="shared" si="22"/>
        <v>0</v>
      </c>
      <c r="E84" s="705"/>
      <c r="F84" s="1675"/>
      <c r="G84" s="1000">
        <f t="shared" ref="G84:G90" si="27">H84</f>
        <v>2.23E-2</v>
      </c>
      <c r="H84" s="1003">
        <f t="shared" si="23"/>
        <v>2.23E-2</v>
      </c>
      <c r="I84" s="3068">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6">
      <c r="A85" s="3070" t="s">
        <v>3264</v>
      </c>
      <c r="B85" s="1262">
        <f>估价对象房地状况!G17</f>
        <v>0</v>
      </c>
      <c r="C85" s="1887" t="s">
        <v>3465</v>
      </c>
      <c r="D85" s="1002">
        <f t="shared" si="22"/>
        <v>7.4000000000000003E-3</v>
      </c>
      <c r="E85" s="705"/>
      <c r="F85" s="1675"/>
      <c r="G85" s="1000">
        <f t="shared" si="27"/>
        <v>7.4000000000000003E-3</v>
      </c>
      <c r="H85" s="1003">
        <f t="shared" si="23"/>
        <v>7.4000000000000003E-3</v>
      </c>
      <c r="I85" s="3068">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25">
      <c r="A86" s="1970" t="s">
        <v>2063</v>
      </c>
      <c r="B86" s="1262">
        <f>估价对象房地状况!G22</f>
        <v>0</v>
      </c>
      <c r="C86" s="1887" t="s">
        <v>3466</v>
      </c>
      <c r="D86" s="1002">
        <f t="shared" si="22"/>
        <v>-3.7000000000000002E-3</v>
      </c>
      <c r="E86" s="705"/>
      <c r="F86" s="1675"/>
      <c r="G86" s="1000">
        <f t="shared" si="27"/>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2055</v>
      </c>
      <c r="B87" s="1240" t="str">
        <f>估价对象房地状况!G19</f>
        <v>估价对象所在区域公共配套设施齐备情况</v>
      </c>
      <c r="C87" s="1887" t="s">
        <v>3466</v>
      </c>
      <c r="D87" s="1002">
        <f t="shared" si="22"/>
        <v>-4.4000000000000003E-3</v>
      </c>
      <c r="E87" s="705"/>
      <c r="F87" s="1675"/>
      <c r="G87" s="1000">
        <f t="shared" si="27"/>
        <v>4.4000000000000003E-3</v>
      </c>
      <c r="H87" s="1003">
        <f t="shared" si="23"/>
        <v>4.4000000000000003E-3</v>
      </c>
      <c r="I87" s="3068">
        <v>0.06</v>
      </c>
      <c r="J87" s="1001">
        <f t="shared" si="24"/>
        <v>8.8000000000000005E-3</v>
      </c>
      <c r="K87" s="1001">
        <f t="shared" si="25"/>
        <v>4.4000000000000003E-3</v>
      </c>
      <c r="L87" s="1001">
        <v>0</v>
      </c>
      <c r="M87" s="1001">
        <f t="shared" si="26"/>
        <v>-4.4000000000000003E-3</v>
      </c>
      <c r="N87" s="1001">
        <f t="shared" si="26"/>
        <v>-8.8000000000000005E-3</v>
      </c>
    </row>
    <row r="88" spans="1:37" ht="25.5">
      <c r="A88" s="1970" t="s">
        <v>2056</v>
      </c>
      <c r="B88" s="1240" t="str">
        <f>估价对象房地状况!G20</f>
        <v>估价对象所在区域基础设施水平</v>
      </c>
      <c r="C88" s="1887" t="s">
        <v>3464</v>
      </c>
      <c r="D88" s="1002">
        <f t="shared" si="22"/>
        <v>0</v>
      </c>
      <c r="E88" s="705"/>
      <c r="F88" s="1675"/>
      <c r="G88" s="1000">
        <f t="shared" si="27"/>
        <v>8.8999999999999999E-3</v>
      </c>
      <c r="H88" s="1003">
        <f t="shared" si="23"/>
        <v>8.8999999999999999E-3</v>
      </c>
      <c r="I88" s="3068">
        <v>0.12</v>
      </c>
      <c r="J88" s="1001">
        <f t="shared" si="24"/>
        <v>1.78E-2</v>
      </c>
      <c r="K88" s="1001">
        <f t="shared" si="25"/>
        <v>8.8999999999999999E-3</v>
      </c>
      <c r="L88" s="1001">
        <v>0</v>
      </c>
      <c r="M88" s="1001">
        <f t="shared" si="26"/>
        <v>-8.8999999999999999E-3</v>
      </c>
      <c r="N88" s="1001">
        <f t="shared" si="26"/>
        <v>-1.78E-2</v>
      </c>
    </row>
    <row r="89" spans="1:37" ht="24">
      <c r="A89" s="1970" t="s">
        <v>2053</v>
      </c>
      <c r="B89" s="1975" t="s">
        <v>2067</v>
      </c>
      <c r="C89" s="1887" t="s">
        <v>3465</v>
      </c>
      <c r="D89" s="1002">
        <f t="shared" si="22"/>
        <v>4.4000000000000003E-3</v>
      </c>
      <c r="E89" s="705"/>
      <c r="F89" s="1675"/>
      <c r="G89" s="1000">
        <f t="shared" si="27"/>
        <v>4.4000000000000003E-3</v>
      </c>
      <c r="H89" s="1003">
        <f t="shared" si="23"/>
        <v>4.4000000000000003E-3</v>
      </c>
      <c r="I89" s="3068">
        <v>0.06</v>
      </c>
      <c r="J89" s="1001">
        <f t="shared" si="24"/>
        <v>8.8000000000000005E-3</v>
      </c>
      <c r="K89" s="1001">
        <f t="shared" si="25"/>
        <v>4.4000000000000003E-3</v>
      </c>
      <c r="L89" s="1001">
        <v>0</v>
      </c>
      <c r="M89" s="1001">
        <f t="shared" si="26"/>
        <v>-4.4000000000000003E-3</v>
      </c>
      <c r="N89" s="1001">
        <f t="shared" si="26"/>
        <v>-8.8000000000000005E-3</v>
      </c>
    </row>
    <row r="90" spans="1:37" ht="39" thickBot="1">
      <c r="A90" s="1977" t="s">
        <v>2068</v>
      </c>
      <c r="B90" s="1982" t="str">
        <f>估价对象房地状况!G18</f>
        <v>该园区内是否有污染型企业，绿化情况，卫生条件，整体环境状况判断</v>
      </c>
      <c r="C90" s="1887" t="s">
        <v>3465</v>
      </c>
      <c r="D90" s="1002">
        <f t="shared" si="22"/>
        <v>3.7000000000000002E-3</v>
      </c>
      <c r="E90" s="706"/>
      <c r="F90" s="1675"/>
      <c r="G90" s="1000">
        <f t="shared" si="27"/>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5">
      <c r="A91" s="3078" t="s">
        <v>2606</v>
      </c>
      <c r="B91" s="3079">
        <f>1+E93</f>
        <v>1</v>
      </c>
      <c r="C91" s="3072"/>
      <c r="D91" s="3073"/>
      <c r="E91" s="1675"/>
      <c r="F91" s="1675"/>
      <c r="G91" s="3074"/>
      <c r="H91" s="3075"/>
      <c r="I91" s="3076"/>
      <c r="J91" s="3077"/>
      <c r="K91" s="3077"/>
      <c r="L91" s="3077"/>
      <c r="M91" s="3077"/>
      <c r="N91" s="3077"/>
    </row>
    <row r="92" spans="1:37" ht="24.75">
      <c r="A92" s="3080" t="s">
        <v>3265</v>
      </c>
      <c r="B92" s="2310"/>
      <c r="C92" s="2310" t="s">
        <v>3274</v>
      </c>
      <c r="D92" s="2310" t="s">
        <v>3275</v>
      </c>
      <c r="E92" s="3052" t="s">
        <v>3276</v>
      </c>
      <c r="F92" s="3082" t="s">
        <v>3277</v>
      </c>
      <c r="G92" s="2310" t="s">
        <v>3278</v>
      </c>
      <c r="H92" s="3089" t="s">
        <v>3281</v>
      </c>
      <c r="I92" s="2310" t="s">
        <v>3282</v>
      </c>
      <c r="J92" s="2150" t="s">
        <v>3283</v>
      </c>
      <c r="K92" s="2150" t="s">
        <v>3284</v>
      </c>
      <c r="L92" s="2150" t="s">
        <v>3285</v>
      </c>
      <c r="M92" s="2150" t="s">
        <v>3286</v>
      </c>
      <c r="N92" s="2150" t="s">
        <v>3287</v>
      </c>
    </row>
    <row r="93" spans="1:37" ht="24">
      <c r="A93" s="3070" t="s">
        <v>3266</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3267</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3263</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3268</v>
      </c>
      <c r="B96" s="3086" t="s">
        <v>3279</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3269</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3270</v>
      </c>
      <c r="B98" s="3087" t="s">
        <v>3280</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5.5">
      <c r="A99" s="3080" t="s">
        <v>3271</v>
      </c>
      <c r="B99" s="3071" t="str">
        <f>估价对象房地状况!C21</f>
        <v>估价对象所在区域公共配套设施齐备情况</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5.5">
      <c r="A100" s="3080" t="s">
        <v>3272</v>
      </c>
      <c r="B100" s="3071" t="str">
        <f>估价对象房地状况!C22</f>
        <v>估价对象所在区域基础设施水平</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6.25" thickBot="1">
      <c r="A101" s="3081" t="s">
        <v>3273</v>
      </c>
      <c r="B101" s="3088" t="str">
        <f>估价对象房地状况!C20</f>
        <v>区域自然环境：；人文环境；综合评价环境状况一般</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21" t="s">
        <v>3288</v>
      </c>
      <c r="B103" s="3421"/>
      <c r="C103" s="3421"/>
      <c r="D103" s="3421"/>
      <c r="E103" s="3421"/>
      <c r="F103" s="3421"/>
      <c r="G103" s="3421"/>
      <c r="H103" s="3421"/>
      <c r="I103" s="3421"/>
      <c r="J103" s="3421"/>
      <c r="K103" s="1667"/>
      <c r="L103" s="1667"/>
      <c r="M103" s="1667"/>
      <c r="N103" s="1667"/>
    </row>
    <row r="104" spans="1:14">
      <c r="A104" s="3422" t="s">
        <v>3289</v>
      </c>
      <c r="B104" s="3422" t="s">
        <v>3290</v>
      </c>
      <c r="C104" s="3090" t="s">
        <v>3291</v>
      </c>
      <c r="D104" s="3091"/>
      <c r="E104" s="3091"/>
      <c r="F104" s="3091"/>
      <c r="G104" s="3091"/>
      <c r="H104" s="3091"/>
      <c r="I104" s="3091"/>
      <c r="J104" s="3092"/>
      <c r="K104" s="3093"/>
      <c r="L104" s="3093"/>
      <c r="M104" s="3093"/>
      <c r="N104" s="3093"/>
    </row>
    <row r="105" spans="1:14">
      <c r="A105" s="3422"/>
      <c r="B105" s="3422"/>
      <c r="C105" s="3094" t="s">
        <v>3292</v>
      </c>
      <c r="D105" s="3094" t="s">
        <v>3293</v>
      </c>
      <c r="E105" s="3094" t="s">
        <v>3294</v>
      </c>
      <c r="F105" s="3094" t="s">
        <v>3295</v>
      </c>
      <c r="G105" s="3094" t="s">
        <v>3296</v>
      </c>
      <c r="H105" s="3094" t="s">
        <v>3297</v>
      </c>
      <c r="I105" s="3094" t="s">
        <v>3298</v>
      </c>
      <c r="J105" s="3094" t="s">
        <v>3299</v>
      </c>
      <c r="K105" s="3094" t="s">
        <v>3300</v>
      </c>
      <c r="L105" s="3094" t="s">
        <v>3301</v>
      </c>
      <c r="M105" s="3094" t="s">
        <v>3302</v>
      </c>
      <c r="N105" s="3094" t="s">
        <v>3303</v>
      </c>
    </row>
    <row r="106" spans="1:14">
      <c r="A106" s="3408" t="s">
        <v>3304</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9"/>
      <c r="B111" s="3094" t="s">
        <v>3262</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0"/>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1" t="s">
        <v>3305</v>
      </c>
      <c r="B113" s="3411"/>
      <c r="C113" s="3411"/>
      <c r="D113" s="3411"/>
      <c r="E113" s="3411"/>
      <c r="F113" s="3411"/>
      <c r="G113" s="3411"/>
      <c r="H113" s="3411"/>
      <c r="I113" s="3411"/>
      <c r="J113" s="341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3306</v>
      </c>
      <c r="B116" s="3114">
        <f>G3</f>
        <v>1</v>
      </c>
      <c r="C116" s="3099" t="s">
        <v>3307</v>
      </c>
      <c r="D116" s="3100">
        <f>SUMPRODUCT((A118:A122=F116)*(B117:M117=H116)*B118:M122)</f>
        <v>0.57150000000000001</v>
      </c>
      <c r="E116" s="162" t="s">
        <v>3308</v>
      </c>
      <c r="F116" s="3101" t="str">
        <f>E2</f>
        <v>工业</v>
      </c>
      <c r="G116" s="162" t="s">
        <v>3309</v>
      </c>
      <c r="H116" s="3101" t="str">
        <f>G2</f>
        <v>九级</v>
      </c>
      <c r="I116" s="162"/>
      <c r="J116" s="3102"/>
      <c r="K116" s="3102"/>
      <c r="L116" s="3102"/>
      <c r="M116" s="3102"/>
      <c r="N116" s="3097"/>
    </row>
    <row r="117" spans="1:14">
      <c r="A117" s="3103"/>
      <c r="B117" s="3104" t="s">
        <v>3310</v>
      </c>
      <c r="C117" s="3104" t="s">
        <v>3311</v>
      </c>
      <c r="D117" s="3104" t="s">
        <v>3312</v>
      </c>
      <c r="E117" s="3105" t="s">
        <v>3313</v>
      </c>
      <c r="F117" s="3105" t="s">
        <v>3314</v>
      </c>
      <c r="G117" s="3105" t="s">
        <v>3315</v>
      </c>
      <c r="H117" s="3106" t="s">
        <v>3316</v>
      </c>
      <c r="I117" s="3106" t="s">
        <v>3317</v>
      </c>
      <c r="J117" s="3107" t="s">
        <v>3318</v>
      </c>
      <c r="K117" s="3107" t="s">
        <v>3319</v>
      </c>
      <c r="L117" s="3107" t="s">
        <v>3320</v>
      </c>
      <c r="M117" s="3108" t="s">
        <v>3321</v>
      </c>
      <c r="N117" s="3097"/>
    </row>
    <row r="118" spans="1:14">
      <c r="A118" s="3057" t="s">
        <v>3322</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3323</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3324</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3325</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2606</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9:Q319"/>
  <sheetViews>
    <sheetView topLeftCell="A318" workbookViewId="0">
      <selection activeCell="A168" sqref="A142:XFD168"/>
    </sheetView>
  </sheetViews>
  <sheetFormatPr defaultRowHeight="13.5"/>
  <sheetData>
    <row r="149" spans="14:14">
      <c r="N149" s="1405" t="s">
        <v>3428</v>
      </c>
    </row>
    <row r="151" spans="14:14">
      <c r="N151" s="1405" t="s">
        <v>3429</v>
      </c>
    </row>
    <row r="282" spans="13:13">
      <c r="M282" s="1405" t="s">
        <v>3430</v>
      </c>
    </row>
    <row r="287" spans="13:13">
      <c r="M287" s="1405"/>
    </row>
    <row r="319" spans="17:17">
      <c r="Q319"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2" workbookViewId="0">
      <selection activeCell="S35" sqref="S35"/>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S58" sqref="S58"/>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
  <sheetViews>
    <sheetView workbookViewId="0">
      <selection activeCell="I23" sqref="I23"/>
    </sheetView>
  </sheetViews>
  <sheetFormatPr defaultRowHeight="13.5"/>
  <cols>
    <col min="3" max="3" width="12" customWidth="1"/>
    <col min="4" max="4" width="13" customWidth="1"/>
    <col min="5" max="5" width="11.5" customWidth="1"/>
    <col min="6" max="6" width="12.5" customWidth="1"/>
    <col min="7" max="7" width="29.5" customWidth="1"/>
  </cols>
  <sheetData>
    <row r="2" spans="2:9">
      <c r="C2" s="1405" t="s">
        <v>3470</v>
      </c>
      <c r="D2" s="1405" t="s">
        <v>3471</v>
      </c>
      <c r="E2" s="1405" t="s">
        <v>3473</v>
      </c>
      <c r="F2" s="1405" t="s">
        <v>3472</v>
      </c>
      <c r="G2" s="1405" t="s">
        <v>3474</v>
      </c>
      <c r="H2" s="1405" t="s">
        <v>3475</v>
      </c>
      <c r="I2" s="1405" t="s">
        <v>3476</v>
      </c>
    </row>
    <row r="3" spans="2:9">
      <c r="B3">
        <v>101</v>
      </c>
      <c r="C3">
        <v>491.32</v>
      </c>
      <c r="D3">
        <v>491.32</v>
      </c>
      <c r="E3" s="3173">
        <v>43831</v>
      </c>
      <c r="F3" s="3173">
        <v>47848</v>
      </c>
      <c r="G3">
        <v>9863249</v>
      </c>
      <c r="H3" s="3174">
        <f>G3/D3/I3</f>
        <v>4.9975105800348523</v>
      </c>
      <c r="I3">
        <f>F3-E3</f>
        <v>4017</v>
      </c>
    </row>
    <row r="4" spans="2:9">
      <c r="B4">
        <v>201</v>
      </c>
      <c r="C4">
        <v>309.42</v>
      </c>
      <c r="D4">
        <v>309.42</v>
      </c>
      <c r="E4" s="3173">
        <v>43831</v>
      </c>
      <c r="F4" s="3173">
        <v>47848</v>
      </c>
      <c r="G4">
        <v>3388149</v>
      </c>
      <c r="H4" s="3174">
        <f>G4/D4/I4</f>
        <v>2.7259148618371918</v>
      </c>
      <c r="I4">
        <f>F4-E4</f>
        <v>4017</v>
      </c>
    </row>
    <row r="5" spans="2:9">
      <c r="D5">
        <f>D3+D4</f>
        <v>800.74</v>
      </c>
      <c r="G5">
        <f>G3+G4</f>
        <v>13251398</v>
      </c>
      <c r="H5" s="3174">
        <f>G5/D5/I4</f>
        <v>4.1197260967759668</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894</v>
      </c>
    </row>
    <row r="3" spans="1:1" ht="18">
      <c r="A3" s="1381" t="str">
        <f>项目基本情况!B5&amp;"："</f>
        <v>：</v>
      </c>
    </row>
    <row r="4" spans="1:1" ht="36">
      <c r="A4" s="1382" t="str">
        <f>"受贵公司委托，我公司对"&amp;项目基本情况!S1&amp;"进行了预评估。"</f>
        <v>受贵公司委托，我公司对北京市大兴区马朱路长子营段16号院17号楼1层101、2层201、202、203工业用房房地产抵押价值进行了预评估。</v>
      </c>
    </row>
    <row r="5" spans="1:1" ht="18.75">
      <c r="A5" s="1383" t="s">
        <v>895</v>
      </c>
    </row>
    <row r="6" spans="1:1" ht="18.75">
      <c r="A6" s="1384" t="s">
        <v>896</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1层101、2层201、202、203工业用房房地产，为所有。根据《国有土地使用证》[]，估价对象（分摊）出让国有建设用地使用权面积为0平方米，建筑面积为491.32平方米。</v>
      </c>
    </row>
    <row r="8" spans="1:1" ht="57.75">
      <c r="A8" s="1385" t="s">
        <v>897</v>
      </c>
    </row>
    <row r="9" spans="1:1" ht="18.75">
      <c r="A9" s="1384" t="s">
        <v>898</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491.32平方米。</v>
      </c>
    </row>
    <row r="11" spans="1:1" ht="76.5">
      <c r="A11" s="1385" t="s">
        <v>899</v>
      </c>
    </row>
    <row r="12" spans="1:1" ht="18.75">
      <c r="A12" s="1383" t="s">
        <v>900</v>
      </c>
    </row>
    <row r="13" spans="1:1" ht="38.25" customHeight="1">
      <c r="A13" s="1382" t="str">
        <f>IF(项目基本情况!B8="抵押",IF(项目基本情况!B5=项目基本情况!B6,定义!C51,定义!B51),定义!D51)</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901</v>
      </c>
    </row>
    <row r="15" spans="1:1" ht="18">
      <c r="A15" s="1386" t="str">
        <f>TEXT(项目基本情况!D3,"yyyy年m月d日;;")&amp;IF(项目基本情况!D3=项目基本情况!B3,"（评估专业人员实地查勘之日）","")</f>
        <v>2025年5月9日（评估专业人员实地查勘之日）</v>
      </c>
    </row>
    <row r="16" spans="1:1" ht="18.75">
      <c r="A16" s="1381" t="s">
        <v>902</v>
      </c>
    </row>
    <row r="17" spans="1:1" ht="75">
      <c r="A17" s="1382" t="s">
        <v>903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892</v>
      </c>
    </row>
    <row r="24" spans="1:1" ht="18">
      <c r="A24" s="1387" t="str">
        <f>"本次评估采用的主估价方法为"&amp;结果表!K4&amp;"和"&amp;结果表!L4&amp;"。"</f>
        <v>本次评估采用的主估价方法为比较法和收益法。</v>
      </c>
    </row>
    <row r="25" spans="1:1" ht="18">
      <c r="A25" s="1387"/>
    </row>
    <row r="26" spans="1:1" ht="18.75">
      <c r="A26" s="1388"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2429</v>
      </c>
      <c r="B1" s="2583"/>
      <c r="C1" s="2595"/>
      <c r="D1" s="2595"/>
      <c r="E1" s="2584"/>
      <c r="F1" s="2585"/>
      <c r="G1" s="2586"/>
      <c r="J1" s="2589" t="s">
        <v>2308</v>
      </c>
      <c r="K1" s="2590"/>
      <c r="L1" s="2590"/>
      <c r="M1" s="2590"/>
      <c r="N1" s="2590"/>
      <c r="O1" s="2590"/>
      <c r="P1" s="2590"/>
      <c r="Q1" s="2590"/>
      <c r="R1" s="2591"/>
      <c r="S1" s="2592"/>
      <c r="T1" s="2592"/>
      <c r="U1" s="2592"/>
    </row>
    <row r="2" spans="1:22" s="2604" customFormat="1" ht="13.15" customHeight="1">
      <c r="A2" s="1293" t="s">
        <v>2309</v>
      </c>
      <c r="B2" s="2594" t="e">
        <f>IF(D2="——",C40,C40+E2)</f>
        <v>#DIV/0!</v>
      </c>
      <c r="C2" s="2595" t="s">
        <v>2310</v>
      </c>
      <c r="D2" s="3138" t="s">
        <v>3353</v>
      </c>
      <c r="E2" s="3139"/>
      <c r="F2" s="2597"/>
      <c r="G2" s="2598"/>
      <c r="H2" s="2599"/>
      <c r="I2" s="2600"/>
      <c r="J2" s="3433" t="s">
        <v>2311</v>
      </c>
      <c r="K2" s="3434"/>
      <c r="L2" s="2601" t="s">
        <v>2312</v>
      </c>
      <c r="M2" s="2601" t="s">
        <v>2313</v>
      </c>
      <c r="N2" s="2601" t="s">
        <v>2314</v>
      </c>
      <c r="O2" s="2601" t="s">
        <v>2315</v>
      </c>
      <c r="P2" s="2601" t="s">
        <v>2316</v>
      </c>
      <c r="Q2" s="2602" t="s">
        <v>2317</v>
      </c>
      <c r="R2" s="2603" t="s">
        <v>2318</v>
      </c>
      <c r="S2" s="2592"/>
      <c r="T2" s="2592"/>
      <c r="U2" s="2592"/>
      <c r="V2" s="2600"/>
    </row>
    <row r="3" spans="1:22" s="2604" customFormat="1" ht="13.15" customHeight="1">
      <c r="A3" s="2605" t="s">
        <v>2319</v>
      </c>
      <c r="B3" s="2606" t="e">
        <f>ROUND(B2*10000/B4,0)</f>
        <v>#DIV/0!</v>
      </c>
      <c r="C3" s="2595" t="s">
        <v>2320</v>
      </c>
      <c r="D3" s="2595"/>
      <c r="E3" s="2596"/>
      <c r="F3" s="2597"/>
      <c r="G3" s="2598"/>
      <c r="H3" s="2599"/>
      <c r="I3" s="2600"/>
      <c r="J3" s="3435" t="s">
        <v>2321</v>
      </c>
      <c r="K3" s="3436"/>
      <c r="L3" s="2607"/>
      <c r="M3" s="2607"/>
      <c r="N3" s="2607"/>
      <c r="O3" s="2607"/>
      <c r="P3" s="2607"/>
      <c r="Q3" s="2608"/>
      <c r="R3" s="2609">
        <f>SUM(L3:Q3)</f>
        <v>0</v>
      </c>
      <c r="S3" s="2592"/>
      <c r="T3" s="2592"/>
      <c r="U3" s="2592"/>
      <c r="V3" s="2600"/>
    </row>
    <row r="4" spans="1:22" s="2604" customFormat="1" ht="13.15" customHeight="1">
      <c r="A4" s="2610" t="s">
        <v>2322</v>
      </c>
      <c r="B4" s="2611"/>
      <c r="C4" s="2595"/>
      <c r="D4" s="2595"/>
      <c r="E4" s="2596"/>
      <c r="F4" s="2597"/>
      <c r="G4" s="2598"/>
      <c r="H4" s="2599"/>
      <c r="I4" s="2600"/>
      <c r="J4" s="3435" t="s">
        <v>2323</v>
      </c>
      <c r="K4" s="3436"/>
      <c r="L4" s="2612"/>
      <c r="M4" s="2612"/>
      <c r="N4" s="2612"/>
      <c r="O4" s="2612"/>
      <c r="P4" s="2612"/>
      <c r="Q4" s="2613"/>
      <c r="R4" s="2614">
        <f>SUM(L4:Q4)</f>
        <v>0</v>
      </c>
      <c r="S4" s="2592"/>
      <c r="T4" s="2592"/>
      <c r="U4" s="2592"/>
      <c r="V4" s="2600"/>
    </row>
    <row r="5" spans="1:22" s="2604" customFormat="1" ht="13.15" customHeight="1" thickBot="1">
      <c r="A5" s="2615" t="s">
        <v>2324</v>
      </c>
      <c r="B5" s="2616"/>
      <c r="C5" s="2595"/>
      <c r="D5" s="2617"/>
      <c r="E5" s="2597"/>
      <c r="F5" s="2597"/>
      <c r="G5" s="2598"/>
      <c r="H5" s="2599"/>
      <c r="I5" s="2600"/>
      <c r="J5" s="2618" t="s">
        <v>2325</v>
      </c>
      <c r="K5" s="2619"/>
      <c r="L5" s="2619"/>
      <c r="M5" s="2620"/>
      <c r="N5" s="2620"/>
      <c r="O5" s="2620"/>
      <c r="P5" s="2620"/>
      <c r="Q5" s="2620"/>
      <c r="R5" s="2603">
        <f>SUM(R14,R19,R24,R25,R27,R28)</f>
        <v>0</v>
      </c>
      <c r="S5" s="2592"/>
      <c r="T5" s="2592" t="s">
        <v>2326</v>
      </c>
      <c r="U5" s="2592" t="e">
        <f>ROUND(R5*10000/365/R3,1)</f>
        <v>#DIV/0!</v>
      </c>
      <c r="V5" s="2600"/>
    </row>
    <row r="6" spans="1:22" s="2604" customFormat="1" ht="13.15" customHeight="1" thickBot="1">
      <c r="A6" s="3441" t="s">
        <v>2327</v>
      </c>
      <c r="B6" s="3442"/>
      <c r="C6" s="3443"/>
      <c r="D6" s="2621"/>
      <c r="E6" s="2622"/>
      <c r="F6" s="2623"/>
      <c r="G6" s="2624"/>
      <c r="H6" s="2599"/>
      <c r="I6" s="2600"/>
      <c r="J6" s="3427">
        <v>1</v>
      </c>
      <c r="K6" s="3428" t="s">
        <v>2328</v>
      </c>
      <c r="L6" s="2625" t="s">
        <v>2329</v>
      </c>
      <c r="M6" s="2626" t="s">
        <v>2330</v>
      </c>
      <c r="N6" s="2626" t="s">
        <v>2331</v>
      </c>
      <c r="O6" s="2626" t="s">
        <v>2332</v>
      </c>
      <c r="P6" s="2626" t="s">
        <v>2333</v>
      </c>
      <c r="Q6" s="2626" t="s">
        <v>2334</v>
      </c>
      <c r="R6" s="2609" t="s">
        <v>2335</v>
      </c>
      <c r="S6" s="2592"/>
      <c r="T6" s="2592" t="s">
        <v>2336</v>
      </c>
      <c r="U6" s="2592"/>
      <c r="V6" s="2600"/>
    </row>
    <row r="7" spans="1:22" s="2604" customFormat="1" ht="13.15" customHeight="1">
      <c r="A7" s="2627" t="s">
        <v>2337</v>
      </c>
      <c r="B7" s="2628"/>
      <c r="C7" s="2629"/>
      <c r="D7" s="2630">
        <f>SUM(D9,D10,D11,D17,0)</f>
        <v>0</v>
      </c>
      <c r="E7" s="2631" t="e">
        <f>E9+E10+E11+E17</f>
        <v>#DIV/0!</v>
      </c>
      <c r="F7" s="2632"/>
      <c r="G7" s="2633"/>
      <c r="H7" s="2599"/>
      <c r="I7" s="2600"/>
      <c r="J7" s="3427"/>
      <c r="K7" s="3429"/>
      <c r="L7" s="2634" t="s">
        <v>2338</v>
      </c>
      <c r="M7" s="2635"/>
      <c r="N7" s="2611"/>
      <c r="O7" s="2636"/>
      <c r="P7" s="2636"/>
      <c r="Q7" s="2637">
        <v>365</v>
      </c>
      <c r="R7" s="2638">
        <f>ROUND(M7*N7*O7*P7*Q7/10000,0)</f>
        <v>0</v>
      </c>
      <c r="S7" s="2592"/>
      <c r="T7" s="2592" t="s">
        <v>2339</v>
      </c>
      <c r="U7" s="2592"/>
      <c r="V7" s="2600"/>
    </row>
    <row r="8" spans="1:22" s="2604" customFormat="1" ht="13.15" customHeight="1">
      <c r="A8" s="2639" t="s">
        <v>2340</v>
      </c>
      <c r="B8" s="3444" t="s">
        <v>2341</v>
      </c>
      <c r="C8" s="3445"/>
      <c r="D8" s="2640" t="s">
        <v>2342</v>
      </c>
      <c r="E8" s="2641" t="s">
        <v>2343</v>
      </c>
      <c r="F8" s="2642" t="s">
        <v>2344</v>
      </c>
      <c r="G8" s="2643"/>
      <c r="H8" s="2599"/>
      <c r="I8" s="2600"/>
      <c r="J8" s="3427"/>
      <c r="K8" s="3429"/>
      <c r="L8" s="2634" t="s">
        <v>2345</v>
      </c>
      <c r="M8" s="2635"/>
      <c r="N8" s="2611"/>
      <c r="O8" s="2636"/>
      <c r="P8" s="2636"/>
      <c r="Q8" s="2637">
        <v>365</v>
      </c>
      <c r="R8" s="2638">
        <f t="shared" ref="R8:R13" si="0">ROUND(M8*N8*O8*P8*Q8/10000,0)</f>
        <v>0</v>
      </c>
      <c r="S8" s="2592"/>
      <c r="T8" s="2592" t="s">
        <v>2346</v>
      </c>
      <c r="U8" s="2592"/>
      <c r="V8" s="2600"/>
    </row>
    <row r="9" spans="1:22" s="2604" customFormat="1" ht="13.15" customHeight="1">
      <c r="A9" s="2639">
        <v>1</v>
      </c>
      <c r="B9" s="3444" t="s">
        <v>2347</v>
      </c>
      <c r="C9" s="3445"/>
      <c r="D9" s="2640">
        <f>ROUND(D6*E9,0)</f>
        <v>0</v>
      </c>
      <c r="E9" s="2644"/>
      <c r="F9" s="2645" t="s">
        <v>2348</v>
      </c>
      <c r="G9" s="2624"/>
      <c r="H9" s="2599"/>
      <c r="I9" s="2600"/>
      <c r="J9" s="3427"/>
      <c r="K9" s="3429"/>
      <c r="L9" s="2634" t="s">
        <v>2349</v>
      </c>
      <c r="M9" s="2635"/>
      <c r="N9" s="2611"/>
      <c r="O9" s="2636"/>
      <c r="P9" s="2636"/>
      <c r="Q9" s="2637">
        <v>365</v>
      </c>
      <c r="R9" s="2638">
        <f t="shared" si="0"/>
        <v>0</v>
      </c>
      <c r="S9" s="2592"/>
      <c r="T9" s="2592"/>
      <c r="U9" s="2592"/>
      <c r="V9" s="2600"/>
    </row>
    <row r="10" spans="1:22" s="2604" customFormat="1" ht="13.15" customHeight="1">
      <c r="A10" s="2639">
        <v>2</v>
      </c>
      <c r="B10" s="3444" t="s">
        <v>2350</v>
      </c>
      <c r="C10" s="3445"/>
      <c r="D10" s="2640">
        <f>ROUND(D6*E10,0)</f>
        <v>0</v>
      </c>
      <c r="E10" s="2644"/>
      <c r="F10" s="2645" t="s">
        <v>2351</v>
      </c>
      <c r="G10" s="2624"/>
      <c r="H10" s="2599"/>
      <c r="I10" s="2600"/>
      <c r="J10" s="3427"/>
      <c r="K10" s="3429"/>
      <c r="L10" s="2634" t="s">
        <v>2352</v>
      </c>
      <c r="M10" s="2635"/>
      <c r="N10" s="2611"/>
      <c r="O10" s="2636"/>
      <c r="P10" s="2636"/>
      <c r="Q10" s="2637">
        <v>365</v>
      </c>
      <c r="R10" s="2638">
        <f t="shared" si="0"/>
        <v>0</v>
      </c>
      <c r="S10" s="2592"/>
      <c r="T10" s="2592"/>
      <c r="U10" s="2592"/>
      <c r="V10" s="2600"/>
    </row>
    <row r="11" spans="1:22" s="2604" customFormat="1" ht="13.15" customHeight="1">
      <c r="A11" s="2639">
        <v>3</v>
      </c>
      <c r="B11" s="3444" t="s">
        <v>2353</v>
      </c>
      <c r="C11" s="3445"/>
      <c r="D11" s="2640">
        <f>D12+D14+D15+D16</f>
        <v>0</v>
      </c>
      <c r="E11" s="2646" t="e">
        <f>D11/D6</f>
        <v>#DIV/0!</v>
      </c>
      <c r="F11" s="2642"/>
      <c r="G11" s="2643"/>
      <c r="H11" s="2599"/>
      <c r="I11" s="2600"/>
      <c r="J11" s="3427"/>
      <c r="K11" s="3429"/>
      <c r="L11" s="2634" t="s">
        <v>2354</v>
      </c>
      <c r="M11" s="2635"/>
      <c r="N11" s="2611"/>
      <c r="O11" s="2636"/>
      <c r="P11" s="2636"/>
      <c r="Q11" s="2637">
        <v>365</v>
      </c>
      <c r="R11" s="2638">
        <f t="shared" si="0"/>
        <v>0</v>
      </c>
      <c r="S11" s="2592"/>
      <c r="T11" s="2592"/>
      <c r="U11" s="2592"/>
      <c r="V11" s="2600"/>
    </row>
    <row r="12" spans="1:22" s="2604" customFormat="1" ht="13.15" customHeight="1">
      <c r="A12" s="2647" t="s">
        <v>2355</v>
      </c>
      <c r="B12" s="3437" t="s">
        <v>2356</v>
      </c>
      <c r="C12" s="3438"/>
      <c r="D12" s="2648">
        <f>ROUND(D13*1.2%*(1-30%),0)</f>
        <v>0</v>
      </c>
      <c r="E12" s="2649">
        <v>1.2E-2</v>
      </c>
      <c r="F12" s="2642" t="s">
        <v>2357</v>
      </c>
      <c r="G12" s="2643"/>
      <c r="H12" s="2599"/>
      <c r="I12" s="2600"/>
      <c r="J12" s="3427"/>
      <c r="K12" s="3429"/>
      <c r="L12" s="2634" t="s">
        <v>2358</v>
      </c>
      <c r="M12" s="2635"/>
      <c r="N12" s="2611"/>
      <c r="O12" s="2636"/>
      <c r="P12" s="2636"/>
      <c r="Q12" s="2637">
        <v>365</v>
      </c>
      <c r="R12" s="2638">
        <f t="shared" si="0"/>
        <v>0</v>
      </c>
      <c r="S12" s="2592"/>
      <c r="T12" s="2592"/>
      <c r="U12" s="2592"/>
      <c r="V12" s="2600"/>
    </row>
    <row r="13" spans="1:22" s="2604" customFormat="1" ht="13.15" customHeight="1">
      <c r="A13" s="2647"/>
      <c r="B13" s="2650"/>
      <c r="C13" s="2651" t="s">
        <v>2359</v>
      </c>
      <c r="D13" s="2652"/>
      <c r="E13" s="2653"/>
      <c r="F13" s="2642"/>
      <c r="G13" s="2643"/>
      <c r="H13" s="2599"/>
      <c r="I13" s="2600"/>
      <c r="J13" s="3427"/>
      <c r="K13" s="3429"/>
      <c r="L13" s="2634" t="s">
        <v>2360</v>
      </c>
      <c r="M13" s="2635"/>
      <c r="N13" s="2611"/>
      <c r="O13" s="2636"/>
      <c r="P13" s="2636"/>
      <c r="Q13" s="2637">
        <v>365</v>
      </c>
      <c r="R13" s="2638">
        <f t="shared" si="0"/>
        <v>0</v>
      </c>
      <c r="S13" s="2592"/>
      <c r="T13" s="2592"/>
      <c r="U13" s="2592"/>
      <c r="V13" s="2600"/>
    </row>
    <row r="14" spans="1:22" s="2604" customFormat="1" ht="13.15" customHeight="1">
      <c r="A14" s="2647" t="s">
        <v>2361</v>
      </c>
      <c r="B14" s="3437" t="s">
        <v>2362</v>
      </c>
      <c r="C14" s="3438"/>
      <c r="D14" s="2648">
        <f>ROUND(E14*B5/10000,0)</f>
        <v>0</v>
      </c>
      <c r="E14" s="2637"/>
      <c r="F14" s="2642" t="s">
        <v>2363</v>
      </c>
      <c r="G14" s="2643"/>
      <c r="H14" s="2599"/>
      <c r="I14" s="2600"/>
      <c r="J14" s="3427"/>
      <c r="K14" s="3430"/>
      <c r="L14" s="2654" t="s">
        <v>2364</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2365</v>
      </c>
      <c r="B15" s="3437" t="s">
        <v>2366</v>
      </c>
      <c r="C15" s="3438"/>
      <c r="D15" s="2648">
        <f>ROUND(D6*E15,0)</f>
        <v>0</v>
      </c>
      <c r="E15" s="2649">
        <v>5.5E-2</v>
      </c>
      <c r="F15" s="2642" t="s">
        <v>2367</v>
      </c>
      <c r="G15" s="2624"/>
      <c r="H15" s="2599"/>
      <c r="I15" s="2600"/>
      <c r="J15" s="3427">
        <v>2</v>
      </c>
      <c r="K15" s="3428" t="s">
        <v>2368</v>
      </c>
      <c r="L15" s="2634" t="s">
        <v>2369</v>
      </c>
      <c r="M15" s="2635" t="s">
        <v>2370</v>
      </c>
      <c r="N15" s="2635" t="s">
        <v>2371</v>
      </c>
      <c r="O15" s="2636" t="s">
        <v>2372</v>
      </c>
      <c r="P15" s="2636" t="s">
        <v>2334</v>
      </c>
      <c r="Q15" s="2611" t="s">
        <v>2373</v>
      </c>
      <c r="R15" s="2658" t="s">
        <v>2335</v>
      </c>
      <c r="S15" s="2592"/>
      <c r="T15" s="2592"/>
      <c r="U15" s="2592"/>
      <c r="V15" s="2600"/>
    </row>
    <row r="16" spans="1:22" s="2604" customFormat="1" ht="13.15" customHeight="1">
      <c r="A16" s="2647" t="s">
        <v>2374</v>
      </c>
      <c r="B16" s="3437" t="s">
        <v>2375</v>
      </c>
      <c r="C16" s="3438"/>
      <c r="D16" s="2659">
        <f>D6*E16</f>
        <v>0</v>
      </c>
      <c r="E16" s="2660"/>
      <c r="F16" s="2645" t="s">
        <v>2376</v>
      </c>
      <c r="G16" s="2624"/>
      <c r="H16" s="2599"/>
      <c r="I16" s="2600"/>
      <c r="J16" s="3427"/>
      <c r="K16" s="3429"/>
      <c r="L16" s="2634" t="s">
        <v>2377</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2378</v>
      </c>
      <c r="C17" s="3440"/>
      <c r="D17" s="2662">
        <f>ROUND(D6*E17,0)</f>
        <v>0</v>
      </c>
      <c r="E17" s="2663"/>
      <c r="F17" s="2664" t="s">
        <v>2379</v>
      </c>
      <c r="G17" s="2624"/>
      <c r="H17" s="2599"/>
      <c r="I17" s="2600"/>
      <c r="J17" s="3427"/>
      <c r="K17" s="3429"/>
      <c r="L17" s="2634" t="s">
        <v>2380</v>
      </c>
      <c r="M17" s="2635"/>
      <c r="N17" s="2635"/>
      <c r="O17" s="2636"/>
      <c r="P17" s="2637">
        <v>365</v>
      </c>
      <c r="Q17" s="2611"/>
      <c r="R17" s="2658">
        <f>ROUND(M17*N17*O17*P17/10000,0)</f>
        <v>0</v>
      </c>
      <c r="S17" s="2592"/>
      <c r="T17" s="2592"/>
      <c r="U17" s="2592"/>
      <c r="V17" s="2600"/>
    </row>
    <row r="18" spans="1:22" s="2604" customFormat="1" ht="13.15" customHeight="1" thickBot="1">
      <c r="A18" s="2627" t="s">
        <v>2381</v>
      </c>
      <c r="B18" s="2628"/>
      <c r="C18" s="2628"/>
      <c r="D18" s="2665">
        <f>ROUND(D6*E18,0)</f>
        <v>0</v>
      </c>
      <c r="E18" s="2666"/>
      <c r="F18" s="2667" t="s">
        <v>2382</v>
      </c>
      <c r="G18" s="2624"/>
      <c r="H18" s="2599"/>
      <c r="I18" s="2600"/>
      <c r="J18" s="3427"/>
      <c r="K18" s="3429"/>
      <c r="L18" s="2634" t="s">
        <v>2383</v>
      </c>
      <c r="M18" s="2635"/>
      <c r="N18" s="2635"/>
      <c r="O18" s="2636"/>
      <c r="P18" s="2637">
        <v>365</v>
      </c>
      <c r="Q18" s="2611"/>
      <c r="R18" s="2658">
        <f>ROUND(M18*N18*O18*P18/10000,0)</f>
        <v>0</v>
      </c>
      <c r="S18" s="2592"/>
      <c r="T18" s="2592"/>
      <c r="U18" s="2592"/>
      <c r="V18" s="2600"/>
    </row>
    <row r="19" spans="1:22" s="2604" customFormat="1" ht="13.15" customHeight="1" thickBot="1">
      <c r="A19" s="2668" t="s">
        <v>2384</v>
      </c>
      <c r="B19" s="2622"/>
      <c r="C19" s="2622"/>
      <c r="D19" s="2622"/>
      <c r="E19" s="2622"/>
      <c r="F19" s="2623"/>
      <c r="G19" s="2643"/>
      <c r="H19" s="2599"/>
      <c r="I19" s="2600"/>
      <c r="J19" s="3427"/>
      <c r="K19" s="3430"/>
      <c r="L19" s="2654" t="s">
        <v>2364</v>
      </c>
      <c r="M19" s="2655"/>
      <c r="N19" s="2655">
        <f>SUM(N16:N18)</f>
        <v>0</v>
      </c>
      <c r="O19" s="2656"/>
      <c r="P19" s="2669" t="s">
        <v>2428</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2385</v>
      </c>
      <c r="L20" s="2634" t="s">
        <v>2386</v>
      </c>
      <c r="M20" s="2635" t="s">
        <v>2387</v>
      </c>
      <c r="N20" s="2672" t="s">
        <v>2388</v>
      </c>
      <c r="O20" s="2636" t="s">
        <v>2389</v>
      </c>
      <c r="P20" s="2637" t="s">
        <v>2390</v>
      </c>
      <c r="Q20" s="2611" t="s">
        <v>2391</v>
      </c>
      <c r="R20" s="2658" t="s">
        <v>2392</v>
      </c>
      <c r="S20" s="2592"/>
      <c r="T20" s="2592"/>
      <c r="U20" s="2592"/>
      <c r="V20" s="2600"/>
    </row>
    <row r="21" spans="1:22" s="2604" customFormat="1" ht="13.15" customHeight="1">
      <c r="A21" s="2627"/>
      <c r="B21" s="2628"/>
      <c r="C21" s="2673" t="s">
        <v>2393</v>
      </c>
      <c r="D21" s="2674" t="s">
        <v>2394</v>
      </c>
      <c r="E21" s="2675" t="s">
        <v>2395</v>
      </c>
      <c r="F21" s="2671"/>
      <c r="G21" s="2643"/>
      <c r="H21" s="2599"/>
      <c r="I21" s="2600"/>
      <c r="J21" s="3427"/>
      <c r="K21" s="3429"/>
      <c r="L21" s="2634" t="s">
        <v>2396</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2397</v>
      </c>
      <c r="D22" s="2678" t="s">
        <v>2398</v>
      </c>
      <c r="E22" s="2679" t="s">
        <v>2399</v>
      </c>
      <c r="F22" s="2671"/>
      <c r="G22" s="2592"/>
      <c r="H22" s="2599"/>
      <c r="I22" s="2600"/>
      <c r="J22" s="3427"/>
      <c r="K22" s="3429"/>
      <c r="L22" s="2634" t="s">
        <v>2400</v>
      </c>
      <c r="M22" s="2635"/>
      <c r="N22" s="2635"/>
      <c r="O22" s="2636"/>
      <c r="P22" s="2637">
        <v>365</v>
      </c>
      <c r="Q22" s="2611"/>
      <c r="R22" s="2676">
        <f>ROUND(M22*N22*O22*P22/10000,0)</f>
        <v>0</v>
      </c>
      <c r="S22" s="2592"/>
      <c r="T22" s="2592"/>
      <c r="U22" s="2592"/>
      <c r="V22" s="2600"/>
    </row>
    <row r="23" spans="1:22" s="2604" customFormat="1" ht="13.15" customHeight="1">
      <c r="A23" s="2680">
        <v>1</v>
      </c>
      <c r="B23" s="2681" t="s">
        <v>2401</v>
      </c>
      <c r="C23" s="2682">
        <f>D6</f>
        <v>0</v>
      </c>
      <c r="D23" s="2683">
        <f>C23*(1+D24)</f>
        <v>0</v>
      </c>
      <c r="E23" s="2684">
        <f>D23*(1+E24)</f>
        <v>0</v>
      </c>
      <c r="F23" s="2685"/>
      <c r="G23" s="2686"/>
      <c r="H23" s="2599"/>
      <c r="I23" s="2600"/>
      <c r="J23" s="3427"/>
      <c r="K23" s="3429"/>
      <c r="L23" s="2634" t="s">
        <v>2402</v>
      </c>
      <c r="M23" s="2635"/>
      <c r="N23" s="2635"/>
      <c r="O23" s="2636"/>
      <c r="P23" s="2637">
        <v>365</v>
      </c>
      <c r="Q23" s="2611"/>
      <c r="R23" s="2676">
        <f>ROUND(M23*N23*O23*P23/10000,0)</f>
        <v>0</v>
      </c>
      <c r="S23" s="2592"/>
      <c r="T23" s="2592"/>
      <c r="U23" s="2592"/>
      <c r="V23" s="2600"/>
    </row>
    <row r="24" spans="1:22" s="2604" customFormat="1" ht="13.15" customHeight="1">
      <c r="A24" s="2687"/>
      <c r="B24" s="2688" t="s">
        <v>2403</v>
      </c>
      <c r="C24" s="2689"/>
      <c r="D24" s="2690"/>
      <c r="E24" s="2691"/>
      <c r="F24" s="2692"/>
      <c r="G24" s="2686"/>
      <c r="H24" s="2599"/>
      <c r="I24" s="2600"/>
      <c r="J24" s="3427"/>
      <c r="K24" s="3430"/>
      <c r="L24" s="2654" t="s">
        <v>2364</v>
      </c>
      <c r="M24" s="2655">
        <f>SUM(M21:M23)</f>
        <v>0</v>
      </c>
      <c r="N24" s="2655"/>
      <c r="O24" s="2656"/>
      <c r="P24" s="2669" t="s">
        <v>2428</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2404</v>
      </c>
      <c r="L25" s="2695"/>
      <c r="M25" s="2695"/>
      <c r="N25" s="2695"/>
      <c r="O25" s="2695"/>
      <c r="P25" s="2696"/>
      <c r="Q25" s="2697">
        <v>0</v>
      </c>
      <c r="R25" s="2670">
        <f>ROUND(R14*Q25,0)</f>
        <v>0</v>
      </c>
      <c r="S25" s="2592"/>
      <c r="T25" s="2592"/>
      <c r="U25" s="2592"/>
      <c r="V25" s="2698"/>
    </row>
    <row r="26" spans="1:22" s="2699" customFormat="1" ht="13.15" customHeight="1">
      <c r="A26" s="2680">
        <v>2</v>
      </c>
      <c r="B26" s="2681" t="s">
        <v>2405</v>
      </c>
      <c r="C26" s="2682">
        <f>D7</f>
        <v>0</v>
      </c>
      <c r="D26" s="2683">
        <f>D23*D27</f>
        <v>0</v>
      </c>
      <c r="E26" s="2684">
        <f>E23*E27</f>
        <v>0</v>
      </c>
      <c r="F26" s="2685"/>
      <c r="G26" s="2686"/>
      <c r="H26" s="2599"/>
      <c r="I26" s="2600"/>
      <c r="J26" s="3431">
        <v>5</v>
      </c>
      <c r="K26" s="2700" t="s">
        <v>2406</v>
      </c>
      <c r="L26" s="2701"/>
      <c r="M26" s="2702"/>
      <c r="N26" s="2703" t="s">
        <v>2407</v>
      </c>
      <c r="O26" s="2703" t="s">
        <v>2408</v>
      </c>
      <c r="P26" s="2704" t="s">
        <v>2409</v>
      </c>
      <c r="Q26" s="2704" t="s">
        <v>2410</v>
      </c>
      <c r="R26" s="2609" t="s">
        <v>2335</v>
      </c>
      <c r="S26" s="2643"/>
      <c r="T26" s="2643"/>
      <c r="U26" s="2643"/>
      <c r="V26" s="2698"/>
    </row>
    <row r="27" spans="1:22" s="2604" customFormat="1" ht="13.15" customHeight="1">
      <c r="A27" s="2687"/>
      <c r="B27" s="2688" t="s">
        <v>2411</v>
      </c>
      <c r="C27" s="2705" t="e">
        <f>E7</f>
        <v>#DIV/0!</v>
      </c>
      <c r="D27" s="2690"/>
      <c r="E27" s="2691"/>
      <c r="F27" s="2692"/>
      <c r="G27" s="2686"/>
      <c r="H27" s="2706"/>
      <c r="I27" s="2698"/>
      <c r="J27" s="343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2412</v>
      </c>
      <c r="F28" s="2692"/>
      <c r="G28" s="2592"/>
      <c r="H28" s="2706"/>
      <c r="I28" s="2698"/>
      <c r="J28" s="2712">
        <v>6</v>
      </c>
      <c r="K28" s="2713" t="s">
        <v>2413</v>
      </c>
      <c r="L28" s="2714" t="s">
        <v>2414</v>
      </c>
      <c r="M28" s="2715"/>
      <c r="N28" s="2714" t="s">
        <v>2415</v>
      </c>
      <c r="O28" s="2716"/>
      <c r="P28" s="2714" t="s">
        <v>2416</v>
      </c>
      <c r="Q28" s="2717">
        <v>1.4999999999999999E-2</v>
      </c>
      <c r="R28" s="2718"/>
      <c r="S28" s="2592"/>
      <c r="T28" s="2592"/>
      <c r="U28" s="2592"/>
      <c r="V28" s="2698"/>
    </row>
    <row r="29" spans="1:22" s="2699" customFormat="1" ht="13.15" customHeight="1">
      <c r="A29" s="2680">
        <v>3</v>
      </c>
      <c r="B29" s="2681" t="s">
        <v>2417</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2411</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2418</v>
      </c>
      <c r="K31" s="2590"/>
      <c r="L31" s="2590"/>
      <c r="M31" s="2590"/>
      <c r="N31" s="2590"/>
      <c r="O31" s="2590"/>
      <c r="P31" s="2590"/>
      <c r="Q31" s="2590"/>
      <c r="R31" s="2591"/>
      <c r="S31" s="2592"/>
      <c r="T31" s="2592"/>
      <c r="U31" s="2592"/>
      <c r="V31" s="2698"/>
    </row>
    <row r="32" spans="1:22" s="2699" customFormat="1" ht="13.15" customHeight="1">
      <c r="A32" s="2680">
        <v>4</v>
      </c>
      <c r="B32" s="2681" t="s">
        <v>2419</v>
      </c>
      <c r="C32" s="2682">
        <f>C23-C26-C29</f>
        <v>0</v>
      </c>
      <c r="D32" s="2683">
        <f>D23-D26-D29</f>
        <v>0</v>
      </c>
      <c r="E32" s="2684">
        <f>E23-E26-E29</f>
        <v>0</v>
      </c>
      <c r="F32" s="2685"/>
      <c r="G32" s="2592"/>
      <c r="H32" s="2599"/>
      <c r="I32" s="2600"/>
      <c r="J32" s="3433" t="s">
        <v>2311</v>
      </c>
      <c r="K32" s="3434"/>
      <c r="L32" s="2601" t="s">
        <v>2312</v>
      </c>
      <c r="M32" s="2601" t="s">
        <v>2313</v>
      </c>
      <c r="N32" s="2601" t="s">
        <v>2314</v>
      </c>
      <c r="O32" s="2601" t="s">
        <v>2315</v>
      </c>
      <c r="P32" s="2601" t="s">
        <v>2316</v>
      </c>
      <c r="Q32" s="2602" t="s">
        <v>2317</v>
      </c>
      <c r="R32" s="2721" t="s">
        <v>2318</v>
      </c>
      <c r="S32" s="2592"/>
      <c r="T32" s="2592"/>
      <c r="U32" s="2592"/>
      <c r="V32" s="2698"/>
    </row>
    <row r="33" spans="1:23" s="2604" customFormat="1" ht="13.15" customHeight="1">
      <c r="A33" s="2680"/>
      <c r="B33" s="2681"/>
      <c r="C33" s="2682"/>
      <c r="D33" s="2722"/>
      <c r="E33" s="2723"/>
      <c r="F33" s="2685"/>
      <c r="G33" s="2592"/>
      <c r="H33" s="2706"/>
      <c r="I33" s="2698"/>
      <c r="J33" s="3435" t="s">
        <v>2321</v>
      </c>
      <c r="K33" s="3436"/>
      <c r="L33" s="2607"/>
      <c r="M33" s="2607"/>
      <c r="N33" s="2607"/>
      <c r="O33" s="2607"/>
      <c r="P33" s="2607"/>
      <c r="Q33" s="2608"/>
      <c r="R33" s="2724">
        <f>SUM(L33:Q33)</f>
        <v>0</v>
      </c>
      <c r="S33" s="2592"/>
      <c r="T33" s="2592"/>
      <c r="U33" s="2592"/>
      <c r="V33" s="2600"/>
    </row>
    <row r="34" spans="1:23" s="2604" customFormat="1" ht="13.15" customHeight="1">
      <c r="A34" s="2680">
        <v>5</v>
      </c>
      <c r="B34" s="2681" t="s">
        <v>2420</v>
      </c>
      <c r="C34" s="2725"/>
      <c r="D34" s="2726"/>
      <c r="E34" s="2727"/>
      <c r="F34" s="2685"/>
      <c r="G34" s="2592"/>
      <c r="H34" s="2706"/>
      <c r="I34" s="2698"/>
      <c r="J34" s="3435" t="s">
        <v>2323</v>
      </c>
      <c r="K34" s="34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2421</v>
      </c>
      <c r="C35" s="2729"/>
      <c r="D35" s="2730"/>
      <c r="E35" s="2731"/>
      <c r="F35" s="2685"/>
      <c r="G35" s="2732"/>
      <c r="H35" s="2599"/>
      <c r="I35" s="2698"/>
      <c r="J35" s="2618" t="s">
        <v>2325</v>
      </c>
      <c r="K35" s="2619"/>
      <c r="L35" s="2619"/>
      <c r="M35" s="2620"/>
      <c r="N35" s="2620"/>
      <c r="O35" s="2620"/>
      <c r="P35" s="2620"/>
      <c r="Q35" s="2620"/>
      <c r="R35" s="2733">
        <f>R40+R41+R43</f>
        <v>0</v>
      </c>
      <c r="S35" s="2592"/>
      <c r="T35" s="2592" t="s">
        <v>2326</v>
      </c>
      <c r="U35" s="2592"/>
      <c r="V35" s="2600"/>
    </row>
    <row r="36" spans="1:23" s="2604" customFormat="1" ht="13.15" customHeight="1" thickBot="1">
      <c r="A36" s="2680">
        <v>7</v>
      </c>
      <c r="B36" s="2734" t="s">
        <v>2422</v>
      </c>
      <c r="C36" s="2735"/>
      <c r="D36" s="2736"/>
      <c r="E36" s="2737"/>
      <c r="F36" s="2738">
        <f>C36+D36+E36</f>
        <v>0</v>
      </c>
      <c r="G36" s="2592"/>
      <c r="H36" s="2599"/>
      <c r="I36" s="2600"/>
      <c r="J36" s="3427">
        <v>1</v>
      </c>
      <c r="K36" s="3428" t="s">
        <v>2423</v>
      </c>
      <c r="L36" s="2625"/>
      <c r="M36" s="2626"/>
      <c r="N36" s="2626"/>
      <c r="O36" s="2626"/>
      <c r="P36" s="2626"/>
      <c r="Q36" s="2626"/>
      <c r="R36" s="2609" t="s">
        <v>2335</v>
      </c>
      <c r="S36" s="2592"/>
      <c r="T36" s="2592" t="s">
        <v>2336</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2339</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2346</v>
      </c>
      <c r="U38" s="2592"/>
      <c r="V38" s="2600"/>
    </row>
    <row r="39" spans="1:23" s="2604" customFormat="1" ht="13.15" customHeight="1">
      <c r="A39" s="2680">
        <v>9</v>
      </c>
      <c r="B39" s="2681" t="s">
        <v>2424</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2425</v>
      </c>
      <c r="C40" s="2740" t="e">
        <f>C39+D39+E39</f>
        <v>#DIV/0!</v>
      </c>
      <c r="D40" s="2741"/>
      <c r="E40" s="2741"/>
      <c r="F40" s="2742"/>
      <c r="G40" s="2592"/>
      <c r="H40" s="2599"/>
      <c r="I40" s="2600"/>
      <c r="J40" s="3427"/>
      <c r="K40" s="3430"/>
      <c r="L40" s="2654" t="s">
        <v>2364</v>
      </c>
      <c r="M40" s="2655"/>
      <c r="N40" s="2655"/>
      <c r="O40" s="2656"/>
      <c r="P40" s="2656"/>
      <c r="Q40" s="2657"/>
      <c r="R40" s="2603">
        <f>SUM(R37:R39)</f>
        <v>0</v>
      </c>
      <c r="S40" s="2592"/>
      <c r="T40" s="2592"/>
      <c r="U40" s="2592"/>
      <c r="V40" s="2600"/>
    </row>
    <row r="41" spans="1:23" s="2604" customFormat="1" ht="13.15" customHeight="1" thickBot="1">
      <c r="A41" s="2743">
        <v>11</v>
      </c>
      <c r="B41" s="2744" t="s">
        <v>2426</v>
      </c>
      <c r="C41" s="2744" t="e">
        <f>ROUND(C40*10000/B4,0)</f>
        <v>#DIV/0!</v>
      </c>
      <c r="D41" s="2745"/>
      <c r="E41" s="2745"/>
      <c r="F41" s="2746"/>
      <c r="G41" s="2599"/>
      <c r="H41" s="2599"/>
      <c r="I41" s="2600"/>
      <c r="J41" s="2693">
        <v>2</v>
      </c>
      <c r="K41" s="2694" t="s">
        <v>2404</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1">
        <v>3</v>
      </c>
      <c r="K42" s="2700" t="s">
        <v>2406</v>
      </c>
      <c r="L42" s="2701"/>
      <c r="M42" s="2702"/>
      <c r="N42" s="2703" t="s">
        <v>2407</v>
      </c>
      <c r="O42" s="2703" t="s">
        <v>2408</v>
      </c>
      <c r="P42" s="2704" t="s">
        <v>2409</v>
      </c>
      <c r="Q42" s="2704" t="s">
        <v>2410</v>
      </c>
      <c r="R42" s="2609" t="s">
        <v>2335</v>
      </c>
      <c r="S42" s="2643"/>
      <c r="T42" s="2643"/>
      <c r="U42" s="2592"/>
      <c r="V42" s="2600"/>
    </row>
    <row r="43" spans="1:23" ht="13.15" customHeight="1">
      <c r="A43" s="2604"/>
      <c r="B43" s="2604"/>
      <c r="C43" s="2604"/>
      <c r="D43" s="2604"/>
      <c r="E43" s="2604"/>
      <c r="F43" s="2604"/>
      <c r="I43" s="2587"/>
      <c r="J43" s="343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2413</v>
      </c>
      <c r="L44" s="2749" t="s">
        <v>2414</v>
      </c>
      <c r="M44" s="2715"/>
      <c r="N44" s="2749" t="s">
        <v>2415</v>
      </c>
      <c r="O44" s="2715"/>
      <c r="P44" s="2749" t="s">
        <v>2416</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1654</v>
      </c>
      <c r="B1" s="1726"/>
      <c r="C1" s="1726"/>
      <c r="D1" s="1726"/>
      <c r="E1" s="1727"/>
      <c r="F1" s="2479"/>
      <c r="G1" s="459"/>
      <c r="H1" s="459"/>
      <c r="I1" s="459"/>
      <c r="J1" s="459"/>
      <c r="K1" s="459"/>
      <c r="L1" s="459"/>
      <c r="M1" s="459"/>
      <c r="N1" s="459"/>
      <c r="O1" s="459"/>
      <c r="P1" s="459"/>
      <c r="Q1" s="459"/>
      <c r="R1" s="459"/>
      <c r="S1" s="459"/>
    </row>
    <row r="2" spans="1:22" ht="15.75">
      <c r="A2" s="1728" t="s">
        <v>1458</v>
      </c>
      <c r="B2" s="811">
        <f ca="1">SUMIF(B6:B13,"&lt;&gt;#ref!",B6:B13)</f>
        <v>387.48719999999997</v>
      </c>
      <c r="C2" s="1729" t="s">
        <v>1647</v>
      </c>
      <c r="D2" s="1730" t="s">
        <v>1648</v>
      </c>
      <c r="E2" s="2393">
        <f>SUM(E6:E13)</f>
        <v>491.32</v>
      </c>
      <c r="F2" s="2479"/>
      <c r="G2" s="459"/>
      <c r="H2" s="459"/>
      <c r="I2" s="459"/>
      <c r="J2" s="459"/>
      <c r="K2" s="459"/>
      <c r="L2" s="459"/>
      <c r="M2" s="459"/>
      <c r="N2" s="459"/>
      <c r="O2" s="459"/>
      <c r="P2" s="459"/>
      <c r="Q2" s="459"/>
      <c r="R2" s="459"/>
      <c r="S2" s="459"/>
    </row>
    <row r="3" spans="1:22" ht="15.75">
      <c r="A3" s="1728" t="s">
        <v>682</v>
      </c>
      <c r="B3" s="2387">
        <f ca="1">ROUND(B2*10000/E2,0)</f>
        <v>7887</v>
      </c>
      <c r="C3" s="1729" t="s">
        <v>1655</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1649</v>
      </c>
      <c r="B5" s="3446" t="s">
        <v>1650</v>
      </c>
      <c r="C5" s="3447"/>
      <c r="D5" s="2480"/>
      <c r="E5" s="1731" t="s">
        <v>1651</v>
      </c>
      <c r="F5" s="129" t="s">
        <v>1652</v>
      </c>
      <c r="G5" s="459"/>
      <c r="H5" s="459"/>
      <c r="I5" s="459"/>
      <c r="J5" s="459"/>
      <c r="K5" s="459"/>
      <c r="L5" s="459"/>
      <c r="M5" s="459"/>
      <c r="N5" s="459"/>
      <c r="O5" s="459"/>
      <c r="P5" s="459"/>
      <c r="Q5" s="459"/>
      <c r="R5" s="459"/>
      <c r="S5" s="459"/>
    </row>
    <row r="6" spans="1:22">
      <c r="A6" s="2390" t="str">
        <f>'数据-取费表'!AN6</f>
        <v>收益法 (元)</v>
      </c>
      <c r="B6" s="2388">
        <f ca="1">IF(F6="是",'数据-取费表'!AO6,0)</f>
        <v>387.48719999999997</v>
      </c>
      <c r="C6" s="1729" t="s">
        <v>1647</v>
      </c>
      <c r="D6" s="2479"/>
      <c r="E6" s="2392">
        <f>IF(OR(A6=0,F6="否"),0,'数据-取费表'!K6+'数据-取费表'!S6)</f>
        <v>491.32</v>
      </c>
      <c r="F6" s="1732" t="s">
        <v>1653</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1647</v>
      </c>
      <c r="D7" s="2479"/>
      <c r="E7" s="2392">
        <f>IF(OR(A7=0,F7="否"),0,'数据-取费表'!K7+'数据-取费表'!S7)</f>
        <v>0</v>
      </c>
      <c r="F7" s="1732" t="s">
        <v>1653</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1647</v>
      </c>
      <c r="D8" s="2479"/>
      <c r="E8" s="2392">
        <f>IF(OR(A8=0,F8="否"),0,'数据-取费表'!K8+'数据-取费表'!S8)</f>
        <v>0</v>
      </c>
      <c r="F8" s="1732" t="s">
        <v>1653</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1647</v>
      </c>
      <c r="D9" s="2479"/>
      <c r="E9" s="2392">
        <f>IF(OR(A9=0,F9="否"),0,'数据-取费表'!K9+'数据-取费表'!S9)</f>
        <v>0</v>
      </c>
      <c r="F9" s="1732" t="s">
        <v>1653</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1647</v>
      </c>
      <c r="D10" s="2479"/>
      <c r="E10" s="2392">
        <f>IF(OR(A10=0,F10="否"),0,'数据-取费表'!K10+'数据-取费表'!S10)</f>
        <v>0</v>
      </c>
      <c r="F10" s="1732" t="s">
        <v>1653</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1647</v>
      </c>
      <c r="D11" s="2479"/>
      <c r="E11" s="2392">
        <f>IF(OR(A11=0,F11="否"),0,'数据-取费表'!K11+'数据-取费表'!S11)</f>
        <v>0</v>
      </c>
      <c r="F11" s="1732" t="s">
        <v>1653</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1647</v>
      </c>
      <c r="D12" s="2479"/>
      <c r="E12" s="2392">
        <f>IF(OR(A12=0,F12="否"),0,'数据-取费表'!K12+'数据-取费表'!S12)</f>
        <v>0</v>
      </c>
      <c r="F12" s="1732" t="s">
        <v>1653</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1647</v>
      </c>
      <c r="D13" s="2481"/>
      <c r="E13" s="2392">
        <f>IF(OR(A13=0,F13="否"),0,'数据-取费表'!K13+'数据-取费表'!S13)</f>
        <v>0</v>
      </c>
      <c r="F13" s="1732"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1657</v>
      </c>
      <c r="C1" s="1155" t="s">
        <v>1658</v>
      </c>
      <c r="D1" s="1142"/>
      <c r="E1" s="3124"/>
      <c r="F1" s="1735"/>
      <c r="G1" s="1152" t="s">
        <v>1659</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681</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1660</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682</v>
      </c>
      <c r="B3" s="343">
        <f>IF(C2="——",C49,ROUND(B2*10000/D3,0))</f>
        <v>0</v>
      </c>
      <c r="C3" s="344" t="s">
        <v>1661</v>
      </c>
      <c r="D3" s="343">
        <f>IF(D1="",'数据-汇总表'!E3,SUMIF('数据-汇总表'!$C19:$C33,D1,'数据-汇总表'!$E19:$E33))</f>
        <v>491.32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1662</v>
      </c>
      <c r="B4" s="346"/>
      <c r="C4" s="3378" t="s">
        <v>1663</v>
      </c>
      <c r="D4" s="3379"/>
      <c r="E4" s="3380" t="s">
        <v>1664</v>
      </c>
      <c r="F4" s="3381"/>
      <c r="G4" s="3378" t="s">
        <v>1665</v>
      </c>
      <c r="H4" s="3379"/>
      <c r="I4" s="3378" t="s">
        <v>1666</v>
      </c>
      <c r="J4" s="3379"/>
      <c r="K4" s="1744" t="s">
        <v>1667</v>
      </c>
      <c r="L4" s="2486"/>
      <c r="M4" s="2487"/>
      <c r="N4" s="2487"/>
      <c r="O4" s="2487"/>
      <c r="P4" s="3382" t="s">
        <v>1668</v>
      </c>
      <c r="Q4" s="3383"/>
      <c r="R4" s="3388" t="s">
        <v>1664</v>
      </c>
      <c r="S4" s="3389"/>
      <c r="T4" s="3388" t="s">
        <v>1665</v>
      </c>
      <c r="U4" s="3389"/>
      <c r="V4" s="3366" t="s">
        <v>1666</v>
      </c>
      <c r="W4" s="3366"/>
      <c r="X4" s="1265"/>
      <c r="Y4" s="3388" t="s">
        <v>1668</v>
      </c>
      <c r="Z4" s="3389"/>
      <c r="AA4" s="3375" t="s">
        <v>1664</v>
      </c>
      <c r="AB4" s="3375" t="s">
        <v>1665</v>
      </c>
      <c r="AC4" s="3375" t="s">
        <v>1666</v>
      </c>
    </row>
    <row r="5" spans="1:29" ht="15">
      <c r="A5" s="348"/>
      <c r="B5" s="349"/>
      <c r="C5" s="3454" t="s">
        <v>1669</v>
      </c>
      <c r="D5" s="3397"/>
      <c r="E5" s="3455" t="s">
        <v>1670</v>
      </c>
      <c r="F5" s="3456"/>
      <c r="G5" s="3454" t="s">
        <v>1671</v>
      </c>
      <c r="H5" s="3397"/>
      <c r="I5" s="3454" t="s">
        <v>1672</v>
      </c>
      <c r="J5" s="3397"/>
      <c r="K5" s="1745"/>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1673</v>
      </c>
      <c r="D6" s="3395"/>
      <c r="E6" s="3401" t="s">
        <v>1673</v>
      </c>
      <c r="F6" s="3402"/>
      <c r="G6" s="3394" t="s">
        <v>1673</v>
      </c>
      <c r="H6" s="3395"/>
      <c r="I6" s="3394" t="s">
        <v>1673</v>
      </c>
      <c r="J6" s="3395"/>
      <c r="K6" s="1745" t="s">
        <v>1674</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1675</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8" t="s">
        <v>1676</v>
      </c>
      <c r="Q7" s="3400"/>
      <c r="R7" s="664" t="s">
        <v>20</v>
      </c>
      <c r="S7" s="665">
        <f t="shared" ref="S7:S15" si="0">F7</f>
        <v>0</v>
      </c>
      <c r="T7" s="664" t="s">
        <v>20</v>
      </c>
      <c r="U7" s="665">
        <f t="shared" ref="U7:U15" si="1">H7</f>
        <v>0</v>
      </c>
      <c r="V7" s="664" t="s">
        <v>20</v>
      </c>
      <c r="W7" s="665">
        <f t="shared" ref="W7:W15" si="2">J7</f>
        <v>0</v>
      </c>
      <c r="X7" s="666"/>
      <c r="Y7" s="3398" t="s">
        <v>1676</v>
      </c>
      <c r="Z7" s="3399"/>
      <c r="AA7" s="50" t="e">
        <f>D7/F7</f>
        <v>#DIV/0!</v>
      </c>
      <c r="AB7" s="50" t="e">
        <f>D7/H7</f>
        <v>#DIV/0!</v>
      </c>
      <c r="AC7" s="50" t="e">
        <f>D7/J7</f>
        <v>#DIV/0!</v>
      </c>
    </row>
    <row r="8" spans="1:29" s="102" customFormat="1" ht="15.75" thickBot="1">
      <c r="A8" s="352" t="s">
        <v>1677</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8" t="s">
        <v>1679</v>
      </c>
      <c r="Q8" s="3399"/>
      <c r="R8" s="664" t="s">
        <v>20</v>
      </c>
      <c r="S8" s="665">
        <f t="shared" si="0"/>
        <v>100</v>
      </c>
      <c r="T8" s="664" t="s">
        <v>20</v>
      </c>
      <c r="U8" s="665">
        <f t="shared" si="1"/>
        <v>100</v>
      </c>
      <c r="V8" s="664" t="s">
        <v>20</v>
      </c>
      <c r="W8" s="665">
        <f t="shared" si="2"/>
        <v>100</v>
      </c>
      <c r="X8" s="666"/>
      <c r="Y8" s="3398" t="s">
        <v>1679</v>
      </c>
      <c r="Z8" s="3399"/>
      <c r="AA8" s="50">
        <f t="shared" ref="AA8:AA19" si="3">D8/F8</f>
        <v>1</v>
      </c>
      <c r="AB8" s="50">
        <f t="shared" ref="AB8:AB19" si="4">D8/H8</f>
        <v>1</v>
      </c>
      <c r="AC8" s="50">
        <f t="shared" ref="AC8:AC19" si="5">D8/J8</f>
        <v>1</v>
      </c>
    </row>
    <row r="9" spans="1:29" s="102" customFormat="1">
      <c r="A9" s="359" t="s">
        <v>1680</v>
      </c>
      <c r="B9" s="60" t="s">
        <v>1681</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53" t="s">
        <v>1682</v>
      </c>
      <c r="Q9" s="530" t="str">
        <f t="shared" ref="Q9:Q15" si="6">B9</f>
        <v>用途</v>
      </c>
      <c r="R9" s="664" t="s">
        <v>14</v>
      </c>
      <c r="S9" s="665">
        <f t="shared" si="0"/>
        <v>100</v>
      </c>
      <c r="T9" s="664" t="s">
        <v>14</v>
      </c>
      <c r="U9" s="665">
        <f t="shared" si="1"/>
        <v>100</v>
      </c>
      <c r="V9" s="664" t="s">
        <v>14</v>
      </c>
      <c r="W9" s="665">
        <f t="shared" si="2"/>
        <v>100</v>
      </c>
      <c r="X9" s="666"/>
      <c r="Y9" s="3269"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3"/>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53"/>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3"/>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3"/>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85.5">
      <c r="A15" s="379" t="s">
        <v>1686</v>
      </c>
      <c r="B15" s="58" t="s">
        <v>1253</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1" t="s">
        <v>1687</v>
      </c>
      <c r="Q15" s="1263" t="str">
        <f t="shared" si="6"/>
        <v>居住社区成熟度</v>
      </c>
      <c r="R15" s="667" t="s">
        <v>18</v>
      </c>
      <c r="S15" s="668">
        <f t="shared" si="0"/>
        <v>100</v>
      </c>
      <c r="T15" s="667" t="s">
        <v>18</v>
      </c>
      <c r="U15" s="668">
        <f t="shared" si="1"/>
        <v>100</v>
      </c>
      <c r="V15" s="667" t="s">
        <v>18</v>
      </c>
      <c r="W15" s="668">
        <f t="shared" si="2"/>
        <v>100</v>
      </c>
      <c r="X15" s="1265"/>
      <c r="Y15" s="3370" t="s">
        <v>1687</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2"/>
      <c r="Q16" s="1263"/>
      <c r="R16" s="667"/>
      <c r="S16" s="668"/>
      <c r="T16" s="667"/>
      <c r="U16" s="668"/>
      <c r="V16" s="667"/>
      <c r="W16" s="668"/>
      <c r="X16" s="1265"/>
      <c r="Y16" s="3371"/>
      <c r="Z16" s="1264"/>
      <c r="AA16" s="1264">
        <v>1</v>
      </c>
      <c r="AB16" s="1264">
        <v>1</v>
      </c>
      <c r="AC16" s="1264">
        <v>1</v>
      </c>
    </row>
    <row r="17" spans="1:29" ht="71.25">
      <c r="A17" s="367"/>
      <c r="B17" s="390" t="s">
        <v>1255</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2"/>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1254</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2"/>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1256</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2"/>
      <c r="Q22" s="1263"/>
      <c r="R22" s="667"/>
      <c r="S22" s="668"/>
      <c r="T22" s="667"/>
      <c r="U22" s="668"/>
      <c r="V22" s="667"/>
      <c r="W22" s="668"/>
      <c r="X22" s="1265"/>
      <c r="Y22" s="3371"/>
      <c r="Z22" s="1264"/>
      <c r="AA22" s="1264">
        <v>1</v>
      </c>
      <c r="AB22" s="1264">
        <v>1</v>
      </c>
      <c r="AC22" s="1264">
        <v>1</v>
      </c>
    </row>
    <row r="23" spans="1:29" ht="42.75">
      <c r="A23" s="367"/>
      <c r="B23" s="390" t="s">
        <v>1257</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2"/>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1688</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1689</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2"/>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52"/>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2"/>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2"/>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2"/>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2"/>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1690</v>
      </c>
      <c r="B32" s="60" t="s">
        <v>1691</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8" t="s">
        <v>1692</v>
      </c>
      <c r="Q32" s="1263" t="str">
        <f t="shared" si="11"/>
        <v>建筑类型</v>
      </c>
      <c r="R32" s="667" t="s">
        <v>18</v>
      </c>
      <c r="S32" s="668">
        <f t="shared" si="12"/>
        <v>100</v>
      </c>
      <c r="T32" s="667" t="s">
        <v>18</v>
      </c>
      <c r="U32" s="668">
        <f t="shared" si="13"/>
        <v>100</v>
      </c>
      <c r="V32" s="667" t="s">
        <v>18</v>
      </c>
      <c r="W32" s="668">
        <f t="shared" si="14"/>
        <v>100</v>
      </c>
      <c r="X32" s="1265"/>
      <c r="Y32" s="3373" t="s">
        <v>1692</v>
      </c>
      <c r="Z32" s="1264" t="str">
        <f t="shared" si="18"/>
        <v>建筑类型</v>
      </c>
      <c r="AA32" s="1264">
        <f t="shared" si="15"/>
        <v>1</v>
      </c>
      <c r="AB32" s="1264">
        <f t="shared" si="16"/>
        <v>1</v>
      </c>
      <c r="AC32" s="1264">
        <f t="shared" si="17"/>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49"/>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1694</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9"/>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1695</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9"/>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1696</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9"/>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1697</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49"/>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1698</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9" t="s">
        <v>1692</v>
      </c>
      <c r="Q38" s="1263" t="str">
        <f t="shared" si="11"/>
        <v>物业管理</v>
      </c>
      <c r="R38" s="667" t="s">
        <v>18</v>
      </c>
      <c r="S38" s="668">
        <f t="shared" si="12"/>
        <v>100</v>
      </c>
      <c r="T38" s="667" t="s">
        <v>18</v>
      </c>
      <c r="U38" s="668">
        <f t="shared" si="13"/>
        <v>100</v>
      </c>
      <c r="V38" s="667" t="s">
        <v>18</v>
      </c>
      <c r="W38" s="668">
        <f t="shared" si="14"/>
        <v>100</v>
      </c>
      <c r="X38" s="1265"/>
      <c r="Y38" s="3373" t="s">
        <v>1692</v>
      </c>
      <c r="Z38" s="1264" t="str">
        <f t="shared" si="18"/>
        <v>物业管理</v>
      </c>
      <c r="AA38" s="1264">
        <f t="shared" si="15"/>
        <v>1</v>
      </c>
      <c r="AB38" s="1264">
        <f t="shared" si="16"/>
        <v>1</v>
      </c>
      <c r="AC38" s="1264">
        <f t="shared" si="17"/>
        <v>1</v>
      </c>
    </row>
    <row r="39" spans="1:29" ht="15">
      <c r="A39" s="409"/>
      <c r="B39" s="364" t="s">
        <v>1699</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9"/>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1700</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9"/>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49"/>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1702</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49"/>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1703</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9"/>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49"/>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9"/>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0"/>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1704</v>
      </c>
      <c r="B47" s="417"/>
      <c r="C47" s="1081" t="s">
        <v>16</v>
      </c>
      <c r="D47" s="418"/>
      <c r="E47" s="419"/>
      <c r="F47" s="420"/>
      <c r="G47" s="421"/>
      <c r="H47" s="422"/>
      <c r="I47" s="419"/>
      <c r="J47" s="422"/>
      <c r="K47" s="1767"/>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1705</v>
      </c>
      <c r="B48" s="424"/>
      <c r="C48" s="1082" t="e">
        <f>R49</f>
        <v>#DIV/0!</v>
      </c>
      <c r="D48" s="2141" t="s">
        <v>2132</v>
      </c>
      <c r="E48" s="1083" t="e">
        <f>R48</f>
        <v>#DIV/0!</v>
      </c>
      <c r="F48" s="2142"/>
      <c r="G48" s="1082" t="e">
        <f>T48</f>
        <v>#DIV/0!</v>
      </c>
      <c r="H48" s="2142"/>
      <c r="I48" s="1083" t="e">
        <f>V48</f>
        <v>#DIV/0!</v>
      </c>
      <c r="J48" s="2142"/>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1706</v>
      </c>
      <c r="B49" s="428"/>
      <c r="C49" s="1084" t="e">
        <f>R49</f>
        <v>#DIV/0!</v>
      </c>
      <c r="D49" s="351"/>
      <c r="E49" s="351"/>
      <c r="F49" s="351"/>
      <c r="G49" s="351"/>
      <c r="H49" s="351"/>
      <c r="I49" s="351"/>
      <c r="J49" s="351"/>
      <c r="K49" s="1768"/>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1709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1710</v>
      </c>
      <c r="B57" s="385"/>
      <c r="C57" s="659"/>
      <c r="D57" s="659"/>
      <c r="E57" s="659"/>
      <c r="F57" s="660"/>
      <c r="G57" s="660"/>
      <c r="H57" s="659"/>
      <c r="I57" s="659"/>
      <c r="J57" s="659"/>
      <c r="K57" s="887"/>
      <c r="L57" s="888"/>
      <c r="M57" s="886"/>
      <c r="N57" s="886"/>
      <c r="O57" s="886"/>
      <c r="P57" s="1771"/>
      <c r="Q57" s="439"/>
    </row>
    <row r="58" spans="1:29" s="442" customFormat="1" ht="15">
      <c r="A58" s="440" t="s">
        <v>1711</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1712</v>
      </c>
      <c r="B60" s="450"/>
      <c r="C60" s="451"/>
      <c r="D60" s="452"/>
      <c r="E60" s="452"/>
      <c r="F60" s="452"/>
      <c r="G60" s="452"/>
      <c r="H60" s="452"/>
      <c r="I60" s="452"/>
      <c r="J60" s="452"/>
      <c r="K60" s="452"/>
      <c r="L60" s="452"/>
      <c r="M60" s="453"/>
      <c r="N60" s="452"/>
      <c r="O60" s="453"/>
      <c r="P60" s="1773"/>
      <c r="Q60" s="439"/>
    </row>
    <row r="61" spans="1:29" s="102" customFormat="1" ht="15">
      <c r="A61" s="455" t="s">
        <v>1713</v>
      </c>
      <c r="B61" s="444"/>
      <c r="C61" s="456" t="s">
        <v>1714</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1715</v>
      </c>
      <c r="B63" s="460" t="s">
        <v>1681</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1684</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1685</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1256</v>
      </c>
      <c r="C82" s="470" t="s">
        <v>1724</v>
      </c>
      <c r="D82" s="470" t="s">
        <v>1725</v>
      </c>
      <c r="E82" s="470" t="s">
        <v>1726</v>
      </c>
      <c r="F82" s="470" t="s">
        <v>1727</v>
      </c>
      <c r="G82" s="470" t="s">
        <v>1728</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1730</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1731</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1690</v>
      </c>
      <c r="B100" s="460" t="s">
        <v>1732</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1733</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1734</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1735</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1736</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1737</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1738</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1739</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1740</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1742</v>
      </c>
    </row>
    <row r="137" spans="1:17" ht="15">
      <c r="B137" s="1782" t="s">
        <v>1743</v>
      </c>
      <c r="C137" s="1783"/>
      <c r="D137" s="1783"/>
      <c r="E137" s="1783"/>
      <c r="F137" s="1783"/>
      <c r="G137" s="1784"/>
      <c r="H137" s="1785"/>
      <c r="I137" s="1786" t="s">
        <v>1744</v>
      </c>
      <c r="J137" s="1783"/>
      <c r="K137" s="1787"/>
    </row>
    <row r="138" spans="1:17" ht="15">
      <c r="B138" s="1788"/>
      <c r="C138" s="129" t="s">
        <v>1745</v>
      </c>
      <c r="D138" s="129" t="s">
        <v>1746</v>
      </c>
      <c r="E138" s="1789" t="s">
        <v>1747</v>
      </c>
      <c r="F138" s="1790" t="s">
        <v>1748</v>
      </c>
      <c r="G138" s="129" t="s">
        <v>1746</v>
      </c>
      <c r="H138" s="130" t="s">
        <v>1747</v>
      </c>
      <c r="I138" s="1791"/>
      <c r="J138" s="129" t="s">
        <v>1749</v>
      </c>
      <c r="K138" s="130" t="s">
        <v>1750</v>
      </c>
    </row>
    <row r="139" spans="1:17" ht="15">
      <c r="B139" s="814">
        <v>6</v>
      </c>
      <c r="C139" s="815">
        <v>96</v>
      </c>
      <c r="D139" s="1792" t="s">
        <v>1751</v>
      </c>
      <c r="E139" s="816">
        <v>100</v>
      </c>
      <c r="F139" s="817">
        <v>102.5</v>
      </c>
      <c r="G139" s="1792" t="s">
        <v>1751</v>
      </c>
      <c r="H139" s="818">
        <v>105</v>
      </c>
      <c r="I139" s="1793" t="s">
        <v>1752</v>
      </c>
      <c r="J139" s="815">
        <v>20</v>
      </c>
      <c r="K139" s="819">
        <f>C145/(J139-2)</f>
        <v>4.0555555555555553E-3</v>
      </c>
    </row>
    <row r="140" spans="1:17" ht="15">
      <c r="B140" s="820">
        <v>5</v>
      </c>
      <c r="C140" s="821">
        <v>100</v>
      </c>
      <c r="D140" s="821"/>
      <c r="E140" s="822"/>
      <c r="F140" s="823">
        <v>102</v>
      </c>
      <c r="G140" s="821"/>
      <c r="H140" s="824"/>
      <c r="I140" s="1794" t="s">
        <v>1753</v>
      </c>
      <c r="J140" s="263">
        <f>ROUNDUP((J139-1)/2,0)</f>
        <v>10</v>
      </c>
      <c r="K140" s="825">
        <v>100</v>
      </c>
    </row>
    <row r="141" spans="1:17" ht="15">
      <c r="B141" s="820">
        <v>4</v>
      </c>
      <c r="C141" s="821">
        <v>102</v>
      </c>
      <c r="D141" s="821"/>
      <c r="E141" s="822"/>
      <c r="F141" s="823">
        <v>101.5</v>
      </c>
      <c r="G141" s="821"/>
      <c r="H141" s="824"/>
      <c r="I141" s="1794" t="s">
        <v>1754</v>
      </c>
      <c r="J141" s="263">
        <v>1</v>
      </c>
      <c r="K141" s="826">
        <f>ROUND(100+(J141-J140)*K139*100,1)</f>
        <v>96.4</v>
      </c>
    </row>
    <row r="142" spans="1:17" ht="15">
      <c r="B142" s="820">
        <v>3</v>
      </c>
      <c r="C142" s="821">
        <v>103</v>
      </c>
      <c r="D142" s="821"/>
      <c r="E142" s="822"/>
      <c r="F142" s="823">
        <v>101</v>
      </c>
      <c r="G142" s="821"/>
      <c r="H142" s="824"/>
      <c r="I142" s="1794" t="s">
        <v>1755</v>
      </c>
      <c r="J142" s="263">
        <f>J139</f>
        <v>20</v>
      </c>
      <c r="K142" s="827">
        <v>95</v>
      </c>
    </row>
    <row r="143" spans="1:17" ht="15">
      <c r="B143" s="820">
        <v>2</v>
      </c>
      <c r="C143" s="821">
        <v>100</v>
      </c>
      <c r="D143" s="821"/>
      <c r="E143" s="822"/>
      <c r="F143" s="823">
        <v>100.5</v>
      </c>
      <c r="G143" s="821"/>
      <c r="H143" s="824"/>
      <c r="I143" s="1794" t="s">
        <v>1756</v>
      </c>
      <c r="J143" s="821">
        <v>15</v>
      </c>
      <c r="K143" s="826">
        <f>ROUND(100+(J143-J140)*K139*100,1)</f>
        <v>102</v>
      </c>
    </row>
    <row r="144" spans="1:17" ht="15">
      <c r="B144" s="820">
        <v>1</v>
      </c>
      <c r="C144" s="821">
        <v>98</v>
      </c>
      <c r="D144" s="1795" t="s">
        <v>1757</v>
      </c>
      <c r="E144" s="822">
        <v>102</v>
      </c>
      <c r="F144" s="828">
        <v>100</v>
      </c>
      <c r="G144" s="1795" t="s">
        <v>1757</v>
      </c>
      <c r="H144" s="824">
        <v>105</v>
      </c>
      <c r="I144" s="1794" t="s">
        <v>1756</v>
      </c>
      <c r="J144" s="821">
        <v>18</v>
      </c>
      <c r="K144" s="826">
        <f>ROUND(100+(J144-J140)*K139*100,1)</f>
        <v>103.2</v>
      </c>
    </row>
    <row r="145" spans="2:11" ht="15.75" thickBot="1">
      <c r="B145" s="1796" t="s">
        <v>1758</v>
      </c>
      <c r="C145" s="829">
        <f>ROUND(MAX(C139:C144)/MIN(C139:C144)-1,3)</f>
        <v>7.2999999999999995E-2</v>
      </c>
      <c r="D145" s="830"/>
      <c r="E145" s="830"/>
      <c r="F145" s="1797" t="s">
        <v>1759</v>
      </c>
      <c r="G145" s="1798"/>
      <c r="H145" s="1799"/>
      <c r="I145" s="1800" t="s">
        <v>1756</v>
      </c>
      <c r="J145" s="831">
        <v>8</v>
      </c>
      <c r="K145" s="832">
        <f>ROUND(100+(J145-J140)*K139*100,1)</f>
        <v>99.2</v>
      </c>
    </row>
    <row r="147" spans="2:11">
      <c r="B147" s="1781" t="s">
        <v>1760</v>
      </c>
    </row>
    <row r="148" spans="2:11">
      <c r="B148" s="1781"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1762</v>
      </c>
      <c r="C1" s="1155" t="s">
        <v>1658</v>
      </c>
      <c r="D1" s="1142"/>
      <c r="E1" s="3124"/>
      <c r="F1" s="1735"/>
      <c r="G1" s="1152" t="s">
        <v>1763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1458</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1460</v>
      </c>
      <c r="B3" s="536">
        <f>IF(C2="——",C49,ROUND(B2*10000/D3,0))</f>
        <v>0</v>
      </c>
      <c r="C3" s="344" t="s">
        <v>1764</v>
      </c>
      <c r="D3" s="343">
        <f>IF(D1="",'数据-汇总表'!E3,SUMIF('数据-汇总表'!$C19:$C33,D1,'数据-汇总表'!$E19:$E33))</f>
        <v>491.32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1765</v>
      </c>
      <c r="B4" s="346"/>
      <c r="C4" s="3378" t="s">
        <v>1766</v>
      </c>
      <c r="D4" s="3379"/>
      <c r="E4" s="3380" t="s">
        <v>1767</v>
      </c>
      <c r="F4" s="3381"/>
      <c r="G4" s="3378" t="s">
        <v>1768</v>
      </c>
      <c r="H4" s="3379"/>
      <c r="I4" s="3378" t="s">
        <v>1769</v>
      </c>
      <c r="J4" s="3379"/>
      <c r="K4" s="537" t="s">
        <v>1770</v>
      </c>
      <c r="L4" s="2486"/>
      <c r="M4" s="2487"/>
      <c r="N4" s="2487"/>
      <c r="O4" s="2487"/>
      <c r="P4" s="3382" t="s">
        <v>1771</v>
      </c>
      <c r="Q4" s="3383"/>
      <c r="R4" s="3388" t="s">
        <v>1767</v>
      </c>
      <c r="S4" s="3389"/>
      <c r="T4" s="3388" t="s">
        <v>1768</v>
      </c>
      <c r="U4" s="3389"/>
      <c r="V4" s="3366" t="s">
        <v>1769</v>
      </c>
      <c r="W4" s="3366"/>
      <c r="X4" s="1265"/>
      <c r="Y4" s="3388" t="s">
        <v>1771</v>
      </c>
      <c r="Z4" s="3389"/>
      <c r="AA4" s="3375" t="s">
        <v>1767</v>
      </c>
      <c r="AB4" s="3366" t="s">
        <v>1768</v>
      </c>
      <c r="AC4" s="3375" t="s">
        <v>1769</v>
      </c>
    </row>
    <row r="5" spans="1:29" ht="15">
      <c r="A5" s="348"/>
      <c r="B5" s="349"/>
      <c r="C5" s="3454" t="s">
        <v>1669</v>
      </c>
      <c r="D5" s="3397"/>
      <c r="E5" s="3455" t="s">
        <v>1670</v>
      </c>
      <c r="F5" s="3456"/>
      <c r="G5" s="3454" t="s">
        <v>1671</v>
      </c>
      <c r="H5" s="3397"/>
      <c r="I5" s="3454" t="s">
        <v>1672</v>
      </c>
      <c r="J5" s="3397"/>
      <c r="K5" s="537"/>
      <c r="L5" s="2486"/>
      <c r="M5" s="2487"/>
      <c r="N5" s="2487"/>
      <c r="O5" s="2487"/>
      <c r="P5" s="3384"/>
      <c r="Q5" s="3385"/>
      <c r="R5" s="3390"/>
      <c r="S5" s="3391"/>
      <c r="T5" s="3390"/>
      <c r="U5" s="3391"/>
      <c r="V5" s="3366"/>
      <c r="W5" s="3366"/>
      <c r="X5" s="1265"/>
      <c r="Y5" s="3390"/>
      <c r="Z5" s="3391"/>
      <c r="AA5" s="3376"/>
      <c r="AB5" s="3366"/>
      <c r="AC5" s="3376"/>
    </row>
    <row r="6" spans="1:29" ht="15.75" thickBot="1">
      <c r="A6" s="350"/>
      <c r="B6" s="351"/>
      <c r="C6" s="3394" t="s">
        <v>1673</v>
      </c>
      <c r="D6" s="3395"/>
      <c r="E6" s="3401" t="s">
        <v>1673</v>
      </c>
      <c r="F6" s="3402"/>
      <c r="G6" s="3394" t="s">
        <v>1673</v>
      </c>
      <c r="H6" s="3395"/>
      <c r="I6" s="3394" t="s">
        <v>1673</v>
      </c>
      <c r="J6" s="3395"/>
      <c r="K6" s="537" t="s">
        <v>1674</v>
      </c>
      <c r="L6" s="2486"/>
      <c r="M6" s="2487"/>
      <c r="N6" s="2487"/>
      <c r="O6" s="2487"/>
      <c r="P6" s="3386"/>
      <c r="Q6" s="3387"/>
      <c r="R6" s="3390"/>
      <c r="S6" s="3391"/>
      <c r="T6" s="3392"/>
      <c r="U6" s="3393"/>
      <c r="V6" s="3366"/>
      <c r="W6" s="3366"/>
      <c r="X6" s="1265"/>
      <c r="Y6" s="3392"/>
      <c r="Z6" s="3393"/>
      <c r="AA6" s="3377"/>
      <c r="AB6" s="3366"/>
      <c r="AC6" s="3377"/>
    </row>
    <row r="7" spans="1:29" s="102" customFormat="1" ht="15.75" thickBot="1">
      <c r="A7" s="352" t="s">
        <v>1675</v>
      </c>
      <c r="B7" s="353"/>
      <c r="C7" s="354">
        <f>'数据-取费表'!B2</f>
        <v>45786</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8" t="s">
        <v>1676</v>
      </c>
      <c r="Q7" s="3400"/>
      <c r="R7" s="664" t="s">
        <v>14</v>
      </c>
      <c r="S7" s="665">
        <f t="shared" ref="S7:S15" si="0">F7</f>
        <v>0</v>
      </c>
      <c r="T7" s="664" t="s">
        <v>14</v>
      </c>
      <c r="U7" s="665">
        <f t="shared" ref="U7:U15" si="1">H7</f>
        <v>0</v>
      </c>
      <c r="V7" s="664" t="s">
        <v>14</v>
      </c>
      <c r="W7" s="665">
        <f t="shared" ref="W7:W15" si="2">J7</f>
        <v>0</v>
      </c>
      <c r="X7" s="666"/>
      <c r="Y7" s="3398" t="s">
        <v>1676</v>
      </c>
      <c r="Z7" s="3399"/>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8" t="s">
        <v>1679</v>
      </c>
      <c r="Q8" s="3399"/>
      <c r="R8" s="664" t="s">
        <v>14</v>
      </c>
      <c r="S8" s="665">
        <f t="shared" si="0"/>
        <v>100</v>
      </c>
      <c r="T8" s="664" t="s">
        <v>14</v>
      </c>
      <c r="U8" s="665">
        <f t="shared" si="1"/>
        <v>100</v>
      </c>
      <c r="V8" s="664" t="s">
        <v>14</v>
      </c>
      <c r="W8" s="665">
        <f t="shared" si="2"/>
        <v>100</v>
      </c>
      <c r="X8" s="666"/>
      <c r="Y8" s="3398" t="s">
        <v>1679</v>
      </c>
      <c r="Z8" s="3399"/>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53" t="s">
        <v>1682</v>
      </c>
      <c r="Q9" s="530" t="str">
        <f t="shared" ref="Q9:Q15" si="6">B9</f>
        <v>用途</v>
      </c>
      <c r="R9" s="664" t="s">
        <v>14</v>
      </c>
      <c r="S9" s="665">
        <f t="shared" si="0"/>
        <v>100</v>
      </c>
      <c r="T9" s="664" t="s">
        <v>14</v>
      </c>
      <c r="U9" s="665">
        <f t="shared" si="1"/>
        <v>100</v>
      </c>
      <c r="V9" s="664" t="s">
        <v>14</v>
      </c>
      <c r="W9" s="665">
        <f t="shared" si="2"/>
        <v>100</v>
      </c>
      <c r="X9" s="666"/>
      <c r="Y9" s="3269"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1.25">
      <c r="A15" s="379" t="s">
        <v>1686</v>
      </c>
      <c r="B15" s="58" t="s">
        <v>1773</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1" t="s">
        <v>1687</v>
      </c>
      <c r="Q15" s="1263" t="str">
        <f t="shared" si="6"/>
        <v>商业繁华度</v>
      </c>
      <c r="R15" s="667" t="s">
        <v>14</v>
      </c>
      <c r="S15" s="668">
        <f t="shared" si="0"/>
        <v>100</v>
      </c>
      <c r="T15" s="667" t="s">
        <v>14</v>
      </c>
      <c r="U15" s="668">
        <f t="shared" si="1"/>
        <v>100</v>
      </c>
      <c r="V15" s="667" t="s">
        <v>14</v>
      </c>
      <c r="W15" s="668">
        <f t="shared" si="2"/>
        <v>100</v>
      </c>
      <c r="X15" s="1265"/>
      <c r="Y15" s="3370" t="s">
        <v>1687</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264">
        <v>1</v>
      </c>
    </row>
    <row r="17" spans="1:29" ht="85.5">
      <c r="A17" s="367"/>
      <c r="B17" s="390" t="s">
        <v>1255</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1774</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1775</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2"/>
      <c r="Q22" s="1263"/>
      <c r="R22" s="667"/>
      <c r="S22" s="668"/>
      <c r="T22" s="667"/>
      <c r="U22" s="668"/>
      <c r="V22" s="667"/>
      <c r="W22" s="668"/>
      <c r="X22" s="1265"/>
      <c r="Y22" s="3371"/>
      <c r="Z22" s="1264"/>
      <c r="AA22" s="1264">
        <v>1</v>
      </c>
      <c r="AB22" s="1264">
        <v>1</v>
      </c>
      <c r="AC22" s="1264">
        <v>1</v>
      </c>
    </row>
    <row r="23" spans="1:29" ht="57">
      <c r="A23" s="367"/>
      <c r="B23" s="390" t="s">
        <v>1257</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2"/>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2"/>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2"/>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1778</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52"/>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52"/>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1690</v>
      </c>
      <c r="B32" s="60" t="s">
        <v>1780</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8" t="s">
        <v>1692</v>
      </c>
      <c r="Q32" s="1263" t="str">
        <f t="shared" si="11"/>
        <v>商业类型</v>
      </c>
      <c r="R32" s="667" t="s">
        <v>14</v>
      </c>
      <c r="S32" s="668">
        <f t="shared" si="12"/>
        <v>100</v>
      </c>
      <c r="T32" s="667" t="s">
        <v>14</v>
      </c>
      <c r="U32" s="668">
        <f t="shared" si="13"/>
        <v>100</v>
      </c>
      <c r="V32" s="667" t="s">
        <v>14</v>
      </c>
      <c r="W32" s="668">
        <f t="shared" si="14"/>
        <v>100</v>
      </c>
      <c r="X32" s="1265"/>
      <c r="Y32" s="3373" t="s">
        <v>1692</v>
      </c>
      <c r="Z32" s="1264" t="str">
        <f t="shared" si="15"/>
        <v>商业类型</v>
      </c>
      <c r="AA32" s="1264">
        <f t="shared" si="3"/>
        <v>1</v>
      </c>
      <c r="AB32" s="1264">
        <f t="shared" si="4"/>
        <v>1</v>
      </c>
      <c r="AC32" s="1264">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9"/>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9"/>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1781</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9"/>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9"/>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1783</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49"/>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1784</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9" t="s">
        <v>1692</v>
      </c>
      <c r="Q38" s="1263" t="str">
        <f t="shared" si="11"/>
        <v>业态</v>
      </c>
      <c r="R38" s="667" t="s">
        <v>14</v>
      </c>
      <c r="S38" s="668">
        <f t="shared" si="12"/>
        <v>100</v>
      </c>
      <c r="T38" s="667" t="s">
        <v>14</v>
      </c>
      <c r="U38" s="668">
        <f t="shared" si="13"/>
        <v>100</v>
      </c>
      <c r="V38" s="667" t="s">
        <v>14</v>
      </c>
      <c r="W38" s="668">
        <f t="shared" si="14"/>
        <v>100</v>
      </c>
      <c r="X38" s="1265"/>
      <c r="Y38" s="3373" t="s">
        <v>1692</v>
      </c>
      <c r="Z38" s="1264" t="str">
        <f t="shared" si="15"/>
        <v>业态</v>
      </c>
      <c r="AA38" s="1264">
        <f t="shared" si="3"/>
        <v>1</v>
      </c>
      <c r="AB38" s="1264">
        <f t="shared" si="4"/>
        <v>1</v>
      </c>
      <c r="AC38" s="1264">
        <f t="shared" si="5"/>
        <v>1</v>
      </c>
    </row>
    <row r="39" spans="1:29" ht="15">
      <c r="A39" s="409"/>
      <c r="B39" s="364" t="s">
        <v>1785</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9"/>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9"/>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9"/>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1788</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9"/>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15">
      <c r="A43" s="409"/>
      <c r="B43" s="364" t="s">
        <v>1703</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9"/>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49"/>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9"/>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0"/>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1704</v>
      </c>
      <c r="B47" s="417"/>
      <c r="C47" s="1081" t="s">
        <v>0</v>
      </c>
      <c r="D47" s="418"/>
      <c r="E47" s="419"/>
      <c r="F47" s="420"/>
      <c r="G47" s="421"/>
      <c r="H47" s="422"/>
      <c r="I47" s="419"/>
      <c r="J47" s="422"/>
      <c r="K47" s="674"/>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1789</v>
      </c>
      <c r="B48" s="424"/>
      <c r="C48" s="1082" t="e">
        <f>R49</f>
        <v>#DIV/0!</v>
      </c>
      <c r="D48" s="2141" t="s">
        <v>2132</v>
      </c>
      <c r="E48" s="1083" t="e">
        <f>R48</f>
        <v>#DIV/0!</v>
      </c>
      <c r="F48" s="2142"/>
      <c r="G48" s="1082" t="e">
        <f>T48</f>
        <v>#DIV/0!</v>
      </c>
      <c r="H48" s="2142"/>
      <c r="I48" s="1083" t="e">
        <f>V48</f>
        <v>#DIV/0!</v>
      </c>
      <c r="J48" s="2142"/>
      <c r="K48" s="2144">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1675</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1712</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1677</v>
      </c>
      <c r="B61" s="444"/>
      <c r="C61" s="456" t="s">
        <v>1772</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1715</v>
      </c>
      <c r="B63" s="460" t="s">
        <v>1681</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1684</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1686</v>
      </c>
      <c r="B76" s="460" t="s">
        <v>1716</v>
      </c>
      <c r="C76" s="504" t="s">
        <v>1717</v>
      </c>
      <c r="D76" s="504" t="s">
        <v>1718</v>
      </c>
      <c r="E76" s="504" t="s">
        <v>1719</v>
      </c>
      <c r="F76" s="504" t="s">
        <v>1720</v>
      </c>
      <c r="G76" s="504" t="s">
        <v>1721</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1722</v>
      </c>
      <c r="C78" s="509" t="s">
        <v>1717</v>
      </c>
      <c r="D78" s="509" t="s">
        <v>1718</v>
      </c>
      <c r="E78" s="509" t="s">
        <v>1719</v>
      </c>
      <c r="F78" s="509" t="s">
        <v>1720</v>
      </c>
      <c r="G78" s="509" t="s">
        <v>1721</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1723</v>
      </c>
      <c r="C80" s="509" t="s">
        <v>1717</v>
      </c>
      <c r="D80" s="509" t="s">
        <v>1718</v>
      </c>
      <c r="E80" s="509" t="s">
        <v>1719</v>
      </c>
      <c r="F80" s="509" t="s">
        <v>1720</v>
      </c>
      <c r="G80" s="509" t="s">
        <v>1721</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1775</v>
      </c>
      <c r="C82" s="581" t="s">
        <v>1795</v>
      </c>
      <c r="D82" s="581" t="s">
        <v>1796</v>
      </c>
      <c r="E82" s="581" t="s">
        <v>1797</v>
      </c>
      <c r="F82" s="581" t="s">
        <v>1798</v>
      </c>
      <c r="G82" s="581" t="s">
        <v>1799</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1729</v>
      </c>
      <c r="C84" s="509" t="s">
        <v>1717</v>
      </c>
      <c r="D84" s="509" t="s">
        <v>1718</v>
      </c>
      <c r="E84" s="509" t="s">
        <v>1719</v>
      </c>
      <c r="F84" s="509" t="s">
        <v>1720</v>
      </c>
      <c r="G84" s="509" t="s">
        <v>1721</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1800</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1690</v>
      </c>
      <c r="B100" s="460" t="s">
        <v>1801</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1734</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1736</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1738</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1802</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1803</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1804</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1805</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1740</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1806</v>
      </c>
      <c r="C1" s="1141" t="s">
        <v>1658</v>
      </c>
      <c r="D1" s="1142"/>
      <c r="E1" s="3131"/>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491.32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1765</v>
      </c>
      <c r="B4" s="346"/>
      <c r="C4" s="3378" t="s">
        <v>1766</v>
      </c>
      <c r="D4" s="3379"/>
      <c r="E4" s="3380" t="s">
        <v>1767</v>
      </c>
      <c r="F4" s="3381"/>
      <c r="G4" s="3378" t="s">
        <v>1768</v>
      </c>
      <c r="H4" s="3379"/>
      <c r="I4" s="3378" t="s">
        <v>1769</v>
      </c>
      <c r="J4" s="3379"/>
      <c r="K4" s="537" t="s">
        <v>1770</v>
      </c>
      <c r="L4" s="2486"/>
      <c r="M4" s="2487"/>
      <c r="N4" s="2487"/>
      <c r="O4" s="2487"/>
      <c r="P4" s="3463" t="s">
        <v>1771</v>
      </c>
      <c r="Q4" s="3464"/>
      <c r="R4" s="3467" t="s">
        <v>1767</v>
      </c>
      <c r="S4" s="3468"/>
      <c r="T4" s="3467" t="s">
        <v>1768</v>
      </c>
      <c r="U4" s="3468"/>
      <c r="V4" s="3469" t="s">
        <v>1769</v>
      </c>
      <c r="W4" s="3469"/>
      <c r="X4" s="1809"/>
      <c r="Y4" s="3467" t="s">
        <v>1771</v>
      </c>
      <c r="Z4" s="3468"/>
      <c r="AA4" s="3471" t="s">
        <v>1767</v>
      </c>
      <c r="AB4" s="3471" t="s">
        <v>1768</v>
      </c>
      <c r="AC4" s="3460" t="s">
        <v>1769</v>
      </c>
    </row>
    <row r="5" spans="1:29" ht="15">
      <c r="A5" s="348"/>
      <c r="B5" s="349"/>
      <c r="C5" s="3454" t="s">
        <v>1669</v>
      </c>
      <c r="D5" s="3397"/>
      <c r="E5" s="3455" t="s">
        <v>1670</v>
      </c>
      <c r="F5" s="3456"/>
      <c r="G5" s="3454" t="s">
        <v>1671</v>
      </c>
      <c r="H5" s="3397"/>
      <c r="I5" s="3454" t="s">
        <v>1672</v>
      </c>
      <c r="J5" s="3397"/>
      <c r="K5" s="537"/>
      <c r="L5" s="2486"/>
      <c r="M5" s="2487"/>
      <c r="N5" s="2487"/>
      <c r="O5" s="2487"/>
      <c r="P5" s="3465"/>
      <c r="Q5" s="3385"/>
      <c r="R5" s="3390"/>
      <c r="S5" s="3391"/>
      <c r="T5" s="3390"/>
      <c r="U5" s="3391"/>
      <c r="V5" s="3366"/>
      <c r="W5" s="3366"/>
      <c r="X5" s="1265"/>
      <c r="Y5" s="3390"/>
      <c r="Z5" s="3391"/>
      <c r="AA5" s="3376"/>
      <c r="AB5" s="3376"/>
      <c r="AC5" s="3461"/>
    </row>
    <row r="6" spans="1:29" ht="15.75" thickBot="1">
      <c r="A6" s="350"/>
      <c r="B6" s="351"/>
      <c r="C6" s="3394" t="s">
        <v>1673</v>
      </c>
      <c r="D6" s="3395"/>
      <c r="E6" s="3401" t="s">
        <v>1673</v>
      </c>
      <c r="F6" s="3402"/>
      <c r="G6" s="3394" t="s">
        <v>1673</v>
      </c>
      <c r="H6" s="3395"/>
      <c r="I6" s="3394" t="s">
        <v>1673</v>
      </c>
      <c r="J6" s="3395"/>
      <c r="K6" s="537" t="s">
        <v>1674</v>
      </c>
      <c r="L6" s="2486"/>
      <c r="M6" s="2487"/>
      <c r="N6" s="2487"/>
      <c r="O6" s="2487"/>
      <c r="P6" s="3466"/>
      <c r="Q6" s="3387"/>
      <c r="R6" s="3390"/>
      <c r="S6" s="3391"/>
      <c r="T6" s="3392"/>
      <c r="U6" s="3393"/>
      <c r="V6" s="3366"/>
      <c r="W6" s="3366"/>
      <c r="X6" s="1265"/>
      <c r="Y6" s="3392"/>
      <c r="Z6" s="3393"/>
      <c r="AA6" s="3377"/>
      <c r="AB6" s="3377"/>
      <c r="AC6" s="3462"/>
    </row>
    <row r="7" spans="1:29" s="102" customFormat="1" ht="15.75" thickBot="1">
      <c r="A7" s="352" t="s">
        <v>1675</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70" t="s">
        <v>1676</v>
      </c>
      <c r="Q7" s="3400"/>
      <c r="R7" s="664" t="s">
        <v>14</v>
      </c>
      <c r="S7" s="665">
        <f t="shared" ref="S7:S15" si="0">F7</f>
        <v>0</v>
      </c>
      <c r="T7" s="664" t="s">
        <v>14</v>
      </c>
      <c r="U7" s="665">
        <f t="shared" ref="U7:U15" si="1">H7</f>
        <v>0</v>
      </c>
      <c r="V7" s="664" t="s">
        <v>14</v>
      </c>
      <c r="W7" s="665">
        <f t="shared" ref="W7:W15" si="2">J7</f>
        <v>0</v>
      </c>
      <c r="X7" s="666"/>
      <c r="Y7" s="3398" t="s">
        <v>1676</v>
      </c>
      <c r="Z7" s="3399"/>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70" t="s">
        <v>1679</v>
      </c>
      <c r="Q8" s="3399"/>
      <c r="R8" s="664" t="s">
        <v>14</v>
      </c>
      <c r="S8" s="665">
        <f t="shared" si="0"/>
        <v>100</v>
      </c>
      <c r="T8" s="664" t="s">
        <v>14</v>
      </c>
      <c r="U8" s="665">
        <f t="shared" si="1"/>
        <v>100</v>
      </c>
      <c r="V8" s="664" t="s">
        <v>14</v>
      </c>
      <c r="W8" s="665">
        <f t="shared" si="2"/>
        <v>100</v>
      </c>
      <c r="X8" s="666"/>
      <c r="Y8" s="3398" t="s">
        <v>1679</v>
      </c>
      <c r="Z8" s="3399"/>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53" t="s">
        <v>1682</v>
      </c>
      <c r="Q9" s="530" t="str">
        <f t="shared" ref="Q9:Q15" si="6">B9</f>
        <v>用途</v>
      </c>
      <c r="R9" s="664" t="s">
        <v>14</v>
      </c>
      <c r="S9" s="665">
        <f t="shared" si="0"/>
        <v>100</v>
      </c>
      <c r="T9" s="664" t="s">
        <v>14</v>
      </c>
      <c r="U9" s="665">
        <f t="shared" si="1"/>
        <v>100</v>
      </c>
      <c r="V9" s="664" t="s">
        <v>14</v>
      </c>
      <c r="W9" s="665">
        <f t="shared" si="2"/>
        <v>100</v>
      </c>
      <c r="X9" s="666"/>
      <c r="Y9" s="3269" t="s">
        <v>1683</v>
      </c>
      <c r="Z9" s="50" t="str">
        <f t="shared" ref="Z9:Z15" si="7">Q9</f>
        <v>用途</v>
      </c>
      <c r="AA9" s="50">
        <f t="shared" si="3"/>
        <v>1</v>
      </c>
      <c r="AB9" s="50">
        <f t="shared" si="4"/>
        <v>1</v>
      </c>
      <c r="AC9" s="802">
        <f t="shared" si="5"/>
        <v>1</v>
      </c>
    </row>
    <row r="10" spans="1:29" s="366" customFormat="1" ht="27">
      <c r="A10" s="363"/>
      <c r="B10" s="364" t="s">
        <v>1684</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71.25">
      <c r="A15" s="379" t="s">
        <v>1686</v>
      </c>
      <c r="B15" s="554" t="s">
        <v>1807</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1" t="s">
        <v>1687</v>
      </c>
      <c r="Q15" s="1263" t="str">
        <f t="shared" si="6"/>
        <v>办公集聚程度</v>
      </c>
      <c r="R15" s="667" t="s">
        <v>14</v>
      </c>
      <c r="S15" s="668">
        <f t="shared" si="0"/>
        <v>100</v>
      </c>
      <c r="T15" s="667" t="s">
        <v>14</v>
      </c>
      <c r="U15" s="668">
        <f t="shared" si="1"/>
        <v>100</v>
      </c>
      <c r="V15" s="667" t="s">
        <v>14</v>
      </c>
      <c r="W15" s="668">
        <f t="shared" si="2"/>
        <v>100</v>
      </c>
      <c r="X15" s="1265"/>
      <c r="Y15" s="3370" t="s">
        <v>1687</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812">
        <v>1</v>
      </c>
    </row>
    <row r="17" spans="1:29" ht="71.25">
      <c r="A17" s="367"/>
      <c r="B17" s="556" t="s">
        <v>1255</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812">
        <v>1</v>
      </c>
    </row>
    <row r="19" spans="1:29" ht="42.75">
      <c r="A19" s="367"/>
      <c r="B19" s="556" t="s">
        <v>1808</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812">
        <v>1</v>
      </c>
    </row>
    <row r="21" spans="1:29" ht="28.5">
      <c r="A21" s="367"/>
      <c r="B21" s="557" t="s">
        <v>1809</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2"/>
      <c r="Q22" s="1263"/>
      <c r="R22" s="667"/>
      <c r="S22" s="668"/>
      <c r="T22" s="667"/>
      <c r="U22" s="668"/>
      <c r="V22" s="667"/>
      <c r="W22" s="668"/>
      <c r="X22" s="1265"/>
      <c r="Y22" s="3371"/>
      <c r="Z22" s="1264"/>
      <c r="AA22" s="1264">
        <v>1</v>
      </c>
      <c r="AB22" s="1264">
        <v>1</v>
      </c>
      <c r="AC22" s="1812">
        <v>1</v>
      </c>
    </row>
    <row r="23" spans="1:29" ht="42.75">
      <c r="A23" s="367"/>
      <c r="B23" s="556" t="s">
        <v>1810</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2"/>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812">
        <v>1</v>
      </c>
    </row>
    <row r="25" spans="1:29" ht="27">
      <c r="A25" s="348"/>
      <c r="B25" s="556" t="s">
        <v>1811</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2"/>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2"/>
      <c r="Q26" s="1263"/>
      <c r="R26" s="667"/>
      <c r="S26" s="668"/>
      <c r="T26" s="667"/>
      <c r="U26" s="668"/>
      <c r="V26" s="667"/>
      <c r="W26" s="668"/>
      <c r="X26" s="1265"/>
      <c r="Y26" s="3371"/>
      <c r="Z26" s="1264"/>
      <c r="AA26" s="1264">
        <v>1</v>
      </c>
      <c r="AB26" s="1264">
        <v>1</v>
      </c>
      <c r="AC26" s="1812">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2"/>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1812</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52"/>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2"/>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2"/>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1690</v>
      </c>
      <c r="B33" s="60" t="s">
        <v>1813</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8" t="s">
        <v>1692</v>
      </c>
      <c r="Q33" s="1263" t="str">
        <f t="shared" si="11"/>
        <v>建筑类型</v>
      </c>
      <c r="R33" s="667" t="s">
        <v>14</v>
      </c>
      <c r="S33" s="668">
        <f t="shared" si="12"/>
        <v>100</v>
      </c>
      <c r="T33" s="667" t="s">
        <v>14</v>
      </c>
      <c r="U33" s="668">
        <f t="shared" si="13"/>
        <v>100</v>
      </c>
      <c r="V33" s="667" t="s">
        <v>14</v>
      </c>
      <c r="W33" s="668">
        <f t="shared" si="14"/>
        <v>100</v>
      </c>
      <c r="X33" s="1265"/>
      <c r="Y33" s="3373" t="s">
        <v>1692</v>
      </c>
      <c r="Z33" s="1264" t="str">
        <f t="shared" si="15"/>
        <v>建筑类型</v>
      </c>
      <c r="AA33" s="1264">
        <f t="shared" si="3"/>
        <v>1</v>
      </c>
      <c r="AB33" s="1264">
        <f t="shared" si="4"/>
        <v>1</v>
      </c>
      <c r="AC33" s="1812">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9"/>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9"/>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9"/>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9"/>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49"/>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9" t="s">
        <v>1692</v>
      </c>
      <c r="Q39" s="1263" t="str">
        <f t="shared" si="11"/>
        <v>物业管理</v>
      </c>
      <c r="R39" s="667" t="s">
        <v>14</v>
      </c>
      <c r="S39" s="668">
        <f t="shared" si="12"/>
        <v>100</v>
      </c>
      <c r="T39" s="667" t="s">
        <v>14</v>
      </c>
      <c r="U39" s="668">
        <f t="shared" si="13"/>
        <v>100</v>
      </c>
      <c r="V39" s="667" t="s">
        <v>14</v>
      </c>
      <c r="W39" s="668">
        <f t="shared" si="14"/>
        <v>100</v>
      </c>
      <c r="X39" s="1265"/>
      <c r="Y39" s="3373" t="s">
        <v>1692</v>
      </c>
      <c r="Z39" s="1264" t="str">
        <f t="shared" si="15"/>
        <v>物业管理</v>
      </c>
      <c r="AA39" s="1264">
        <f t="shared" si="3"/>
        <v>1</v>
      </c>
      <c r="AB39" s="1264">
        <f t="shared" si="4"/>
        <v>1</v>
      </c>
      <c r="AC39" s="1812">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9"/>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9"/>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9"/>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9"/>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15">
      <c r="A44" s="409"/>
      <c r="B44" s="364" t="s">
        <v>1703</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9"/>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49"/>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9"/>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0"/>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1704</v>
      </c>
      <c r="B48" s="417"/>
      <c r="C48" s="1081" t="s">
        <v>0</v>
      </c>
      <c r="D48" s="418"/>
      <c r="E48" s="419"/>
      <c r="F48" s="420"/>
      <c r="G48" s="421"/>
      <c r="H48" s="422"/>
      <c r="I48" s="419"/>
      <c r="J48" s="422"/>
      <c r="K48" s="674"/>
      <c r="L48" s="2494"/>
      <c r="M48" s="2487"/>
      <c r="N48" s="2487"/>
      <c r="O48" s="2487"/>
      <c r="P48" s="3453" t="str">
        <f>A48</f>
        <v>成交单价（元/平方米）</v>
      </c>
      <c r="Q48" s="3365"/>
      <c r="R48" s="3366">
        <f>E48</f>
        <v>0</v>
      </c>
      <c r="S48" s="3366"/>
      <c r="T48" s="3366">
        <f>G48</f>
        <v>0</v>
      </c>
      <c r="U48" s="3366"/>
      <c r="V48" s="3366">
        <f>I48</f>
        <v>0</v>
      </c>
      <c r="W48" s="3366"/>
      <c r="X48" s="385"/>
      <c r="Y48" s="673"/>
      <c r="Z48" s="385"/>
      <c r="AA48" s="385"/>
      <c r="AB48" s="385"/>
      <c r="AC48" s="555"/>
    </row>
    <row r="49" spans="1:29" ht="15.75" thickBot="1">
      <c r="A49" s="423" t="s">
        <v>1789</v>
      </c>
      <c r="B49" s="424"/>
      <c r="C49" s="1082" t="e">
        <f>R50</f>
        <v>#DIV/0!</v>
      </c>
      <c r="D49" s="2141" t="s">
        <v>2132</v>
      </c>
      <c r="E49" s="1083" t="e">
        <f>R49</f>
        <v>#DIV/0!</v>
      </c>
      <c r="F49" s="2142"/>
      <c r="G49" s="1082" t="e">
        <f>T49</f>
        <v>#DIV/0!</v>
      </c>
      <c r="H49" s="2142"/>
      <c r="I49" s="1083" t="e">
        <f>V49</f>
        <v>#DIV/0!</v>
      </c>
      <c r="J49" s="2142"/>
      <c r="K49" s="2144">
        <f>F49+H49+J49</f>
        <v>0</v>
      </c>
      <c r="L49" s="2494"/>
      <c r="M49" s="2487"/>
      <c r="N49" s="2487"/>
      <c r="O49" s="2487"/>
      <c r="P49" s="3453"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4"/>
      <c r="M50" s="2487"/>
      <c r="N50" s="2487"/>
      <c r="O50" s="2487"/>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1675</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1712</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1677</v>
      </c>
      <c r="B62" s="444"/>
      <c r="C62" s="456" t="s">
        <v>1772</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1715</v>
      </c>
      <c r="B64" s="460" t="s">
        <v>1681</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1684</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1686</v>
      </c>
      <c r="B77" s="460" t="s">
        <v>1817</v>
      </c>
      <c r="C77" s="504" t="s">
        <v>1717</v>
      </c>
      <c r="D77" s="504" t="s">
        <v>1718</v>
      </c>
      <c r="E77" s="504" t="s">
        <v>1719</v>
      </c>
      <c r="F77" s="504" t="s">
        <v>1720</v>
      </c>
      <c r="G77" s="504" t="s">
        <v>1721</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1722</v>
      </c>
      <c r="C79" s="509" t="s">
        <v>1717</v>
      </c>
      <c r="D79" s="509" t="s">
        <v>1718</v>
      </c>
      <c r="E79" s="509" t="s">
        <v>1719</v>
      </c>
      <c r="F79" s="509" t="s">
        <v>1720</v>
      </c>
      <c r="G79" s="509" t="s">
        <v>1721</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1723</v>
      </c>
      <c r="C81" s="509" t="s">
        <v>1717</v>
      </c>
      <c r="D81" s="509" t="s">
        <v>1718</v>
      </c>
      <c r="E81" s="509" t="s">
        <v>1719</v>
      </c>
      <c r="F81" s="509" t="s">
        <v>1720</v>
      </c>
      <c r="G81" s="509" t="s">
        <v>1721</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1809</v>
      </c>
      <c r="C83" s="581" t="s">
        <v>1795</v>
      </c>
      <c r="D83" s="581" t="s">
        <v>1796</v>
      </c>
      <c r="E83" s="581" t="s">
        <v>1797</v>
      </c>
      <c r="F83" s="581" t="s">
        <v>1798</v>
      </c>
      <c r="G83" s="581" t="s">
        <v>1799</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1818</v>
      </c>
      <c r="C85" s="509" t="s">
        <v>1717</v>
      </c>
      <c r="D85" s="509" t="s">
        <v>1718</v>
      </c>
      <c r="E85" s="509" t="s">
        <v>1719</v>
      </c>
      <c r="F85" s="509" t="s">
        <v>1720</v>
      </c>
      <c r="G85" s="509" t="s">
        <v>1721</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1819</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1690</v>
      </c>
      <c r="B101" s="460" t="s">
        <v>1732</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1734</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1736</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1820</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1737</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1738</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1821</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1804</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1740</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3327</v>
      </c>
      <c r="C1" s="1141" t="s">
        <v>1658</v>
      </c>
      <c r="D1" s="1142"/>
      <c r="E1" s="3131"/>
      <c r="F1" s="1735"/>
      <c r="G1" s="1144" t="s">
        <v>1763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1765</v>
      </c>
      <c r="B4" s="346"/>
      <c r="C4" s="3378" t="s">
        <v>1766</v>
      </c>
      <c r="D4" s="3379"/>
      <c r="E4" s="3380" t="s">
        <v>1767</v>
      </c>
      <c r="F4" s="3381"/>
      <c r="G4" s="3378" t="s">
        <v>1768</v>
      </c>
      <c r="H4" s="3379"/>
      <c r="I4" s="3378" t="s">
        <v>1769</v>
      </c>
      <c r="J4" s="3379"/>
      <c r="K4" s="537" t="s">
        <v>1770</v>
      </c>
      <c r="L4" s="2486"/>
      <c r="M4" s="2487"/>
      <c r="N4" s="2487"/>
      <c r="O4" s="2487"/>
      <c r="P4" s="3382" t="s">
        <v>1771</v>
      </c>
      <c r="Q4" s="3383"/>
      <c r="R4" s="3388" t="s">
        <v>1767</v>
      </c>
      <c r="S4" s="3389"/>
      <c r="T4" s="3388" t="s">
        <v>1768</v>
      </c>
      <c r="U4" s="3389"/>
      <c r="V4" s="3366" t="s">
        <v>1769</v>
      </c>
      <c r="W4" s="3366"/>
      <c r="X4" s="1265"/>
      <c r="Y4" s="3388" t="s">
        <v>1771</v>
      </c>
      <c r="Z4" s="3389"/>
      <c r="AA4" s="3375" t="s">
        <v>1767</v>
      </c>
      <c r="AB4" s="3376" t="s">
        <v>1768</v>
      </c>
      <c r="AC4" s="3375" t="s">
        <v>1769</v>
      </c>
    </row>
    <row r="5" spans="1:29" ht="15">
      <c r="A5" s="348"/>
      <c r="B5" s="349"/>
      <c r="C5" s="3454" t="s">
        <v>1669</v>
      </c>
      <c r="D5" s="3397"/>
      <c r="E5" s="3455" t="s">
        <v>1670</v>
      </c>
      <c r="F5" s="3456"/>
      <c r="G5" s="3454" t="s">
        <v>1671</v>
      </c>
      <c r="H5" s="3397"/>
      <c r="I5" s="3454" t="s">
        <v>1672</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1673</v>
      </c>
      <c r="D6" s="3395"/>
      <c r="E6" s="3401" t="s">
        <v>1673</v>
      </c>
      <c r="F6" s="3402"/>
      <c r="G6" s="3394" t="s">
        <v>1673</v>
      </c>
      <c r="H6" s="3395"/>
      <c r="I6" s="3394" t="s">
        <v>1673</v>
      </c>
      <c r="J6" s="3395"/>
      <c r="K6" s="537" t="s">
        <v>1674</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1675</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8" t="s">
        <v>1676</v>
      </c>
      <c r="Q7" s="3400"/>
      <c r="R7" s="664" t="s">
        <v>14</v>
      </c>
      <c r="S7" s="665">
        <f t="shared" ref="S7:S14" si="0">F7</f>
        <v>0</v>
      </c>
      <c r="T7" s="664" t="s">
        <v>14</v>
      </c>
      <c r="U7" s="665">
        <f t="shared" ref="U7:U14" si="1">H7</f>
        <v>0</v>
      </c>
      <c r="V7" s="664" t="s">
        <v>14</v>
      </c>
      <c r="W7" s="665">
        <f t="shared" ref="W7:W14" si="2">J7</f>
        <v>0</v>
      </c>
      <c r="X7" s="666"/>
      <c r="Y7" s="3398" t="s">
        <v>1676</v>
      </c>
      <c r="Z7" s="3399"/>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8" t="s">
        <v>1679</v>
      </c>
      <c r="Q8" s="3399"/>
      <c r="R8" s="664" t="s">
        <v>14</v>
      </c>
      <c r="S8" s="665">
        <f t="shared" si="0"/>
        <v>100</v>
      </c>
      <c r="T8" s="664" t="s">
        <v>14</v>
      </c>
      <c r="U8" s="665">
        <f t="shared" si="1"/>
        <v>100</v>
      </c>
      <c r="V8" s="664" t="s">
        <v>14</v>
      </c>
      <c r="W8" s="665">
        <f t="shared" si="2"/>
        <v>100</v>
      </c>
      <c r="X8" s="666"/>
      <c r="Y8" s="3398" t="s">
        <v>1679</v>
      </c>
      <c r="Z8" s="3399"/>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5" t="s">
        <v>1682</v>
      </c>
      <c r="Q9" s="530" t="str">
        <f t="shared" ref="Q9:Q14" si="6">B9</f>
        <v>用途</v>
      </c>
      <c r="R9" s="664" t="s">
        <v>14</v>
      </c>
      <c r="S9" s="665">
        <f t="shared" si="0"/>
        <v>100</v>
      </c>
      <c r="T9" s="664" t="s">
        <v>14</v>
      </c>
      <c r="U9" s="665">
        <f t="shared" si="1"/>
        <v>100</v>
      </c>
      <c r="V9" s="664" t="s">
        <v>14</v>
      </c>
      <c r="W9" s="665">
        <f t="shared" si="2"/>
        <v>100</v>
      </c>
      <c r="X9" s="666"/>
      <c r="Y9" s="3269" t="s">
        <v>1683</v>
      </c>
      <c r="Z9" s="50" t="str">
        <f t="shared" ref="Z9:Z14" si="7">Q9</f>
        <v>用途</v>
      </c>
      <c r="AA9" s="50">
        <f t="shared" si="3"/>
        <v>1</v>
      </c>
      <c r="AB9" s="50">
        <f t="shared" si="4"/>
        <v>1</v>
      </c>
      <c r="AC9" s="50">
        <f t="shared" si="5"/>
        <v>1</v>
      </c>
    </row>
    <row r="10" spans="1:29" s="366" customFormat="1" ht="27">
      <c r="A10" s="565"/>
      <c r="B10" s="566" t="s">
        <v>1684</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45" t="s">
        <v>1686</v>
      </c>
      <c r="B14" s="554" t="s">
        <v>1829</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0" t="s">
        <v>1687</v>
      </c>
      <c r="Q14" s="1263" t="str">
        <f t="shared" si="6"/>
        <v>交通便捷度</v>
      </c>
      <c r="R14" s="667" t="s">
        <v>14</v>
      </c>
      <c r="S14" s="668">
        <f t="shared" si="0"/>
        <v>100</v>
      </c>
      <c r="T14" s="667" t="s">
        <v>14</v>
      </c>
      <c r="U14" s="668">
        <f t="shared" si="1"/>
        <v>100</v>
      </c>
      <c r="V14" s="667" t="s">
        <v>14</v>
      </c>
      <c r="W14" s="668">
        <f t="shared" si="2"/>
        <v>100</v>
      </c>
      <c r="X14" s="1265"/>
      <c r="Y14" s="3370" t="s">
        <v>1687</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1"/>
      <c r="Q15" s="1263"/>
      <c r="R15" s="667"/>
      <c r="S15" s="668"/>
      <c r="T15" s="667"/>
      <c r="U15" s="668"/>
      <c r="V15" s="667"/>
      <c r="W15" s="668"/>
      <c r="X15" s="1265"/>
      <c r="Y15" s="3371"/>
      <c r="Z15" s="1264"/>
      <c r="AA15" s="1264">
        <v>1</v>
      </c>
      <c r="AB15" s="1264">
        <v>1</v>
      </c>
      <c r="AC15" s="1264">
        <v>1</v>
      </c>
    </row>
    <row r="16" spans="1:29" ht="42.75">
      <c r="A16" s="348"/>
      <c r="B16" s="556" t="s">
        <v>1808</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1"/>
      <c r="Q17" s="1263"/>
      <c r="R17" s="667"/>
      <c r="S17" s="668"/>
      <c r="T17" s="667"/>
      <c r="U17" s="668"/>
      <c r="V17" s="667"/>
      <c r="W17" s="668"/>
      <c r="X17" s="1265"/>
      <c r="Y17" s="3371"/>
      <c r="Z17" s="1264"/>
      <c r="AA17" s="1264">
        <v>1</v>
      </c>
      <c r="AB17" s="1264">
        <v>1</v>
      </c>
      <c r="AC17" s="1264">
        <v>1</v>
      </c>
    </row>
    <row r="18" spans="1:29" ht="28.5">
      <c r="A18" s="348"/>
      <c r="B18" s="557" t="s">
        <v>1809</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1"/>
      <c r="Q19" s="1263"/>
      <c r="R19" s="667"/>
      <c r="S19" s="668"/>
      <c r="T19" s="667"/>
      <c r="U19" s="668"/>
      <c r="V19" s="667"/>
      <c r="W19" s="668"/>
      <c r="X19" s="1265"/>
      <c r="Y19" s="3371"/>
      <c r="Z19" s="1264"/>
      <c r="AA19" s="1264">
        <v>1</v>
      </c>
      <c r="AB19" s="1264">
        <v>1</v>
      </c>
      <c r="AC19" s="1264">
        <v>1</v>
      </c>
    </row>
    <row r="20" spans="1:29" ht="57">
      <c r="A20" s="348"/>
      <c r="B20" s="556" t="s">
        <v>1830</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1"/>
      <c r="Q21" s="1263"/>
      <c r="R21" s="667"/>
      <c r="S21" s="668"/>
      <c r="T21" s="667"/>
      <c r="U21" s="668"/>
      <c r="V21" s="667"/>
      <c r="W21" s="668"/>
      <c r="X21" s="1265"/>
      <c r="Y21" s="3371"/>
      <c r="Z21" s="1264"/>
      <c r="AA21" s="1264">
        <v>1</v>
      </c>
      <c r="AB21" s="1264">
        <v>1</v>
      </c>
      <c r="AC21" s="1264">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1690</v>
      </c>
      <c r="B26" s="59" t="s">
        <v>1832</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72" t="s">
        <v>1692</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1692</v>
      </c>
      <c r="Z26" s="1264" t="str">
        <f t="shared" ref="Z26:Z36" si="15">Q26</f>
        <v>配套类型</v>
      </c>
      <c r="AA26" s="1264" t="e">
        <f t="shared" si="3"/>
        <v>#DIV/0!</v>
      </c>
      <c r="AB26" s="1264" t="e">
        <f t="shared" si="4"/>
        <v>#DIV/0!</v>
      </c>
      <c r="AC26" s="1264"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3" t="s">
        <v>1692</v>
      </c>
      <c r="Q32" s="1263" t="str">
        <f t="shared" si="11"/>
        <v>车位类型</v>
      </c>
      <c r="R32" s="667" t="s">
        <v>14</v>
      </c>
      <c r="S32" s="668">
        <f t="shared" si="12"/>
        <v>100</v>
      </c>
      <c r="T32" s="667" t="s">
        <v>14</v>
      </c>
      <c r="U32" s="668">
        <f t="shared" si="13"/>
        <v>100</v>
      </c>
      <c r="V32" s="667" t="s">
        <v>14</v>
      </c>
      <c r="W32" s="668">
        <f t="shared" si="14"/>
        <v>100</v>
      </c>
      <c r="X32" s="1265"/>
      <c r="Y32" s="3373" t="s">
        <v>1692</v>
      </c>
      <c r="Z32" s="1264" t="str">
        <f t="shared" si="15"/>
        <v>车位类型</v>
      </c>
      <c r="AA32" s="1264">
        <f t="shared" si="3"/>
        <v>1</v>
      </c>
      <c r="AB32" s="1264">
        <f t="shared" si="4"/>
        <v>1</v>
      </c>
      <c r="AC32" s="1264">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1840</v>
      </c>
      <c r="B37" s="1821" t="s">
        <v>3348</v>
      </c>
      <c r="C37" s="1081" t="s">
        <v>0</v>
      </c>
      <c r="D37" s="418"/>
      <c r="E37" s="419"/>
      <c r="F37" s="420"/>
      <c r="G37" s="421"/>
      <c r="H37" s="422"/>
      <c r="I37" s="419"/>
      <c r="J37" s="422"/>
      <c r="K37" s="545"/>
      <c r="L37" s="2494"/>
      <c r="M37" s="2487"/>
      <c r="N37" s="2487"/>
      <c r="O37" s="2487"/>
      <c r="P37" s="3365" t="str">
        <f>A37</f>
        <v>成交单价</v>
      </c>
      <c r="Q37" s="3365"/>
      <c r="R37" s="3366">
        <f>E37</f>
        <v>0</v>
      </c>
      <c r="S37" s="3366"/>
      <c r="T37" s="3366">
        <f>G37</f>
        <v>0</v>
      </c>
      <c r="U37" s="3366"/>
      <c r="V37" s="3366">
        <f>I37</f>
        <v>0</v>
      </c>
      <c r="W37" s="3366"/>
      <c r="X37" s="385"/>
      <c r="Y37" s="673"/>
      <c r="Z37" s="385"/>
      <c r="AA37" s="385"/>
      <c r="AB37" s="385"/>
      <c r="AC37" s="385"/>
    </row>
    <row r="38" spans="1:29" ht="15.75" thickBot="1">
      <c r="A38" s="423" t="s">
        <v>1841</v>
      </c>
      <c r="B38" s="424" t="str">
        <f>B37</f>
        <v>元/平方米</v>
      </c>
      <c r="C38" s="1082" t="e">
        <f>R39</f>
        <v>#DIV/0!</v>
      </c>
      <c r="D38" s="2141" t="s">
        <v>2132</v>
      </c>
      <c r="E38" s="1083" t="e">
        <f>R38</f>
        <v>#DIV/0!</v>
      </c>
      <c r="F38" s="2142"/>
      <c r="G38" s="1082" t="e">
        <f>T38</f>
        <v>#DIV/0!</v>
      </c>
      <c r="H38" s="2142"/>
      <c r="I38" s="1083" t="e">
        <f>V38</f>
        <v>#DIV/0!</v>
      </c>
      <c r="J38" s="2142"/>
      <c r="K38" s="2144">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4"/>
      <c r="M39" s="2487"/>
      <c r="N39" s="2487"/>
      <c r="O39" s="2487"/>
      <c r="P39" s="3367" t="str">
        <f>A39</f>
        <v>估价对象XX用房的比较价值（楼面单价，元/平方米）</v>
      </c>
      <c r="Q39" s="3368"/>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1846</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1847</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1712</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1677</v>
      </c>
      <c r="B51" s="444"/>
      <c r="C51" s="456" t="s">
        <v>1772</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1715</v>
      </c>
      <c r="B53" s="460" t="s">
        <v>1681</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1684</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1723</v>
      </c>
      <c r="C65" s="509" t="s">
        <v>1717</v>
      </c>
      <c r="D65" s="509" t="s">
        <v>1718</v>
      </c>
      <c r="E65" s="509" t="s">
        <v>1719</v>
      </c>
      <c r="F65" s="509" t="s">
        <v>1720</v>
      </c>
      <c r="G65" s="509" t="s">
        <v>1721</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1809</v>
      </c>
      <c r="C67" s="581" t="s">
        <v>1795</v>
      </c>
      <c r="D67" s="581" t="s">
        <v>1796</v>
      </c>
      <c r="E67" s="581" t="s">
        <v>1797</v>
      </c>
      <c r="F67" s="581" t="s">
        <v>1798</v>
      </c>
      <c r="G67" s="581" t="s">
        <v>1799</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1729</v>
      </c>
      <c r="C69" s="509" t="s">
        <v>1717</v>
      </c>
      <c r="D69" s="509" t="s">
        <v>1718</v>
      </c>
      <c r="E69" s="509" t="s">
        <v>1719</v>
      </c>
      <c r="F69" s="509" t="s">
        <v>1720</v>
      </c>
      <c r="G69" s="509" t="s">
        <v>1721</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1848</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1690</v>
      </c>
      <c r="B79" s="460" t="s">
        <v>1849</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1850</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1736</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1852</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1854</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1855</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3328</v>
      </c>
      <c r="C1" s="1141" t="s">
        <v>1658</v>
      </c>
      <c r="D1" s="1142"/>
      <c r="E1" s="3131"/>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IF(C2="——",C37,ROUND(B2*10000/D3,0))</f>
        <v>#DIV/0!</v>
      </c>
      <c r="C3" s="344" t="s">
        <v>1764</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78" t="s">
        <v>1766</v>
      </c>
      <c r="D4" s="3379"/>
      <c r="E4" s="3380" t="s">
        <v>1767</v>
      </c>
      <c r="F4" s="3381"/>
      <c r="G4" s="3378" t="s">
        <v>1768</v>
      </c>
      <c r="H4" s="3379"/>
      <c r="I4" s="3378" t="s">
        <v>1769</v>
      </c>
      <c r="J4" s="3379"/>
      <c r="K4" s="537" t="s">
        <v>1770</v>
      </c>
      <c r="L4" s="2486"/>
      <c r="M4" s="2487"/>
      <c r="N4" s="2487"/>
      <c r="O4" s="2487"/>
      <c r="P4" s="3382" t="s">
        <v>1771</v>
      </c>
      <c r="Q4" s="3383"/>
      <c r="R4" s="3388" t="s">
        <v>1767</v>
      </c>
      <c r="S4" s="3389"/>
      <c r="T4" s="3388" t="s">
        <v>1768</v>
      </c>
      <c r="U4" s="3389"/>
      <c r="V4" s="3366" t="s">
        <v>1769</v>
      </c>
      <c r="W4" s="3366"/>
      <c r="X4" s="1265"/>
      <c r="Y4" s="3388" t="s">
        <v>1771</v>
      </c>
      <c r="Z4" s="3389"/>
      <c r="AA4" s="3375" t="s">
        <v>1767</v>
      </c>
      <c r="AB4" s="3376" t="s">
        <v>1768</v>
      </c>
      <c r="AC4" s="3375" t="s">
        <v>1769</v>
      </c>
    </row>
    <row r="5" spans="1:29" ht="15">
      <c r="A5" s="348"/>
      <c r="B5" s="349"/>
      <c r="C5" s="3454" t="s">
        <v>1669</v>
      </c>
      <c r="D5" s="3397"/>
      <c r="E5" s="3455" t="s">
        <v>1670</v>
      </c>
      <c r="F5" s="3456"/>
      <c r="G5" s="3454" t="s">
        <v>1671</v>
      </c>
      <c r="H5" s="3397"/>
      <c r="I5" s="3454" t="s">
        <v>1672</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1673</v>
      </c>
      <c r="D6" s="3395"/>
      <c r="E6" s="3401" t="s">
        <v>1673</v>
      </c>
      <c r="F6" s="3402"/>
      <c r="G6" s="3394" t="s">
        <v>1673</v>
      </c>
      <c r="H6" s="3395"/>
      <c r="I6" s="3394" t="s">
        <v>1673</v>
      </c>
      <c r="J6" s="3395"/>
      <c r="K6" s="537" t="s">
        <v>1674</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1675</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8" t="s">
        <v>1676</v>
      </c>
      <c r="Q7" s="3400"/>
      <c r="R7" s="664" t="s">
        <v>14</v>
      </c>
      <c r="S7" s="665">
        <f t="shared" ref="S7:S14" si="0">F7</f>
        <v>0</v>
      </c>
      <c r="T7" s="664" t="s">
        <v>14</v>
      </c>
      <c r="U7" s="665">
        <f t="shared" ref="U7:U14" si="1">H7</f>
        <v>0</v>
      </c>
      <c r="V7" s="664" t="s">
        <v>14</v>
      </c>
      <c r="W7" s="665">
        <f t="shared" ref="W7:W14" si="2">J7</f>
        <v>0</v>
      </c>
      <c r="X7" s="666"/>
      <c r="Y7" s="3398" t="s">
        <v>1676</v>
      </c>
      <c r="Z7" s="3399"/>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8" t="s">
        <v>1679</v>
      </c>
      <c r="Q8" s="3399"/>
      <c r="R8" s="664" t="s">
        <v>14</v>
      </c>
      <c r="S8" s="665">
        <f t="shared" si="0"/>
        <v>100</v>
      </c>
      <c r="T8" s="664" t="s">
        <v>14</v>
      </c>
      <c r="U8" s="665">
        <f t="shared" si="1"/>
        <v>100</v>
      </c>
      <c r="V8" s="664" t="s">
        <v>14</v>
      </c>
      <c r="W8" s="665">
        <f t="shared" si="2"/>
        <v>100</v>
      </c>
      <c r="X8" s="666"/>
      <c r="Y8" s="3398" t="s">
        <v>1679</v>
      </c>
      <c r="Z8" s="3399"/>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5" t="s">
        <v>1682</v>
      </c>
      <c r="Q9" s="530" t="str">
        <f t="shared" ref="Q9:Q14" si="6">B9</f>
        <v>用途</v>
      </c>
      <c r="R9" s="664" t="s">
        <v>14</v>
      </c>
      <c r="S9" s="665">
        <f t="shared" si="0"/>
        <v>100</v>
      </c>
      <c r="T9" s="664" t="s">
        <v>14</v>
      </c>
      <c r="U9" s="665">
        <f t="shared" si="1"/>
        <v>100</v>
      </c>
      <c r="V9" s="664" t="s">
        <v>14</v>
      </c>
      <c r="W9" s="665">
        <f t="shared" si="2"/>
        <v>100</v>
      </c>
      <c r="X9" s="666"/>
      <c r="Y9" s="3269" t="s">
        <v>1683</v>
      </c>
      <c r="Z9" s="50" t="str">
        <f t="shared" ref="Z9:Z14" si="7">Q9</f>
        <v>用途</v>
      </c>
      <c r="AA9" s="50">
        <f t="shared" si="3"/>
        <v>1</v>
      </c>
      <c r="AB9" s="50">
        <f t="shared" si="4"/>
        <v>1</v>
      </c>
      <c r="AC9" s="50">
        <f t="shared" si="5"/>
        <v>1</v>
      </c>
    </row>
    <row r="10" spans="1:29" s="366" customFormat="1" ht="27">
      <c r="A10" s="363"/>
      <c r="B10" s="364" t="s">
        <v>1684</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79" t="s">
        <v>1686</v>
      </c>
      <c r="B14" s="58" t="s">
        <v>1829</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0" t="s">
        <v>1687</v>
      </c>
      <c r="Q14" s="1263" t="str">
        <f t="shared" si="6"/>
        <v>交通便捷度</v>
      </c>
      <c r="R14" s="667" t="s">
        <v>14</v>
      </c>
      <c r="S14" s="668">
        <f t="shared" si="0"/>
        <v>100</v>
      </c>
      <c r="T14" s="667" t="s">
        <v>14</v>
      </c>
      <c r="U14" s="668">
        <f t="shared" si="1"/>
        <v>100</v>
      </c>
      <c r="V14" s="667" t="s">
        <v>14</v>
      </c>
      <c r="W14" s="668">
        <f t="shared" si="2"/>
        <v>100</v>
      </c>
      <c r="X14" s="1265"/>
      <c r="Y14" s="3370" t="s">
        <v>1687</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1"/>
      <c r="Q15" s="1263"/>
      <c r="R15" s="667"/>
      <c r="S15" s="668"/>
      <c r="T15" s="667"/>
      <c r="U15" s="668"/>
      <c r="V15" s="667"/>
      <c r="W15" s="668"/>
      <c r="X15" s="1265"/>
      <c r="Y15" s="3371"/>
      <c r="Z15" s="1264"/>
      <c r="AA15" s="1264">
        <v>1</v>
      </c>
      <c r="AB15" s="1264">
        <v>1</v>
      </c>
      <c r="AC15" s="1264">
        <v>1</v>
      </c>
    </row>
    <row r="16" spans="1:29" ht="42.75">
      <c r="A16" s="367"/>
      <c r="B16" s="390" t="s">
        <v>1808</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1"/>
      <c r="Q17" s="1263"/>
      <c r="R17" s="667"/>
      <c r="S17" s="668"/>
      <c r="T17" s="667"/>
      <c r="U17" s="668"/>
      <c r="V17" s="667"/>
      <c r="W17" s="668"/>
      <c r="X17" s="1265"/>
      <c r="Y17" s="3371"/>
      <c r="Z17" s="1264"/>
      <c r="AA17" s="1264">
        <v>1</v>
      </c>
      <c r="AB17" s="1264">
        <v>1</v>
      </c>
      <c r="AC17" s="1264">
        <v>1</v>
      </c>
    </row>
    <row r="18" spans="1:29" ht="28.5">
      <c r="A18" s="367"/>
      <c r="B18" s="586" t="s">
        <v>1809</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1"/>
      <c r="Q19" s="1263"/>
      <c r="R19" s="667"/>
      <c r="S19" s="668"/>
      <c r="T19" s="667"/>
      <c r="U19" s="668"/>
      <c r="V19" s="667"/>
      <c r="W19" s="668"/>
      <c r="X19" s="1265"/>
      <c r="Y19" s="3371"/>
      <c r="Z19" s="1264"/>
      <c r="AA19" s="1264">
        <v>1</v>
      </c>
      <c r="AB19" s="1264">
        <v>1</v>
      </c>
      <c r="AC19" s="1264">
        <v>1</v>
      </c>
    </row>
    <row r="20" spans="1:29" ht="57">
      <c r="A20" s="367"/>
      <c r="B20" s="390" t="s">
        <v>1830</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1"/>
      <c r="Q21" s="1263"/>
      <c r="R21" s="667"/>
      <c r="S21" s="668"/>
      <c r="T21" s="667"/>
      <c r="U21" s="668"/>
      <c r="V21" s="667"/>
      <c r="W21" s="668"/>
      <c r="X21" s="1265"/>
      <c r="Y21" s="3371"/>
      <c r="Z21" s="1264"/>
      <c r="AA21" s="1264">
        <v>1</v>
      </c>
      <c r="AB21" s="1264">
        <v>1</v>
      </c>
      <c r="AC21" s="1264">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1690</v>
      </c>
      <c r="B26" s="60" t="s">
        <v>1834</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72" t="s">
        <v>1692</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1692</v>
      </c>
      <c r="Z26" s="1264" t="str">
        <f t="shared" ref="Z26:Z34" si="15">Q26</f>
        <v>公共部分装修</v>
      </c>
      <c r="AA26" s="1264">
        <f t="shared" si="3"/>
        <v>1</v>
      </c>
      <c r="AB26" s="1264">
        <f t="shared" si="4"/>
        <v>1</v>
      </c>
      <c r="AC26" s="1264">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3" t="s">
        <v>1692</v>
      </c>
      <c r="Q32" s="1263">
        <f t="shared" si="11"/>
        <v>111</v>
      </c>
      <c r="R32" s="667" t="s">
        <v>14</v>
      </c>
      <c r="S32" s="668">
        <f t="shared" si="12"/>
        <v>100</v>
      </c>
      <c r="T32" s="667" t="s">
        <v>14</v>
      </c>
      <c r="U32" s="668">
        <f t="shared" si="13"/>
        <v>100</v>
      </c>
      <c r="V32" s="667" t="s">
        <v>14</v>
      </c>
      <c r="W32" s="668">
        <f t="shared" si="14"/>
        <v>100</v>
      </c>
      <c r="X32" s="1265"/>
      <c r="Y32" s="3373" t="s">
        <v>1692</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1704</v>
      </c>
      <c r="B35" s="417"/>
      <c r="C35" s="1081" t="s">
        <v>0</v>
      </c>
      <c r="D35" s="418"/>
      <c r="E35" s="419"/>
      <c r="F35" s="420"/>
      <c r="G35" s="421"/>
      <c r="H35" s="422"/>
      <c r="I35" s="419"/>
      <c r="J35" s="422"/>
      <c r="K35" s="674"/>
      <c r="L35" s="2494"/>
      <c r="M35" s="2487"/>
      <c r="N35" s="2487"/>
      <c r="O35" s="2487"/>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75" thickBot="1">
      <c r="A36" s="423" t="s">
        <v>1789</v>
      </c>
      <c r="B36" s="424"/>
      <c r="C36" s="1082" t="e">
        <f>R37</f>
        <v>#DIV/0!</v>
      </c>
      <c r="D36" s="2141" t="s">
        <v>2132</v>
      </c>
      <c r="E36" s="1083" t="e">
        <f>R36</f>
        <v>#DIV/0!</v>
      </c>
      <c r="F36" s="2142"/>
      <c r="G36" s="1082" t="e">
        <f>T36</f>
        <v>#DIV/0!</v>
      </c>
      <c r="H36" s="2142"/>
      <c r="I36" s="1083" t="e">
        <f>V36</f>
        <v>#DIV/0!</v>
      </c>
      <c r="J36" s="2142"/>
      <c r="K36" s="2144">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1790</v>
      </c>
      <c r="B37" s="428"/>
      <c r="C37" s="351" t="e">
        <f>R37</f>
        <v>#DIV/0!</v>
      </c>
      <c r="D37" s="351"/>
      <c r="E37" s="351"/>
      <c r="F37" s="351"/>
      <c r="G37" s="351"/>
      <c r="H37" s="351"/>
      <c r="I37" s="351"/>
      <c r="J37" s="351"/>
      <c r="K37" s="675"/>
      <c r="L37" s="2494"/>
      <c r="M37" s="2487"/>
      <c r="N37" s="2487"/>
      <c r="O37" s="2487"/>
      <c r="P37" s="3367" t="str">
        <f>A37</f>
        <v>估价对象XX用房的比较价值（楼面单价，元/平方米）</v>
      </c>
      <c r="Q37" s="3368"/>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1794</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1675</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1712</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1677</v>
      </c>
      <c r="B49" s="444"/>
      <c r="C49" s="456" t="s">
        <v>1772</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1715</v>
      </c>
      <c r="B51" s="460" t="s">
        <v>1681</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1684</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1859</v>
      </c>
      <c r="C63" s="509" t="s">
        <v>1717</v>
      </c>
      <c r="D63" s="509" t="s">
        <v>1718</v>
      </c>
      <c r="E63" s="509" t="s">
        <v>1719</v>
      </c>
      <c r="F63" s="509" t="s">
        <v>1720</v>
      </c>
      <c r="G63" s="509" t="s">
        <v>1721</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1809</v>
      </c>
      <c r="C65" s="581" t="s">
        <v>1795</v>
      </c>
      <c r="D65" s="581" t="s">
        <v>1796</v>
      </c>
      <c r="E65" s="581" t="s">
        <v>1797</v>
      </c>
      <c r="F65" s="581" t="s">
        <v>1798</v>
      </c>
      <c r="G65" s="581" t="s">
        <v>1799</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1729</v>
      </c>
      <c r="C67" s="509" t="s">
        <v>1717</v>
      </c>
      <c r="D67" s="509" t="s">
        <v>1718</v>
      </c>
      <c r="E67" s="509" t="s">
        <v>1719</v>
      </c>
      <c r="F67" s="509" t="s">
        <v>1720</v>
      </c>
      <c r="G67" s="509" t="s">
        <v>1721</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1848</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1690</v>
      </c>
      <c r="B77" s="460" t="s">
        <v>1736</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1852</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1860</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1862</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78" t="s">
        <v>1766</v>
      </c>
      <c r="D4" s="3379"/>
      <c r="E4" s="3380" t="s">
        <v>1767</v>
      </c>
      <c r="F4" s="3381"/>
      <c r="G4" s="3378" t="s">
        <v>1768</v>
      </c>
      <c r="H4" s="3379"/>
      <c r="I4" s="3378" t="s">
        <v>1769</v>
      </c>
      <c r="J4" s="3379"/>
      <c r="K4" s="537" t="s">
        <v>1770</v>
      </c>
      <c r="L4" s="2486"/>
      <c r="M4" s="2487"/>
      <c r="N4" s="2487"/>
      <c r="O4" s="2487"/>
      <c r="P4" s="3382" t="s">
        <v>1771</v>
      </c>
      <c r="Q4" s="3383"/>
      <c r="R4" s="3388" t="s">
        <v>1767</v>
      </c>
      <c r="S4" s="3389"/>
      <c r="T4" s="3388" t="s">
        <v>1768</v>
      </c>
      <c r="U4" s="3389"/>
      <c r="V4" s="3366" t="s">
        <v>1769</v>
      </c>
      <c r="W4" s="3366"/>
      <c r="X4" s="1265"/>
      <c r="Y4" s="3388" t="s">
        <v>1771</v>
      </c>
      <c r="Z4" s="3389"/>
      <c r="AA4" s="3375" t="s">
        <v>1767</v>
      </c>
      <c r="AB4" s="3376" t="s">
        <v>1768</v>
      </c>
      <c r="AC4" s="3375" t="s">
        <v>1769</v>
      </c>
    </row>
    <row r="5" spans="1:29" ht="15">
      <c r="A5" s="348"/>
      <c r="B5" s="349"/>
      <c r="C5" s="3454" t="s">
        <v>1669</v>
      </c>
      <c r="D5" s="3397"/>
      <c r="E5" s="3455" t="s">
        <v>1670</v>
      </c>
      <c r="F5" s="3456"/>
      <c r="G5" s="3454" t="s">
        <v>1671</v>
      </c>
      <c r="H5" s="3397"/>
      <c r="I5" s="3454" t="s">
        <v>1672</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1673</v>
      </c>
      <c r="D6" s="3395"/>
      <c r="E6" s="3401" t="s">
        <v>1673</v>
      </c>
      <c r="F6" s="3402"/>
      <c r="G6" s="3394" t="s">
        <v>1673</v>
      </c>
      <c r="H6" s="3395"/>
      <c r="I6" s="3394" t="s">
        <v>1673</v>
      </c>
      <c r="J6" s="3395"/>
      <c r="K6" s="537" t="s">
        <v>1674</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1675</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8" t="s">
        <v>1676</v>
      </c>
      <c r="Q7" s="3400"/>
      <c r="R7" s="664" t="s">
        <v>14</v>
      </c>
      <c r="S7" s="665">
        <f t="shared" ref="S7:S15" si="0">F7</f>
        <v>0</v>
      </c>
      <c r="T7" s="664" t="s">
        <v>14</v>
      </c>
      <c r="U7" s="665">
        <f t="shared" ref="U7:U15" si="1">H7</f>
        <v>0</v>
      </c>
      <c r="V7" s="664" t="s">
        <v>14</v>
      </c>
      <c r="W7" s="665">
        <f t="shared" ref="W7:W15" si="2">J7</f>
        <v>0</v>
      </c>
      <c r="X7" s="666"/>
      <c r="Y7" s="3398" t="s">
        <v>1676</v>
      </c>
      <c r="Z7" s="3399"/>
      <c r="AA7" s="50" t="e">
        <f>D7/F7</f>
        <v>#DIV/0!</v>
      </c>
      <c r="AB7" s="50" t="e">
        <f>D7/H7</f>
        <v>#DIV/0!</v>
      </c>
      <c r="AC7" s="50" t="e">
        <f>D7/J7</f>
        <v>#DIV/0!</v>
      </c>
    </row>
    <row r="8" spans="1:29" s="102" customFormat="1" ht="15.75" thickBot="1">
      <c r="A8" s="352" t="s">
        <v>1677</v>
      </c>
      <c r="B8" s="353"/>
      <c r="C8" s="358" t="s">
        <v>1678</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8" t="s">
        <v>1679</v>
      </c>
      <c r="Q8" s="3399"/>
      <c r="R8" s="664" t="s">
        <v>14</v>
      </c>
      <c r="S8" s="665">
        <f t="shared" si="0"/>
        <v>0</v>
      </c>
      <c r="T8" s="664" t="s">
        <v>14</v>
      </c>
      <c r="U8" s="665">
        <f t="shared" si="1"/>
        <v>0</v>
      </c>
      <c r="V8" s="664" t="s">
        <v>14</v>
      </c>
      <c r="W8" s="665">
        <f t="shared" si="2"/>
        <v>0</v>
      </c>
      <c r="X8" s="666"/>
      <c r="Y8" s="3398" t="s">
        <v>1679</v>
      </c>
      <c r="Z8" s="3399"/>
      <c r="AA8" s="50" t="e">
        <f t="shared" ref="AA8:AA45" si="3">D8/F8</f>
        <v>#DIV/0!</v>
      </c>
      <c r="AB8" s="50" t="e">
        <f t="shared" ref="AB8:AB45" si="4">D8/H8</f>
        <v>#DIV/0!</v>
      </c>
      <c r="AC8" s="50" t="e">
        <f t="shared" ref="AC8:AC45" si="5">D8/J8</f>
        <v>#DIV/0!</v>
      </c>
    </row>
    <row r="9" spans="1:29" s="102" customFormat="1">
      <c r="A9" s="359" t="s">
        <v>1680</v>
      </c>
      <c r="B9" s="60" t="s">
        <v>1681</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5" t="s">
        <v>1682</v>
      </c>
      <c r="Q9" s="530" t="str">
        <f t="shared" ref="Q9:Q15" si="6">B9</f>
        <v>用途</v>
      </c>
      <c r="R9" s="664" t="s">
        <v>14</v>
      </c>
      <c r="S9" s="665">
        <f t="shared" si="0"/>
        <v>100</v>
      </c>
      <c r="T9" s="664" t="s">
        <v>14</v>
      </c>
      <c r="U9" s="665">
        <f t="shared" si="1"/>
        <v>100</v>
      </c>
      <c r="V9" s="664" t="s">
        <v>14</v>
      </c>
      <c r="W9" s="665">
        <f t="shared" si="2"/>
        <v>100</v>
      </c>
      <c r="X9" s="666"/>
      <c r="Y9" s="3269"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125</v>
      </c>
      <c r="G10" s="402"/>
      <c r="H10" s="119">
        <f>ROUND(100/'数据-取费表'!G16,0)</f>
        <v>125</v>
      </c>
      <c r="I10" s="402"/>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1685</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1866</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5"/>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9.75">
      <c r="A15" s="379" t="s">
        <v>1686</v>
      </c>
      <c r="B15" s="58" t="s">
        <v>1253</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0" t="s">
        <v>1687</v>
      </c>
      <c r="Q15" s="1263" t="str">
        <f t="shared" si="6"/>
        <v>居住社区成熟度</v>
      </c>
      <c r="R15" s="667" t="s">
        <v>14</v>
      </c>
      <c r="S15" s="668">
        <f t="shared" si="0"/>
        <v>100</v>
      </c>
      <c r="T15" s="667" t="s">
        <v>14</v>
      </c>
      <c r="U15" s="668">
        <f t="shared" si="1"/>
        <v>100</v>
      </c>
      <c r="V15" s="667" t="s">
        <v>14</v>
      </c>
      <c r="W15" s="668">
        <f t="shared" si="2"/>
        <v>100</v>
      </c>
      <c r="X15" s="1265"/>
      <c r="Y15" s="3370" t="s">
        <v>1687</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71.25">
      <c r="A17" s="367"/>
      <c r="B17" s="390" t="s">
        <v>1773</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71.25">
      <c r="A19" s="367"/>
      <c r="B19" s="390" t="s">
        <v>1807</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1"/>
      <c r="Q20" s="1263"/>
      <c r="R20" s="667"/>
      <c r="S20" s="668"/>
      <c r="T20" s="667"/>
      <c r="U20" s="668"/>
      <c r="V20" s="667"/>
      <c r="W20" s="668"/>
      <c r="X20" s="1265"/>
      <c r="Y20" s="3371"/>
      <c r="Z20" s="1264"/>
      <c r="AA20" s="1264">
        <v>1</v>
      </c>
      <c r="AB20" s="1264">
        <v>1</v>
      </c>
      <c r="AC20" s="1264">
        <v>1</v>
      </c>
    </row>
    <row r="21" spans="1:29" ht="85.5">
      <c r="A21" s="367"/>
      <c r="B21" s="390" t="s">
        <v>1829</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1"/>
      <c r="Q24" s="1263"/>
      <c r="R24" s="667"/>
      <c r="S24" s="668"/>
      <c r="T24" s="667"/>
      <c r="U24" s="668"/>
      <c r="V24" s="667"/>
      <c r="W24" s="668"/>
      <c r="X24" s="1265"/>
      <c r="Y24" s="3371"/>
      <c r="Z24" s="1264"/>
      <c r="AA24" s="1264"/>
      <c r="AB24" s="1264"/>
      <c r="AC24" s="1264"/>
    </row>
    <row r="25" spans="1:29" ht="57">
      <c r="A25" s="348"/>
      <c r="B25" s="586" t="s">
        <v>1868</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1"/>
      <c r="Q26" s="1263"/>
      <c r="R26" s="667"/>
      <c r="S26" s="668"/>
      <c r="T26" s="667"/>
      <c r="U26" s="668"/>
      <c r="V26" s="667"/>
      <c r="W26" s="668"/>
      <c r="X26" s="1265"/>
      <c r="Y26" s="3371"/>
      <c r="Z26" s="1264"/>
      <c r="AA26" s="1264">
        <v>1</v>
      </c>
      <c r="AB26" s="1264">
        <v>1</v>
      </c>
      <c r="AC26" s="1264">
        <v>1</v>
      </c>
    </row>
    <row r="27" spans="1:29" s="102" customFormat="1" ht="42.75">
      <c r="A27" s="443"/>
      <c r="B27" s="586" t="s">
        <v>1774</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1"/>
      <c r="Q28" s="530"/>
      <c r="R28" s="664"/>
      <c r="S28" s="665"/>
      <c r="T28" s="664"/>
      <c r="U28" s="665"/>
      <c r="V28" s="664"/>
      <c r="W28" s="665"/>
      <c r="X28" s="666"/>
      <c r="Y28" s="3371"/>
      <c r="Z28" s="50"/>
      <c r="AA28" s="1264">
        <v>1</v>
      </c>
      <c r="AB28" s="1264">
        <v>1</v>
      </c>
      <c r="AC28" s="1264">
        <v>1</v>
      </c>
    </row>
    <row r="29" spans="1:29" s="102" customFormat="1" ht="28.5">
      <c r="A29" s="443"/>
      <c r="B29" s="586" t="s">
        <v>1775</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1"/>
      <c r="Q30" s="530"/>
      <c r="R30" s="664"/>
      <c r="S30" s="665"/>
      <c r="T30" s="664"/>
      <c r="U30" s="665"/>
      <c r="V30" s="664"/>
      <c r="W30" s="665"/>
      <c r="X30" s="666"/>
      <c r="Y30" s="3371"/>
      <c r="Z30" s="50"/>
      <c r="AA30" s="1264">
        <v>1</v>
      </c>
      <c r="AB30" s="1264">
        <v>1</v>
      </c>
      <c r="AC30" s="1264">
        <v>1</v>
      </c>
    </row>
    <row r="31" spans="1:29" ht="15">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1"/>
      <c r="Q33" s="1263"/>
      <c r="R33" s="667"/>
      <c r="S33" s="668"/>
      <c r="T33" s="667"/>
      <c r="U33" s="668"/>
      <c r="V33" s="667"/>
      <c r="W33" s="668"/>
      <c r="X33" s="1265"/>
      <c r="Y33" s="3371"/>
      <c r="Z33" s="1264"/>
      <c r="AA33" s="1264">
        <v>1</v>
      </c>
      <c r="AB33" s="1264">
        <v>1</v>
      </c>
      <c r="AC33" s="1264">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72" t="s">
        <v>1692</v>
      </c>
      <c r="Q36" s="1263">
        <f t="shared" si="8"/>
        <v>111</v>
      </c>
      <c r="R36" s="667" t="s">
        <v>14</v>
      </c>
      <c r="S36" s="668">
        <f t="shared" si="10"/>
        <v>100</v>
      </c>
      <c r="T36" s="667" t="s">
        <v>14</v>
      </c>
      <c r="U36" s="668">
        <f t="shared" si="11"/>
        <v>100</v>
      </c>
      <c r="V36" s="667" t="s">
        <v>14</v>
      </c>
      <c r="W36" s="668">
        <f t="shared" si="12"/>
        <v>100</v>
      </c>
      <c r="X36" s="1265"/>
      <c r="Y36" s="3373" t="s">
        <v>1692</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1690</v>
      </c>
      <c r="B38" s="395" t="s">
        <v>1870</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1871</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1872</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1873</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1874</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3" t="s">
        <v>1692</v>
      </c>
      <c r="Q42" s="1263" t="str">
        <f t="shared" si="14"/>
        <v>工程地质条件</v>
      </c>
      <c r="R42" s="667" t="s">
        <v>14</v>
      </c>
      <c r="S42" s="668">
        <f t="shared" si="10"/>
        <v>100</v>
      </c>
      <c r="T42" s="667" t="s">
        <v>14</v>
      </c>
      <c r="U42" s="668">
        <f t="shared" si="11"/>
        <v>100</v>
      </c>
      <c r="V42" s="667" t="s">
        <v>14</v>
      </c>
      <c r="W42" s="668">
        <f t="shared" si="12"/>
        <v>100</v>
      </c>
      <c r="X42" s="1265"/>
      <c r="Y42" s="3373" t="s">
        <v>1692</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1840</v>
      </c>
      <c r="B46" s="1830" t="s">
        <v>1875</v>
      </c>
      <c r="C46" s="602" t="s">
        <v>0</v>
      </c>
      <c r="D46" s="418"/>
      <c r="E46" s="419"/>
      <c r="F46" s="420"/>
      <c r="G46" s="421"/>
      <c r="H46" s="422"/>
      <c r="I46" s="419"/>
      <c r="J46" s="422"/>
      <c r="K46" s="674"/>
      <c r="L46" s="2494"/>
      <c r="M46" s="2487"/>
      <c r="N46" s="2487"/>
      <c r="O46" s="2487"/>
      <c r="P46" s="3365" t="str">
        <f>A46</f>
        <v>成交单价</v>
      </c>
      <c r="Q46" s="3365"/>
      <c r="R46" s="3366">
        <f>E46</f>
        <v>0</v>
      </c>
      <c r="S46" s="3366"/>
      <c r="T46" s="3366">
        <f>G46</f>
        <v>0</v>
      </c>
      <c r="U46" s="3366"/>
      <c r="V46" s="3366">
        <f>I46</f>
        <v>0</v>
      </c>
      <c r="W46" s="3366"/>
      <c r="X46" s="385"/>
      <c r="Y46" s="673"/>
      <c r="Z46" s="385"/>
      <c r="AA46" s="385"/>
      <c r="AB46" s="385"/>
      <c r="AC46" s="385"/>
    </row>
    <row r="47" spans="1:29" ht="15.75" thickBot="1">
      <c r="A47" s="423" t="s">
        <v>1789</v>
      </c>
      <c r="B47" s="603"/>
      <c r="C47" s="426" t="e">
        <f>R48</f>
        <v>#DIV/0!</v>
      </c>
      <c r="D47" s="2141" t="s">
        <v>2132</v>
      </c>
      <c r="E47" s="426" t="e">
        <f>R47</f>
        <v>#DIV/0!</v>
      </c>
      <c r="F47" s="2142"/>
      <c r="G47" s="425" t="e">
        <f>T47</f>
        <v>#DIV/0!</v>
      </c>
      <c r="H47" s="2142"/>
      <c r="I47" s="426" t="e">
        <f>V47</f>
        <v>#DIV/0!</v>
      </c>
      <c r="J47" s="2142"/>
      <c r="K47" s="2144">
        <f>F47+H47+J47</f>
        <v>0</v>
      </c>
      <c r="L47" s="2494"/>
      <c r="M47" s="2487"/>
      <c r="N47" s="2487"/>
      <c r="O47" s="2487"/>
      <c r="P47" s="3365" t="str">
        <f>A47</f>
        <v>比较价值（元/平方米）</v>
      </c>
      <c r="Q47" s="3365"/>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1876</v>
      </c>
      <c r="B48" s="428"/>
      <c r="C48" s="429" t="e">
        <f>R48</f>
        <v>#DIV/0!</v>
      </c>
      <c r="D48" s="429"/>
      <c r="E48" s="429"/>
      <c r="F48" s="429"/>
      <c r="G48" s="429"/>
      <c r="H48" s="429"/>
      <c r="I48" s="429"/>
      <c r="J48" s="429"/>
      <c r="K48" s="675"/>
      <c r="L48" s="2494"/>
      <c r="M48" s="2487"/>
      <c r="N48" s="2487"/>
      <c r="O48" s="2487"/>
      <c r="P48" s="3367" t="str">
        <f>A48</f>
        <v>估价对象XX用房的比较价值（楼面单价，元/平方米）</v>
      </c>
      <c r="Q48" s="3368"/>
      <c r="R48" s="3474" t="e">
        <f>ROUND(IF(D47="简单平均",AVERAGE(R47:W47),R47*F47+T47*H47+V47*J47),0)</f>
        <v>#DIV/0!</v>
      </c>
      <c r="S48" s="3474"/>
      <c r="T48" s="3474"/>
      <c r="U48" s="3474"/>
      <c r="V48" s="3474"/>
      <c r="W48" s="347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1791</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1792</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1793</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1877</v>
      </c>
      <c r="B55" s="605" t="s">
        <v>1878</v>
      </c>
      <c r="C55" s="1831" t="s">
        <v>1879</v>
      </c>
      <c r="D55" s="1832" t="s">
        <v>1880</v>
      </c>
      <c r="E55" s="606" t="s">
        <v>1881</v>
      </c>
      <c r="F55" s="837" t="s">
        <v>1882</v>
      </c>
      <c r="G55" s="3378" t="s">
        <v>1883</v>
      </c>
      <c r="H55" s="3475"/>
      <c r="I55" s="127" t="s">
        <v>1884</v>
      </c>
      <c r="J55" s="1833">
        <f>项目基本情况!F35</f>
        <v>0</v>
      </c>
      <c r="K55" s="1834" t="s">
        <v>1885</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1886</v>
      </c>
      <c r="B56" s="609" t="e">
        <f>C48</f>
        <v>#DIV/0!</v>
      </c>
      <c r="C56" s="610">
        <v>1</v>
      </c>
      <c r="D56" s="890">
        <v>1</v>
      </c>
      <c r="E56" s="610">
        <f>'数据-汇总表'!E8+'数据-汇总表'!E9</f>
        <v>491.32</v>
      </c>
      <c r="F56" s="833" t="e">
        <f t="shared" ref="F56:F64" si="15">ROUND(B56*E56/10000,0)</f>
        <v>#DIV/0!</v>
      </c>
      <c r="G56" s="3453"/>
      <c r="H56" s="336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1887</v>
      </c>
      <c r="B57" s="210" t="e">
        <f>ROUND($C$48*C57*D57,0)</f>
        <v>#DIV/0!</v>
      </c>
      <c r="C57" s="163">
        <f t="shared" ref="C57:C64" si="16">IF($C$55="北京市系数",I57,J57)</f>
        <v>0</v>
      </c>
      <c r="D57" s="891">
        <v>0.25</v>
      </c>
      <c r="E57" s="614"/>
      <c r="F57" s="833" t="e">
        <f t="shared" si="15"/>
        <v>#DIV/0!</v>
      </c>
      <c r="G57" s="2750" t="s">
        <v>1888</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1889</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1890</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1891</v>
      </c>
      <c r="B60" s="210" t="e">
        <f t="shared" si="17"/>
        <v>#DIV/0!</v>
      </c>
      <c r="C60" s="163">
        <f t="shared" si="16"/>
        <v>0</v>
      </c>
      <c r="D60" s="891">
        <v>0.25</v>
      </c>
      <c r="E60" s="209">
        <f>'数据-汇总表'!E11</f>
        <v>0</v>
      </c>
      <c r="F60" s="833" t="e">
        <f t="shared" si="15"/>
        <v>#DIV/0!</v>
      </c>
      <c r="G60" s="1835" t="s">
        <v>1892</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1893</v>
      </c>
      <c r="B61" s="210" t="e">
        <f t="shared" si="17"/>
        <v>#DIV/0!</v>
      </c>
      <c r="C61" s="163">
        <f t="shared" si="16"/>
        <v>0</v>
      </c>
      <c r="D61" s="891">
        <v>0.25</v>
      </c>
      <c r="E61" s="209">
        <f>'数据-汇总表'!E12</f>
        <v>0</v>
      </c>
      <c r="F61" s="833" t="e">
        <f t="shared" si="15"/>
        <v>#DIV/0!</v>
      </c>
      <c r="G61" s="839" t="s">
        <v>1894</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1895</v>
      </c>
      <c r="B62" s="210" t="e">
        <f t="shared" si="17"/>
        <v>#DIV/0!</v>
      </c>
      <c r="C62" s="163">
        <f t="shared" si="16"/>
        <v>0</v>
      </c>
      <c r="D62" s="891">
        <v>0.25</v>
      </c>
      <c r="E62" s="209">
        <f>'数据-汇总表'!E13</f>
        <v>0</v>
      </c>
      <c r="F62" s="833" t="e">
        <f t="shared" si="15"/>
        <v>#DIV/0!</v>
      </c>
      <c r="G62" s="839" t="s">
        <v>1896</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1897</v>
      </c>
      <c r="B63" s="210" t="e">
        <f t="shared" si="17"/>
        <v>#DIV/0!</v>
      </c>
      <c r="C63" s="163">
        <f t="shared" si="16"/>
        <v>0</v>
      </c>
      <c r="D63" s="891">
        <v>0.25</v>
      </c>
      <c r="E63" s="209">
        <f>'数据-汇总表'!E14</f>
        <v>0</v>
      </c>
      <c r="F63" s="833" t="e">
        <f t="shared" si="15"/>
        <v>#DIV/0!</v>
      </c>
      <c r="G63" s="1835" t="s">
        <v>1888</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1898</v>
      </c>
      <c r="B64" s="210" t="e">
        <f t="shared" si="17"/>
        <v>#DIV/0!</v>
      </c>
      <c r="C64" s="163">
        <f t="shared" si="16"/>
        <v>0</v>
      </c>
      <c r="D64" s="891">
        <v>0.25</v>
      </c>
      <c r="E64" s="209">
        <f>'数据-汇总表'!E15</f>
        <v>0</v>
      </c>
      <c r="F64" s="833" t="e">
        <f t="shared" si="15"/>
        <v>#DIV/0!</v>
      </c>
      <c r="G64" s="1836" t="s">
        <v>1892</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1899</v>
      </c>
      <c r="B65" s="616" t="s">
        <v>22</v>
      </c>
      <c r="C65" s="616" t="s">
        <v>23</v>
      </c>
      <c r="D65" s="616" t="s">
        <v>392</v>
      </c>
      <c r="E65" s="616">
        <f>IF(B46="楼面地价",SUM(E56:E64),'数据-汇总表'!D3)</f>
        <v>491.32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1794</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1900</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1901</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1712</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1677</v>
      </c>
      <c r="B72" s="444"/>
      <c r="C72" s="456" t="s">
        <v>1772</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1715</v>
      </c>
      <c r="B74" s="460" t="s">
        <v>1681</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1684</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1685</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1686</v>
      </c>
      <c r="B87" s="460" t="s">
        <v>1716</v>
      </c>
      <c r="C87" s="504" t="s">
        <v>1717</v>
      </c>
      <c r="D87" s="504" t="s">
        <v>1718</v>
      </c>
      <c r="E87" s="504" t="s">
        <v>1719</v>
      </c>
      <c r="F87" s="504" t="s">
        <v>1720</v>
      </c>
      <c r="G87" s="504" t="s">
        <v>1721</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1902</v>
      </c>
      <c r="C89" s="509" t="s">
        <v>1717</v>
      </c>
      <c r="D89" s="509" t="s">
        <v>1718</v>
      </c>
      <c r="E89" s="509" t="s">
        <v>1719</v>
      </c>
      <c r="F89" s="509" t="s">
        <v>1720</v>
      </c>
      <c r="G89" s="509" t="s">
        <v>1721</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1817</v>
      </c>
      <c r="C91" s="509" t="s">
        <v>1717</v>
      </c>
      <c r="D91" s="509" t="s">
        <v>1718</v>
      </c>
      <c r="E91" s="509" t="s">
        <v>1719</v>
      </c>
      <c r="F91" s="509" t="s">
        <v>1720</v>
      </c>
      <c r="G91" s="509" t="s">
        <v>1721</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1722</v>
      </c>
      <c r="C93" s="509" t="s">
        <v>1717</v>
      </c>
      <c r="D93" s="509" t="s">
        <v>1718</v>
      </c>
      <c r="E93" s="509" t="s">
        <v>1719</v>
      </c>
      <c r="F93" s="509" t="s">
        <v>1720</v>
      </c>
      <c r="G93" s="509" t="s">
        <v>1721</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1903</v>
      </c>
      <c r="C95" s="509" t="s">
        <v>1717</v>
      </c>
      <c r="D95" s="509" t="s">
        <v>1718</v>
      </c>
      <c r="E95" s="509" t="s">
        <v>1719</v>
      </c>
      <c r="F95" s="509" t="s">
        <v>1720</v>
      </c>
      <c r="G95" s="509" t="s">
        <v>1721</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1904</v>
      </c>
      <c r="C97" s="504" t="s">
        <v>1717</v>
      </c>
      <c r="D97" s="504" t="s">
        <v>1718</v>
      </c>
      <c r="E97" s="504" t="s">
        <v>1719</v>
      </c>
      <c r="F97" s="504" t="s">
        <v>1720</v>
      </c>
      <c r="G97" s="504" t="s">
        <v>1721</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1811</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1869</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1690</v>
      </c>
      <c r="B115" s="460" t="s">
        <v>1909</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1910</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1911</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1912</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1913</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78" t="s">
        <v>1766</v>
      </c>
      <c r="D4" s="3379"/>
      <c r="E4" s="3380" t="s">
        <v>1767</v>
      </c>
      <c r="F4" s="3381"/>
      <c r="G4" s="3378" t="s">
        <v>1768</v>
      </c>
      <c r="H4" s="3379"/>
      <c r="I4" s="3378" t="s">
        <v>1769</v>
      </c>
      <c r="J4" s="3379"/>
      <c r="K4" s="537" t="s">
        <v>1770</v>
      </c>
      <c r="L4" s="2486"/>
      <c r="M4" s="2487"/>
      <c r="N4" s="2487"/>
      <c r="O4" s="2487"/>
      <c r="P4" s="3382" t="s">
        <v>1771</v>
      </c>
      <c r="Q4" s="3383"/>
      <c r="R4" s="3388" t="s">
        <v>1767</v>
      </c>
      <c r="S4" s="3389"/>
      <c r="T4" s="3388" t="s">
        <v>1768</v>
      </c>
      <c r="U4" s="3389"/>
      <c r="V4" s="3366" t="s">
        <v>1769</v>
      </c>
      <c r="W4" s="3366"/>
      <c r="X4" s="1265"/>
      <c r="Y4" s="3388" t="s">
        <v>1771</v>
      </c>
      <c r="Z4" s="3389"/>
      <c r="AA4" s="3375" t="s">
        <v>1767</v>
      </c>
      <c r="AB4" s="3376" t="s">
        <v>1768</v>
      </c>
      <c r="AC4" s="3375" t="s">
        <v>1769</v>
      </c>
    </row>
    <row r="5" spans="1:29" ht="15">
      <c r="A5" s="348"/>
      <c r="B5" s="349"/>
      <c r="C5" s="3454" t="s">
        <v>1669</v>
      </c>
      <c r="D5" s="3397"/>
      <c r="E5" s="3455" t="s">
        <v>1670</v>
      </c>
      <c r="F5" s="3456"/>
      <c r="G5" s="3454" t="s">
        <v>1671</v>
      </c>
      <c r="H5" s="3397"/>
      <c r="I5" s="3454" t="s">
        <v>1672</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476" t="s">
        <v>1915</v>
      </c>
      <c r="D6" s="3477"/>
      <c r="E6" s="3478" t="s">
        <v>1915</v>
      </c>
      <c r="F6" s="3479"/>
      <c r="G6" s="3476" t="s">
        <v>1915</v>
      </c>
      <c r="H6" s="3477"/>
      <c r="I6" s="3476" t="s">
        <v>1915</v>
      </c>
      <c r="J6" s="3477"/>
      <c r="K6" s="537" t="s">
        <v>1674</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1675</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8" t="s">
        <v>1676</v>
      </c>
      <c r="Q7" s="3400"/>
      <c r="R7" s="664" t="s">
        <v>14</v>
      </c>
      <c r="S7" s="665">
        <f t="shared" ref="S7:S15" si="0">F7</f>
        <v>0</v>
      </c>
      <c r="T7" s="664" t="s">
        <v>14</v>
      </c>
      <c r="U7" s="665">
        <f t="shared" ref="U7:U15" si="1">H7</f>
        <v>0</v>
      </c>
      <c r="V7" s="664" t="s">
        <v>14</v>
      </c>
      <c r="W7" s="665">
        <f t="shared" ref="W7:W15" si="2">J7</f>
        <v>0</v>
      </c>
      <c r="X7" s="666"/>
      <c r="Y7" s="3398" t="s">
        <v>1676</v>
      </c>
      <c r="Z7" s="3399"/>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8" t="s">
        <v>1679</v>
      </c>
      <c r="Q8" s="3399"/>
      <c r="R8" s="664" t="s">
        <v>14</v>
      </c>
      <c r="S8" s="665">
        <f t="shared" si="0"/>
        <v>0</v>
      </c>
      <c r="T8" s="664" t="s">
        <v>14</v>
      </c>
      <c r="U8" s="665">
        <f t="shared" si="1"/>
        <v>0</v>
      </c>
      <c r="V8" s="664" t="s">
        <v>14</v>
      </c>
      <c r="W8" s="665">
        <f t="shared" si="2"/>
        <v>0</v>
      </c>
      <c r="X8" s="666"/>
      <c r="Y8" s="3398" t="s">
        <v>1679</v>
      </c>
      <c r="Z8" s="3399"/>
      <c r="AA8" s="50" t="e">
        <f t="shared" ref="AA8:AA40" si="3">D8/F8</f>
        <v>#DIV/0!</v>
      </c>
      <c r="AB8" s="50" t="e">
        <f t="shared" ref="AB8:AB40" si="4">D8/H8</f>
        <v>#DIV/0!</v>
      </c>
      <c r="AC8" s="50" t="e">
        <f t="shared" ref="AC8:AC40" si="5">D8/J8</f>
        <v>#DIV/0!</v>
      </c>
    </row>
    <row r="9" spans="1:29" s="102" customFormat="1">
      <c r="A9" s="359" t="s">
        <v>1680</v>
      </c>
      <c r="B9" s="60" t="s">
        <v>1681</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5" t="s">
        <v>1682</v>
      </c>
      <c r="Q9" s="530" t="str">
        <f t="shared" ref="Q9:Q15" si="6">B9</f>
        <v>用途</v>
      </c>
      <c r="R9" s="664" t="s">
        <v>14</v>
      </c>
      <c r="S9" s="665">
        <f t="shared" si="0"/>
        <v>100</v>
      </c>
      <c r="T9" s="664" t="s">
        <v>14</v>
      </c>
      <c r="U9" s="665">
        <f t="shared" si="1"/>
        <v>100</v>
      </c>
      <c r="V9" s="664" t="s">
        <v>14</v>
      </c>
      <c r="W9" s="665">
        <f t="shared" si="2"/>
        <v>100</v>
      </c>
      <c r="X9" s="666"/>
      <c r="Y9" s="3269"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125</v>
      </c>
      <c r="G10" s="371"/>
      <c r="H10" s="119">
        <f>ROUND(100/'数据-取费表'!G16,0)</f>
        <v>125</v>
      </c>
      <c r="I10" s="371"/>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1686</v>
      </c>
      <c r="B15" s="554" t="s">
        <v>1916</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0" t="s">
        <v>1687</v>
      </c>
      <c r="Q15" s="1263" t="str">
        <f t="shared" si="6"/>
        <v>产业集聚程度</v>
      </c>
      <c r="R15" s="667" t="s">
        <v>14</v>
      </c>
      <c r="S15" s="668">
        <f t="shared" si="0"/>
        <v>100</v>
      </c>
      <c r="T15" s="667" t="s">
        <v>14</v>
      </c>
      <c r="U15" s="668">
        <f t="shared" si="1"/>
        <v>100</v>
      </c>
      <c r="V15" s="667" t="s">
        <v>14</v>
      </c>
      <c r="W15" s="668">
        <f t="shared" si="2"/>
        <v>100</v>
      </c>
      <c r="X15" s="1265"/>
      <c r="Y15" s="3370" t="s">
        <v>1687</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85.5">
      <c r="A17" s="367"/>
      <c r="B17" s="556" t="s">
        <v>1829</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15">
      <c r="A19" s="367"/>
      <c r="B19" s="556" t="s">
        <v>1867</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1"/>
      <c r="Q20" s="1263"/>
      <c r="R20" s="667"/>
      <c r="S20" s="668"/>
      <c r="T20" s="667"/>
      <c r="U20" s="668"/>
      <c r="V20" s="667"/>
      <c r="W20" s="668"/>
      <c r="X20" s="1265"/>
      <c r="Y20" s="3371"/>
      <c r="Z20" s="1264"/>
      <c r="AA20" s="1264"/>
      <c r="AB20" s="1264"/>
      <c r="AC20" s="1264"/>
    </row>
    <row r="21" spans="1:29" ht="71.25">
      <c r="A21" s="348"/>
      <c r="B21" s="556" t="s">
        <v>1917</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s="102" customFormat="1" ht="42.75">
      <c r="A23" s="443"/>
      <c r="B23" s="557" t="s">
        <v>1774</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1"/>
      <c r="Q24" s="530"/>
      <c r="R24" s="664"/>
      <c r="S24" s="665"/>
      <c r="T24" s="664"/>
      <c r="U24" s="665"/>
      <c r="V24" s="664"/>
      <c r="W24" s="665"/>
      <c r="X24" s="666"/>
      <c r="Y24" s="3371"/>
      <c r="Z24" s="50"/>
      <c r="AA24" s="50">
        <v>1</v>
      </c>
      <c r="AB24" s="50">
        <v>1</v>
      </c>
      <c r="AC24" s="50">
        <v>1</v>
      </c>
    </row>
    <row r="25" spans="1:29" s="102" customFormat="1" ht="28.5">
      <c r="A25" s="443"/>
      <c r="B25" s="557" t="s">
        <v>1775</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1"/>
      <c r="Q26" s="530"/>
      <c r="R26" s="664"/>
      <c r="S26" s="665"/>
      <c r="T26" s="664"/>
      <c r="U26" s="665"/>
      <c r="V26" s="664"/>
      <c r="W26" s="665"/>
      <c r="X26" s="666"/>
      <c r="Y26" s="3371"/>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1811</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1"/>
      <c r="Q29" s="1263"/>
      <c r="R29" s="667"/>
      <c r="S29" s="668"/>
      <c r="T29" s="667"/>
      <c r="U29" s="668"/>
      <c r="V29" s="667"/>
      <c r="W29" s="668"/>
      <c r="X29" s="1265"/>
      <c r="Y29" s="3371"/>
      <c r="Z29" s="1264"/>
      <c r="AA29" s="1264">
        <v>1</v>
      </c>
      <c r="AB29" s="1264">
        <v>1</v>
      </c>
      <c r="AC29" s="1264">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72" t="s">
        <v>1692</v>
      </c>
      <c r="Q32" s="1263">
        <f t="shared" si="8"/>
        <v>111</v>
      </c>
      <c r="R32" s="667" t="s">
        <v>14</v>
      </c>
      <c r="S32" s="668">
        <f t="shared" si="10"/>
        <v>100</v>
      </c>
      <c r="T32" s="667" t="s">
        <v>14</v>
      </c>
      <c r="U32" s="668">
        <f t="shared" si="11"/>
        <v>100</v>
      </c>
      <c r="V32" s="667" t="s">
        <v>14</v>
      </c>
      <c r="W32" s="668">
        <f t="shared" si="12"/>
        <v>100</v>
      </c>
      <c r="X32" s="1265"/>
      <c r="Y32" s="3373" t="s">
        <v>1692</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1690</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1871</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1873</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1874</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3" t="s">
        <v>1692</v>
      </c>
      <c r="Q37" s="1263" t="str">
        <f t="shared" si="14"/>
        <v>工程地质条件</v>
      </c>
      <c r="R37" s="667" t="s">
        <v>14</v>
      </c>
      <c r="S37" s="668">
        <f t="shared" si="10"/>
        <v>100</v>
      </c>
      <c r="T37" s="667" t="s">
        <v>14</v>
      </c>
      <c r="U37" s="668">
        <f t="shared" si="11"/>
        <v>100</v>
      </c>
      <c r="V37" s="667" t="s">
        <v>14</v>
      </c>
      <c r="W37" s="668">
        <f t="shared" si="12"/>
        <v>100</v>
      </c>
      <c r="X37" s="1265"/>
      <c r="Y37" s="3373" t="s">
        <v>1692</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1840</v>
      </c>
      <c r="B41" s="1830" t="s">
        <v>1918</v>
      </c>
      <c r="C41" s="602" t="s">
        <v>0</v>
      </c>
      <c r="D41" s="418"/>
      <c r="E41" s="419"/>
      <c r="F41" s="420"/>
      <c r="G41" s="421"/>
      <c r="H41" s="422"/>
      <c r="I41" s="419"/>
      <c r="J41" s="422"/>
      <c r="K41" s="674"/>
      <c r="L41" s="2494"/>
      <c r="M41" s="2487"/>
      <c r="N41" s="2487"/>
      <c r="O41" s="2487"/>
      <c r="P41" s="3365" t="str">
        <f>A41</f>
        <v>成交单价</v>
      </c>
      <c r="Q41" s="3365"/>
      <c r="R41" s="3366">
        <f>E41</f>
        <v>0</v>
      </c>
      <c r="S41" s="3366"/>
      <c r="T41" s="3366">
        <f>G41</f>
        <v>0</v>
      </c>
      <c r="U41" s="3366"/>
      <c r="V41" s="3366">
        <f>I41</f>
        <v>0</v>
      </c>
      <c r="W41" s="3366"/>
      <c r="X41" s="385"/>
      <c r="Y41" s="673"/>
      <c r="Z41" s="385"/>
      <c r="AA41" s="385"/>
      <c r="AB41" s="385"/>
      <c r="AC41" s="385"/>
    </row>
    <row r="42" spans="1:31" ht="15.75" thickBot="1">
      <c r="A42" s="423" t="s">
        <v>1789</v>
      </c>
      <c r="B42" s="603"/>
      <c r="C42" s="426" t="e">
        <f>R43</f>
        <v>#DIV/0!</v>
      </c>
      <c r="D42" s="2141" t="s">
        <v>2132</v>
      </c>
      <c r="E42" s="426" t="e">
        <f>R42</f>
        <v>#DIV/0!</v>
      </c>
      <c r="F42" s="2142"/>
      <c r="G42" s="425" t="e">
        <f>T42</f>
        <v>#DIV/0!</v>
      </c>
      <c r="H42" s="2142"/>
      <c r="I42" s="426" t="e">
        <f>V42</f>
        <v>#DIV/0!</v>
      </c>
      <c r="J42" s="2142"/>
      <c r="K42" s="2144">
        <f>F42+H42+J42</f>
        <v>0</v>
      </c>
      <c r="L42" s="2494"/>
      <c r="M42" s="2487"/>
      <c r="N42" s="2487"/>
      <c r="O42" s="2487"/>
      <c r="P42" s="3365" t="str">
        <f>A42</f>
        <v>比较价值（元/平方米）</v>
      </c>
      <c r="Q42" s="3365"/>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4"/>
      <c r="M43" s="2487"/>
      <c r="N43" s="2487"/>
      <c r="O43" s="2487"/>
      <c r="P43" s="3367" t="str">
        <f>A43</f>
        <v>估价对象XX用房的比较价值（楼面单价，元/平方米）</v>
      </c>
      <c r="Q43" s="3368"/>
      <c r="R43" s="3474" t="e">
        <f>ROUND(IF(D42="简单平均",AVERAGE(R42:W42),R42*F42+T42*H42+V42*J42),0)</f>
        <v>#DIV/0!</v>
      </c>
      <c r="S43" s="3474"/>
      <c r="T43" s="3474"/>
      <c r="U43" s="3474"/>
      <c r="V43" s="3474"/>
      <c r="W43" s="347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1877</v>
      </c>
      <c r="B50" s="605" t="s">
        <v>1878</v>
      </c>
      <c r="C50" s="1831" t="s">
        <v>1879</v>
      </c>
      <c r="D50" s="1832" t="s">
        <v>1880</v>
      </c>
      <c r="E50" s="606" t="s">
        <v>1881</v>
      </c>
      <c r="F50" s="607" t="s">
        <v>1882</v>
      </c>
      <c r="G50" s="3378" t="s">
        <v>1883</v>
      </c>
      <c r="H50" s="3475"/>
      <c r="I50" s="1264" t="s">
        <v>1919</v>
      </c>
      <c r="J50" s="1264">
        <f>项目基本情况!F35</f>
        <v>0</v>
      </c>
      <c r="K50" s="1834" t="s">
        <v>1885</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1886</v>
      </c>
      <c r="B51" s="609" t="e">
        <f>C43</f>
        <v>#DIV/0!</v>
      </c>
      <c r="C51" s="610">
        <v>1</v>
      </c>
      <c r="D51" s="890">
        <v>1</v>
      </c>
      <c r="E51" s="610">
        <f>'数据-汇总表'!E8+'数据-汇总表'!E9</f>
        <v>491.32</v>
      </c>
      <c r="F51" s="611" t="e">
        <f t="shared" ref="F51:F60" si="15">ROUND(B51*E51/10000,0)</f>
        <v>#DIV/0!</v>
      </c>
      <c r="G51" s="3453"/>
      <c r="H51" s="336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1887</v>
      </c>
      <c r="B52" s="210" t="e">
        <f>ROUND($C$43*C52*D52,0)</f>
        <v>#DIV/0!</v>
      </c>
      <c r="C52" s="163">
        <f t="shared" ref="C52:C60" si="16">IF($C$50="北京市系数",I52,J52)</f>
        <v>0</v>
      </c>
      <c r="D52" s="891">
        <v>0.25</v>
      </c>
      <c r="E52" s="614"/>
      <c r="F52" s="611" t="e">
        <f t="shared" si="15"/>
        <v>#DIV/0!</v>
      </c>
      <c r="G52" s="2750" t="s">
        <v>1888</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1889</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1890</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1891</v>
      </c>
      <c r="B56" s="210" t="e">
        <f t="shared" si="17"/>
        <v>#DIV/0!</v>
      </c>
      <c r="C56" s="163">
        <f t="shared" si="16"/>
        <v>0</v>
      </c>
      <c r="D56" s="891">
        <v>0.25</v>
      </c>
      <c r="E56" s="209">
        <f>'数据-汇总表'!E11</f>
        <v>0</v>
      </c>
      <c r="F56" s="611" t="e">
        <f t="shared" si="15"/>
        <v>#DIV/0!</v>
      </c>
      <c r="G56" s="1835" t="s">
        <v>1892</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1893</v>
      </c>
      <c r="B57" s="210" t="e">
        <f t="shared" si="17"/>
        <v>#DIV/0!</v>
      </c>
      <c r="C57" s="163">
        <f t="shared" si="16"/>
        <v>0</v>
      </c>
      <c r="D57" s="891">
        <v>0.25</v>
      </c>
      <c r="E57" s="209">
        <f>'数据-汇总表'!E12</f>
        <v>0</v>
      </c>
      <c r="F57" s="611" t="e">
        <f t="shared" si="15"/>
        <v>#DIV/0!</v>
      </c>
      <c r="G57" s="839" t="s">
        <v>1894</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1895</v>
      </c>
      <c r="B58" s="210" t="e">
        <f t="shared" si="17"/>
        <v>#DIV/0!</v>
      </c>
      <c r="C58" s="163">
        <f t="shared" si="16"/>
        <v>0</v>
      </c>
      <c r="D58" s="891">
        <v>0.25</v>
      </c>
      <c r="E58" s="209">
        <f>'数据-汇总表'!E13</f>
        <v>0</v>
      </c>
      <c r="F58" s="611" t="e">
        <f t="shared" si="15"/>
        <v>#DIV/0!</v>
      </c>
      <c r="G58" s="839" t="s">
        <v>1896</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1897</v>
      </c>
      <c r="B59" s="210" t="e">
        <f t="shared" si="17"/>
        <v>#DIV/0!</v>
      </c>
      <c r="C59" s="163">
        <f t="shared" si="16"/>
        <v>0</v>
      </c>
      <c r="D59" s="891">
        <v>0.25</v>
      </c>
      <c r="E59" s="209">
        <f>'数据-汇总表'!E14</f>
        <v>0</v>
      </c>
      <c r="F59" s="611" t="e">
        <f t="shared" si="15"/>
        <v>#DIV/0!</v>
      </c>
      <c r="G59" s="1835" t="s">
        <v>1888</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1898</v>
      </c>
      <c r="B60" s="210" t="e">
        <f t="shared" si="17"/>
        <v>#DIV/0!</v>
      </c>
      <c r="C60" s="163">
        <f t="shared" si="16"/>
        <v>0</v>
      </c>
      <c r="D60" s="891">
        <v>0.25</v>
      </c>
      <c r="E60" s="209">
        <f>'数据-汇总表'!E15</f>
        <v>0</v>
      </c>
      <c r="F60" s="611" t="e">
        <f t="shared" si="15"/>
        <v>#DIV/0!</v>
      </c>
      <c r="G60" s="1836" t="s">
        <v>1892</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1794</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1900</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1712</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1677</v>
      </c>
      <c r="B68" s="444"/>
      <c r="C68" s="456" t="s">
        <v>1772</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1715</v>
      </c>
      <c r="B70" s="460" t="s">
        <v>1681</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1684</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1686</v>
      </c>
      <c r="B83" s="460" t="s">
        <v>1825</v>
      </c>
      <c r="C83" s="504" t="s">
        <v>1717</v>
      </c>
      <c r="D83" s="504" t="s">
        <v>1718</v>
      </c>
      <c r="E83" s="504" t="s">
        <v>1719</v>
      </c>
      <c r="F83" s="504" t="s">
        <v>1720</v>
      </c>
      <c r="G83" s="504" t="s">
        <v>1721</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1722</v>
      </c>
      <c r="C85" s="509" t="s">
        <v>1717</v>
      </c>
      <c r="D85" s="509" t="s">
        <v>1718</v>
      </c>
      <c r="E85" s="509" t="s">
        <v>1719</v>
      </c>
      <c r="F85" s="509" t="s">
        <v>1720</v>
      </c>
      <c r="G85" s="509" t="s">
        <v>1721</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1903</v>
      </c>
      <c r="C87" s="504" t="s">
        <v>1717</v>
      </c>
      <c r="D87" s="504" t="s">
        <v>1718</v>
      </c>
      <c r="E87" s="504" t="s">
        <v>1719</v>
      </c>
      <c r="F87" s="504" t="s">
        <v>1720</v>
      </c>
      <c r="G87" s="504" t="s">
        <v>1721</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1904</v>
      </c>
      <c r="C89" s="504" t="s">
        <v>1717</v>
      </c>
      <c r="D89" s="504" t="s">
        <v>1718</v>
      </c>
      <c r="E89" s="504" t="s">
        <v>1719</v>
      </c>
      <c r="F89" s="504" t="s">
        <v>1720</v>
      </c>
      <c r="G89" s="504" t="s">
        <v>1721</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1921</v>
      </c>
      <c r="C93" s="581" t="s">
        <v>1795</v>
      </c>
      <c r="D93" s="581" t="s">
        <v>1796</v>
      </c>
      <c r="E93" s="581" t="s">
        <v>1797</v>
      </c>
      <c r="F93" s="581" t="s">
        <v>1798</v>
      </c>
      <c r="G93" s="581" t="s">
        <v>1799</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1811</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1869</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1690</v>
      </c>
      <c r="B107" s="460" t="s">
        <v>1909</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1910</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1912</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1913</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7" sqref="U27"/>
    </sheetView>
  </sheetViews>
  <sheetFormatPr defaultColWidth="9" defaultRowHeight="12.75"/>
  <cols>
    <col min="1" max="1" width="11.5" style="122" customWidth="1"/>
    <col min="2" max="2" width="9.25" style="24" customWidth="1"/>
    <col min="3" max="3" width="10.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483" t="s">
        <v>2080</v>
      </c>
      <c r="D1" s="3484"/>
      <c r="E1" s="3484"/>
      <c r="F1" s="3484"/>
      <c r="G1" s="3484"/>
      <c r="H1" s="3484"/>
      <c r="I1" s="3484"/>
      <c r="J1" s="3484"/>
      <c r="K1" s="3484"/>
      <c r="L1" s="3484"/>
      <c r="M1" s="3484"/>
      <c r="N1" s="3484"/>
      <c r="O1" s="3484"/>
      <c r="P1" s="3484"/>
      <c r="Q1" s="3484"/>
      <c r="R1" s="3484"/>
      <c r="S1" s="3485"/>
      <c r="T1" s="929" t="s">
        <v>2081</v>
      </c>
    </row>
    <row r="2" spans="1:45" s="625" customFormat="1" ht="38.25">
      <c r="A2" s="930"/>
      <c r="B2" s="622" t="s">
        <v>2082</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'比较法-工业'!C91</f>
        <v>0</v>
      </c>
      <c r="D3" s="627">
        <f>'比较法-工业'!D91</f>
        <v>500</v>
      </c>
      <c r="E3" s="627">
        <f>'比较法-工业'!E91</f>
        <v>1000</v>
      </c>
      <c r="F3" s="627">
        <f>'比较法-工业'!F91</f>
        <v>1500</v>
      </c>
      <c r="G3" s="627">
        <f>'比较法-工业'!G91</f>
        <v>2000</v>
      </c>
      <c r="H3" s="627"/>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'比较法-工业'!C92</f>
        <v>100</v>
      </c>
      <c r="D4" s="935">
        <f>'比较法-工业'!D92</f>
        <v>99</v>
      </c>
      <c r="E4" s="935">
        <f>'比较法-工业'!E92</f>
        <v>98</v>
      </c>
      <c r="F4" s="935">
        <f>'比较法-工业'!F92</f>
        <v>97</v>
      </c>
      <c r="G4" s="935">
        <f>'比较法-工业'!G92</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0" t="s">
        <v>3469</v>
      </c>
      <c r="C5" s="940" t="str">
        <f>'比较法-工业'!C108</f>
        <v>超高层高</v>
      </c>
      <c r="D5" s="940" t="str">
        <f>'比较法-工业'!D108</f>
        <v>标准层高</v>
      </c>
      <c r="E5" s="941"/>
      <c r="F5" s="1227"/>
      <c r="G5" s="1227"/>
      <c r="H5" s="1227"/>
      <c r="I5" s="1227"/>
      <c r="J5" s="1227"/>
      <c r="K5" s="1227"/>
      <c r="L5" s="1228"/>
      <c r="M5" s="1229"/>
      <c r="N5" s="1229"/>
      <c r="O5" s="1227"/>
      <c r="P5" s="1227"/>
      <c r="Q5" s="1227"/>
      <c r="R5" s="1227"/>
      <c r="S5" s="1230"/>
      <c r="T5" s="943">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90</v>
      </c>
      <c r="E6" s="849">
        <f t="shared" ref="E6:S6" si="7">D6-$T5</f>
        <v>80</v>
      </c>
      <c r="F6" s="1231">
        <f t="shared" si="7"/>
        <v>70</v>
      </c>
      <c r="G6" s="1231">
        <f t="shared" si="7"/>
        <v>60</v>
      </c>
      <c r="H6" s="1231">
        <f t="shared" si="7"/>
        <v>50</v>
      </c>
      <c r="I6" s="1231">
        <f t="shared" si="7"/>
        <v>40</v>
      </c>
      <c r="J6" s="1231">
        <f t="shared" si="7"/>
        <v>30</v>
      </c>
      <c r="K6" s="1231">
        <f t="shared" si="7"/>
        <v>20</v>
      </c>
      <c r="L6" s="1231">
        <f t="shared" si="7"/>
        <v>10</v>
      </c>
      <c r="M6" s="1231">
        <f t="shared" si="7"/>
        <v>0</v>
      </c>
      <c r="N6" s="1231">
        <f t="shared" si="7"/>
        <v>-10</v>
      </c>
      <c r="O6" s="1231">
        <f t="shared" si="7"/>
        <v>-20</v>
      </c>
      <c r="P6" s="1231">
        <f t="shared" si="7"/>
        <v>-30</v>
      </c>
      <c r="Q6" s="1231">
        <f t="shared" si="7"/>
        <v>-40</v>
      </c>
      <c r="R6" s="1231">
        <f t="shared" si="7"/>
        <v>-50</v>
      </c>
      <c r="S6" s="1231">
        <f t="shared" si="7"/>
        <v>-60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2568</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 ca="1">ROUND(B20*10000/B22,0)</f>
        <v>17914</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1433.48</v>
      </c>
      <c r="C22" s="3480" t="s">
        <v>27</v>
      </c>
      <c r="D22" s="3481"/>
      <c r="E22" s="3481"/>
      <c r="F22" s="3481"/>
      <c r="G22" s="3481"/>
      <c r="H22" s="3481"/>
      <c r="I22" s="3481"/>
      <c r="J22" s="3481"/>
      <c r="K22" s="3481"/>
      <c r="L22" s="3481"/>
      <c r="M22" s="3481"/>
      <c r="N22" s="3481"/>
      <c r="O22" s="3481"/>
      <c r="P22" s="3481"/>
      <c r="Q22" s="3482"/>
      <c r="R22" s="21">
        <f ca="1">ROUND(S22*10000/B22,0)</f>
        <v>17914</v>
      </c>
      <c r="S22" s="21">
        <f ca="1">SUM(S24:S10000)</f>
        <v>2568</v>
      </c>
      <c r="T22" s="684">
        <v>1350</v>
      </c>
    </row>
    <row r="23" spans="1:45" s="9" customFormat="1" ht="24">
      <c r="A23" s="8" t="s">
        <v>2095</v>
      </c>
      <c r="B23" s="8" t="s">
        <v>2096</v>
      </c>
      <c r="C23" s="8" t="s">
        <v>2097</v>
      </c>
      <c r="D23" s="8" t="str">
        <f>B5</f>
        <v>层高</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101</v>
      </c>
      <c r="B24" s="633">
        <f>'数据-汇总表'!F19</f>
        <v>491.32</v>
      </c>
      <c r="C24" s="2570">
        <v>1</v>
      </c>
      <c r="D24" s="2571" t="s">
        <v>3452</v>
      </c>
      <c r="E24" s="2570">
        <v>1</v>
      </c>
      <c r="F24" s="2571"/>
      <c r="G24" s="2570">
        <v>1</v>
      </c>
      <c r="H24" s="2571"/>
      <c r="I24" s="2570">
        <v>1</v>
      </c>
      <c r="J24" s="2571"/>
      <c r="K24" s="2570">
        <v>1</v>
      </c>
      <c r="L24" s="2571"/>
      <c r="M24" s="2570">
        <v>1</v>
      </c>
      <c r="N24" s="2571"/>
      <c r="O24" s="2570">
        <v>1</v>
      </c>
      <c r="P24" s="2571"/>
      <c r="Q24" s="2570">
        <v>1</v>
      </c>
      <c r="R24" s="633">
        <f ca="1">结果表!G20</f>
        <v>11252</v>
      </c>
      <c r="S24" s="634">
        <f t="shared" ref="S24:S54" ca="1" si="11">ROUND(R24*B24/10000,0)</f>
        <v>553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201</v>
      </c>
      <c r="B25" s="52">
        <v>309.42</v>
      </c>
      <c r="C25" s="21">
        <f>IF(B25="",1,(LOOKUP(B25,$3:$3,$4:$4)-LOOKUP($B$24,$3:$3,$4:$4)+100)/100)</f>
        <v>1</v>
      </c>
      <c r="D25" s="635" t="s">
        <v>3453</v>
      </c>
      <c r="E25" s="21">
        <f>(SUMIF($5:$5,D25,$6:$6)-SUMIF($5:$5,$D$24,$6:$6)+100)/100</f>
        <v>1.9</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21379</v>
      </c>
      <c r="S25" s="308">
        <f t="shared" ca="1" si="11"/>
        <v>662</v>
      </c>
      <c r="T25" s="684">
        <v>8842</v>
      </c>
    </row>
    <row r="26" spans="1:45">
      <c r="A26" s="142">
        <v>202</v>
      </c>
      <c r="B26" s="52">
        <v>320.33</v>
      </c>
      <c r="C26" s="21">
        <f t="shared" ref="C26:C89" si="12">IF(B26="",1,(LOOKUP(B26,$3:$3,$4:$4)-LOOKUP($B$24,$3:$3,$4:$4)+100)/100)</f>
        <v>1</v>
      </c>
      <c r="D26" s="635" t="s">
        <v>3453</v>
      </c>
      <c r="E26" s="21">
        <f t="shared" ref="E26:E89" si="13">(SUMIF($5:$5,D26,$6:$6)-SUMIF($5:$5,$D$24,$6:$6)+100)/100</f>
        <v>1.9</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21379</v>
      </c>
      <c r="S26" s="308">
        <f t="shared" ca="1" si="11"/>
        <v>685</v>
      </c>
    </row>
    <row r="27" spans="1:45">
      <c r="A27" s="142">
        <v>203</v>
      </c>
      <c r="B27" s="52">
        <v>312.41000000000003</v>
      </c>
      <c r="C27" s="21">
        <f t="shared" si="12"/>
        <v>1</v>
      </c>
      <c r="D27" s="635" t="s">
        <v>3453</v>
      </c>
      <c r="E27" s="21">
        <f t="shared" si="13"/>
        <v>1.9</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21379</v>
      </c>
      <c r="S27" s="308">
        <f t="shared" ca="1" si="11"/>
        <v>668</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913</v>
      </c>
      <c r="C4" s="3184"/>
      <c r="D4" s="3184"/>
      <c r="E4" s="1391"/>
    </row>
    <row r="5" spans="1:5" ht="16.5" thickTop="1">
      <c r="B5" s="3182" t="s">
        <v>905</v>
      </c>
      <c r="C5" s="1392" t="s">
        <v>906</v>
      </c>
      <c r="D5" s="797">
        <f ca="1">结果表!H101</f>
        <v>553</v>
      </c>
    </row>
    <row r="6" spans="1:5" ht="15.75">
      <c r="B6" s="3182"/>
      <c r="C6" s="1392" t="s">
        <v>907</v>
      </c>
      <c r="D6" s="797" t="str">
        <f ca="1">NUMBERSTRING(INT(D5*10000),2)&amp;"元整"</f>
        <v>伍佰伍拾叁万元整</v>
      </c>
    </row>
    <row r="7" spans="1:5" ht="15.75">
      <c r="B7" s="3187"/>
      <c r="C7" s="1393" t="s">
        <v>908</v>
      </c>
      <c r="D7" s="798">
        <f ca="1">结果表!H102</f>
        <v>11252</v>
      </c>
    </row>
    <row r="8" spans="1:5" ht="15.75">
      <c r="B8" s="3188" t="str">
        <f>结果表!E103</f>
        <v>2.估价师知悉的法定优先受偿款</v>
      </c>
      <c r="C8" s="1394" t="s">
        <v>909</v>
      </c>
      <c r="D8" s="798">
        <f>结果表!H103</f>
        <v>0</v>
      </c>
    </row>
    <row r="9" spans="1:5" ht="15.75">
      <c r="B9" s="3190"/>
      <c r="C9" s="1392" t="s">
        <v>907</v>
      </c>
      <c r="D9" s="797" t="str">
        <f>NUMBERSTRING(INT(D8*10000),2)&amp;"元整"</f>
        <v>零元整</v>
      </c>
    </row>
    <row r="10" spans="1:5" ht="15">
      <c r="B10" s="1395" t="s">
        <v>912</v>
      </c>
      <c r="C10" s="1396" t="s">
        <v>910</v>
      </c>
      <c r="D10" s="799">
        <f>结果表!H104</f>
        <v>0</v>
      </c>
    </row>
    <row r="11" spans="1:5" ht="15">
      <c r="B11" s="1395" t="s">
        <v>914</v>
      </c>
      <c r="C11" s="1396" t="s">
        <v>915</v>
      </c>
      <c r="D11" s="799">
        <f>结果表!H105</f>
        <v>0</v>
      </c>
    </row>
    <row r="12" spans="1:5" ht="15">
      <c r="B12" s="1395" t="s">
        <v>916</v>
      </c>
      <c r="C12" s="1396" t="s">
        <v>915</v>
      </c>
      <c r="D12" s="799">
        <f>结果表!H106</f>
        <v>0</v>
      </c>
    </row>
    <row r="13" spans="1:5" ht="15.75">
      <c r="B13" s="3181" t="str">
        <f>结果表!E107</f>
        <v>3.房地产抵押价值</v>
      </c>
      <c r="C13" s="1397" t="s">
        <v>906</v>
      </c>
      <c r="D13" s="800">
        <f ca="1">结果表!H107</f>
        <v>553</v>
      </c>
    </row>
    <row r="14" spans="1:5" ht="15.75">
      <c r="B14" s="3182"/>
      <c r="C14" s="1392" t="s">
        <v>907</v>
      </c>
      <c r="D14" s="797" t="str">
        <f ca="1">NUMBERSTRING(INT(D13*10000),2)&amp;"元整"</f>
        <v>伍佰伍拾叁万元整</v>
      </c>
    </row>
    <row r="15" spans="1:5" ht="15">
      <c r="B15" s="3187"/>
      <c r="C15" s="1393" t="s">
        <v>917</v>
      </c>
      <c r="D15" s="806">
        <f ca="1">结果表!H108</f>
        <v>11252</v>
      </c>
    </row>
    <row r="16" spans="1:5" ht="15">
      <c r="B16" s="3188" t="str">
        <f>结果表!E109</f>
        <v>——</v>
      </c>
      <c r="C16" s="1397" t="s">
        <v>918</v>
      </c>
      <c r="D16" s="1398" t="str">
        <f>结果表!H109</f>
        <v>——</v>
      </c>
    </row>
    <row r="17" spans="1:5" ht="15.75">
      <c r="B17" s="3189"/>
      <c r="C17" s="1392" t="s">
        <v>919</v>
      </c>
      <c r="D17" s="797" t="e">
        <f>NUMBERSTRING(INT(D16*10000),2)&amp;"元整"</f>
        <v>#VALUE!</v>
      </c>
    </row>
    <row r="18" spans="1:5" ht="15">
      <c r="B18" s="3190"/>
      <c r="C18" s="1393" t="s">
        <v>908</v>
      </c>
      <c r="D18" s="806" t="str">
        <f>结果表!H110</f>
        <v>——</v>
      </c>
    </row>
    <row r="19" spans="1:5" ht="15.75">
      <c r="B19" s="3181" t="str">
        <f>结果表!E111</f>
        <v>——</v>
      </c>
      <c r="C19" s="1397" t="s">
        <v>906</v>
      </c>
      <c r="D19" s="798" t="str">
        <f>结果表!H111</f>
        <v>——</v>
      </c>
    </row>
    <row r="20" spans="1:5" ht="15.75">
      <c r="B20" s="3182"/>
      <c r="C20" s="1392" t="s">
        <v>919</v>
      </c>
      <c r="D20" s="797" t="e">
        <f>NUMBERSTRING(INT(D19*10000),2)&amp;"元整"</f>
        <v>#VALUE!</v>
      </c>
    </row>
    <row r="21" spans="1:5" ht="15.75" thickBot="1">
      <c r="B21" s="3183"/>
      <c r="C21" s="1399" t="s">
        <v>917</v>
      </c>
      <c r="D21" s="807" t="str">
        <f>结果表!H112</f>
        <v>——</v>
      </c>
    </row>
    <row r="22" spans="1:5" ht="15" thickTop="1">
      <c r="B22" s="1400" t="s">
        <v>920</v>
      </c>
    </row>
    <row r="24" spans="1:5" ht="18.75">
      <c r="A24" s="1401"/>
      <c r="B24" s="1402" t="s">
        <v>911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2077</v>
      </c>
      <c r="B1" s="4"/>
      <c r="C1" s="4"/>
      <c r="D1" s="4"/>
      <c r="E1" s="4"/>
      <c r="F1" s="2544"/>
      <c r="G1" s="2544"/>
      <c r="H1" s="2544"/>
      <c r="I1" s="2544"/>
      <c r="J1" s="2544"/>
      <c r="K1" s="2544"/>
      <c r="L1" s="2544"/>
      <c r="M1" s="2544"/>
      <c r="N1" s="2544"/>
      <c r="O1" s="2544"/>
      <c r="P1" s="2544"/>
    </row>
    <row r="2" spans="1:16" ht="15.75">
      <c r="A2" s="1984" t="s">
        <v>2069</v>
      </c>
      <c r="B2" s="2388">
        <f ca="1">SUMIF(B6:B13,"&lt;&gt;#ref!",B6:B13)</f>
        <v>35</v>
      </c>
      <c r="C2" s="1984" t="s">
        <v>2070</v>
      </c>
      <c r="D2" s="1984" t="s">
        <v>2071</v>
      </c>
      <c r="E2" s="2398">
        <f ca="1">SUMIF(E6:E13,"&lt;&gt;#ref!",E6:E13)</f>
        <v>491.32</v>
      </c>
      <c r="F2" s="2544"/>
      <c r="G2" s="2544"/>
      <c r="H2" s="2544"/>
      <c r="I2" s="2544"/>
      <c r="J2" s="2544"/>
      <c r="K2" s="2544"/>
      <c r="L2" s="2544"/>
      <c r="M2" s="2544"/>
      <c r="N2" s="2544"/>
      <c r="O2" s="2544"/>
      <c r="P2" s="2544"/>
    </row>
    <row r="3" spans="1:16" ht="15.75">
      <c r="A3" s="1984" t="s">
        <v>2072</v>
      </c>
      <c r="B3" s="2388">
        <f ca="1">ROUND(B2*10000/E2,0)</f>
        <v>712</v>
      </c>
      <c r="C3" s="1984" t="s">
        <v>2078</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2073</v>
      </c>
      <c r="B5" s="2396" t="s">
        <v>2074</v>
      </c>
      <c r="C5" s="1985"/>
      <c r="D5" s="2544"/>
      <c r="E5" s="2397" t="s">
        <v>2075</v>
      </c>
      <c r="F5" s="2544"/>
      <c r="G5" s="2544"/>
      <c r="H5" s="2544"/>
      <c r="I5" s="2544"/>
      <c r="J5" s="2544"/>
      <c r="K5" s="2544"/>
      <c r="L5" s="2544"/>
      <c r="M5" s="2544"/>
      <c r="N5" s="2544"/>
      <c r="O5" s="2544"/>
      <c r="P5" s="2544"/>
    </row>
    <row r="6" spans="1:16" ht="15.75">
      <c r="A6" s="2395" t="s">
        <v>2076</v>
      </c>
      <c r="B6" s="2388">
        <f ca="1">SUMIF(INDIRECT("'"&amp;A6&amp;"'"&amp;"!A:A"),"总价",INDIRECT("'"&amp;A6&amp;"'"&amp;"!B:B"))</f>
        <v>35</v>
      </c>
      <c r="C6" s="1984" t="s">
        <v>2070</v>
      </c>
      <c r="D6" s="2544"/>
      <c r="E6" s="2398">
        <f ca="1">SUMIF(INDIRECT("'"&amp;A6&amp;"'"&amp;"!C:C"),"建筑面积",INDIRECT("'"&amp;A6&amp;"'"&amp;"!D:D"))</f>
        <v>491.32</v>
      </c>
      <c r="F6" s="2544"/>
      <c r="G6" s="2544"/>
      <c r="H6" s="2544"/>
      <c r="I6" s="2544"/>
      <c r="J6" s="2544"/>
      <c r="K6" s="2544"/>
      <c r="L6" s="2544"/>
      <c r="M6" s="2544"/>
      <c r="N6" s="2544"/>
      <c r="O6" s="2544"/>
      <c r="P6" s="2544"/>
    </row>
    <row r="7" spans="1:16" ht="15.75">
      <c r="A7" s="2395"/>
      <c r="B7" s="2388" t="e">
        <f ca="1">SUMIF(INDIRECT("'"&amp;A7&amp;"'"&amp;"!A:A"),"总价",INDIRECT("'"&amp;A7&amp;"'"&amp;"!B:B"))</f>
        <v>#REF!</v>
      </c>
      <c r="C7" s="1984" t="s">
        <v>2070</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2070</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2070</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2070</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2070</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2070</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2070</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2588</v>
      </c>
      <c r="B1" s="2811" t="s">
        <v>2589</v>
      </c>
      <c r="C1" s="2811" t="s">
        <v>2590</v>
      </c>
      <c r="D1" s="2811" t="s">
        <v>2591</v>
      </c>
      <c r="E1" s="2811" t="s">
        <v>2592</v>
      </c>
      <c r="F1" s="2811" t="s">
        <v>2593</v>
      </c>
      <c r="G1" s="2811" t="s">
        <v>2594</v>
      </c>
      <c r="H1" s="2811" t="s">
        <v>2595</v>
      </c>
      <c r="I1" s="2811" t="s">
        <v>2596</v>
      </c>
      <c r="J1" s="2811" t="s">
        <v>2597</v>
      </c>
      <c r="K1" s="2811" t="s">
        <v>2598</v>
      </c>
      <c r="L1" s="2811" t="s">
        <v>2599</v>
      </c>
      <c r="M1" s="2812" t="s">
        <v>2600</v>
      </c>
    </row>
    <row r="2" spans="1:13" ht="19.5" customHeight="1">
      <c r="A2" s="2814" t="s">
        <v>2601</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2602</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2603</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2604</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2605</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2606</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2607</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2608</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2609</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2610</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2611</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2612</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2613</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2614</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2615</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2616</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2617</v>
      </c>
      <c r="B18" s="2836"/>
      <c r="C18" s="2837"/>
      <c r="D18" s="2837"/>
      <c r="E18" s="2836"/>
      <c r="F18" s="2837"/>
      <c r="G18" s="2837"/>
    </row>
    <row r="19" spans="1:13" ht="19.5" customHeight="1" thickBot="1">
      <c r="A19" s="2834" t="s">
        <v>2618</v>
      </c>
      <c r="B19" s="2839" t="s">
        <v>2619</v>
      </c>
      <c r="C19" s="2839" t="s">
        <v>2620</v>
      </c>
      <c r="D19" s="2840"/>
      <c r="E19" s="2834" t="s">
        <v>2621</v>
      </c>
      <c r="F19" s="2841"/>
      <c r="G19" s="2841"/>
    </row>
    <row r="20" spans="1:13" ht="19.5" customHeight="1">
      <c r="A20" s="3495" t="s">
        <v>2601</v>
      </c>
      <c r="B20" s="3490" t="s">
        <v>2622</v>
      </c>
      <c r="C20" s="2842" t="s">
        <v>2433</v>
      </c>
      <c r="D20" s="2843"/>
      <c r="E20" s="2844">
        <v>1</v>
      </c>
      <c r="F20" s="2845" t="s">
        <v>2434</v>
      </c>
      <c r="G20" s="2845"/>
    </row>
    <row r="21" spans="1:13" ht="19.5" customHeight="1">
      <c r="A21" s="3496"/>
      <c r="B21" s="3489"/>
      <c r="C21" s="2846" t="s">
        <v>2435</v>
      </c>
      <c r="D21" s="2847"/>
      <c r="E21" s="2848">
        <v>1</v>
      </c>
      <c r="F21" s="2845" t="s">
        <v>2436</v>
      </c>
      <c r="G21" s="2845"/>
    </row>
    <row r="22" spans="1:13" ht="19.5" customHeight="1">
      <c r="A22" s="3496"/>
      <c r="B22" s="3489"/>
      <c r="C22" s="2846" t="s">
        <v>2437</v>
      </c>
      <c r="D22" s="2847"/>
      <c r="E22" s="2848">
        <v>0.9</v>
      </c>
      <c r="F22" s="2845" t="s">
        <v>2438</v>
      </c>
      <c r="G22" s="2845"/>
    </row>
    <row r="23" spans="1:13" ht="19.5" customHeight="1">
      <c r="A23" s="3496"/>
      <c r="B23" s="3489"/>
      <c r="C23" s="2846" t="s">
        <v>2439</v>
      </c>
      <c r="D23" s="2847"/>
      <c r="E23" s="2848">
        <v>0.9</v>
      </c>
      <c r="F23" s="2845" t="s">
        <v>2440</v>
      </c>
      <c r="G23" s="2845"/>
    </row>
    <row r="24" spans="1:13" ht="19.5" customHeight="1">
      <c r="A24" s="3496"/>
      <c r="B24" s="3489"/>
      <c r="C24" s="2846" t="s">
        <v>2441</v>
      </c>
      <c r="D24" s="2847"/>
      <c r="E24" s="2848">
        <v>0.8</v>
      </c>
      <c r="F24" s="2845" t="s">
        <v>2442</v>
      </c>
      <c r="G24" s="2845"/>
    </row>
    <row r="25" spans="1:13" ht="19.5" customHeight="1" thickBot="1">
      <c r="A25" s="3497"/>
      <c r="B25" s="3491"/>
      <c r="C25" s="2849" t="s">
        <v>2443</v>
      </c>
      <c r="D25" s="2850"/>
      <c r="E25" s="2851">
        <v>0.8</v>
      </c>
      <c r="F25" s="2845" t="s">
        <v>2444</v>
      </c>
      <c r="G25" s="2845"/>
    </row>
    <row r="26" spans="1:13" ht="19.5" customHeight="1" thickBot="1">
      <c r="A26" s="2852" t="s">
        <v>2623</v>
      </c>
      <c r="B26" s="2853" t="s">
        <v>2622</v>
      </c>
      <c r="C26" s="2854" t="s">
        <v>2624</v>
      </c>
      <c r="D26" s="2855"/>
      <c r="E26" s="2856">
        <v>1</v>
      </c>
      <c r="F26" s="2845" t="s">
        <v>2445</v>
      </c>
      <c r="G26" s="2845"/>
    </row>
    <row r="27" spans="1:13" ht="19.5" customHeight="1">
      <c r="A27" s="3492" t="s">
        <v>2625</v>
      </c>
      <c r="B27" s="3490" t="s">
        <v>2606</v>
      </c>
      <c r="C27" s="2842" t="s">
        <v>2446</v>
      </c>
      <c r="D27" s="2843"/>
      <c r="E27" s="2844">
        <v>1</v>
      </c>
      <c r="F27" s="2845" t="s">
        <v>2447</v>
      </c>
      <c r="G27" s="2845"/>
    </row>
    <row r="28" spans="1:13" ht="19.5" customHeight="1">
      <c r="A28" s="3493"/>
      <c r="B28" s="3489"/>
      <c r="C28" s="2846" t="s">
        <v>2448</v>
      </c>
      <c r="D28" s="2847"/>
      <c r="E28" s="2848">
        <v>1</v>
      </c>
      <c r="F28" s="2845" t="s">
        <v>2449</v>
      </c>
      <c r="G28" s="2845"/>
    </row>
    <row r="29" spans="1:13" ht="19.5" customHeight="1">
      <c r="A29" s="3493"/>
      <c r="B29" s="3489"/>
      <c r="C29" s="2846" t="s">
        <v>2450</v>
      </c>
      <c r="D29" s="2847"/>
      <c r="E29" s="2848">
        <v>0.8</v>
      </c>
      <c r="F29" s="2845" t="s">
        <v>2451</v>
      </c>
      <c r="G29" s="2845"/>
    </row>
    <row r="30" spans="1:13" ht="19.5" customHeight="1">
      <c r="A30" s="3493"/>
      <c r="B30" s="3489"/>
      <c r="C30" s="2846" t="s">
        <v>2452</v>
      </c>
      <c r="D30" s="2847"/>
      <c r="E30" s="2848">
        <v>0.8</v>
      </c>
      <c r="F30" s="2845" t="s">
        <v>2453</v>
      </c>
      <c r="G30" s="2845"/>
    </row>
    <row r="31" spans="1:13" ht="19.5" customHeight="1">
      <c r="A31" s="3493"/>
      <c r="B31" s="3489"/>
      <c r="C31" s="2846" t="s">
        <v>2454</v>
      </c>
      <c r="D31" s="2847"/>
      <c r="E31" s="2848">
        <v>0.8</v>
      </c>
      <c r="F31" s="2845" t="s">
        <v>2455</v>
      </c>
      <c r="G31" s="2845"/>
    </row>
    <row r="32" spans="1:13" ht="19.5" customHeight="1">
      <c r="A32" s="3493"/>
      <c r="B32" s="3489"/>
      <c r="C32" s="2846" t="s">
        <v>2456</v>
      </c>
      <c r="D32" s="2847"/>
      <c r="E32" s="2848">
        <v>0.7</v>
      </c>
      <c r="F32" s="2845" t="s">
        <v>2457</v>
      </c>
      <c r="G32" s="2845"/>
    </row>
    <row r="33" spans="1:7" ht="19.5" customHeight="1">
      <c r="A33" s="3493"/>
      <c r="B33" s="3489"/>
      <c r="C33" s="2846" t="s">
        <v>2458</v>
      </c>
      <c r="D33" s="2847"/>
      <c r="E33" s="2848">
        <v>0.8</v>
      </c>
      <c r="F33" s="2845" t="s">
        <v>2459</v>
      </c>
      <c r="G33" s="2845"/>
    </row>
    <row r="34" spans="1:7" ht="19.5" customHeight="1">
      <c r="A34" s="3493"/>
      <c r="B34" s="3489"/>
      <c r="C34" s="2846" t="s">
        <v>2460</v>
      </c>
      <c r="D34" s="2847"/>
      <c r="E34" s="2848">
        <v>0.6</v>
      </c>
      <c r="F34" s="2845" t="s">
        <v>2461</v>
      </c>
      <c r="G34" s="2845"/>
    </row>
    <row r="35" spans="1:7" ht="19.5" customHeight="1">
      <c r="A35" s="3493"/>
      <c r="B35" s="3489"/>
      <c r="C35" s="2846" t="s">
        <v>2462</v>
      </c>
      <c r="D35" s="2847"/>
      <c r="E35" s="2848">
        <v>0.2</v>
      </c>
      <c r="F35" s="2845" t="s">
        <v>2463</v>
      </c>
      <c r="G35" s="2845"/>
    </row>
    <row r="36" spans="1:7" ht="19.5" customHeight="1">
      <c r="A36" s="3493"/>
      <c r="B36" s="3489"/>
      <c r="C36" s="2846" t="s">
        <v>2464</v>
      </c>
      <c r="D36" s="2847"/>
      <c r="E36" s="2848">
        <v>0.2</v>
      </c>
      <c r="F36" s="2845" t="s">
        <v>2465</v>
      </c>
      <c r="G36" s="2845"/>
    </row>
    <row r="37" spans="1:7" ht="19.5" customHeight="1">
      <c r="A37" s="3493"/>
      <c r="B37" s="3487" t="s">
        <v>2626</v>
      </c>
      <c r="C37" s="2846" t="s">
        <v>2466</v>
      </c>
      <c r="D37" s="2847"/>
      <c r="E37" s="2848">
        <v>0.6</v>
      </c>
      <c r="F37" s="2845" t="s">
        <v>2467</v>
      </c>
      <c r="G37" s="2845"/>
    </row>
    <row r="38" spans="1:7" ht="19.5" customHeight="1">
      <c r="A38" s="3493"/>
      <c r="B38" s="3489"/>
      <c r="C38" s="2846" t="s">
        <v>2468</v>
      </c>
      <c r="D38" s="2847"/>
      <c r="E38" s="2848">
        <v>0.6</v>
      </c>
      <c r="F38" s="2845" t="s">
        <v>2469</v>
      </c>
      <c r="G38" s="2845"/>
    </row>
    <row r="39" spans="1:7" ht="19.5" customHeight="1" thickBot="1">
      <c r="A39" s="3494"/>
      <c r="B39" s="3491"/>
      <c r="C39" s="2849" t="s">
        <v>2470</v>
      </c>
      <c r="D39" s="2850"/>
      <c r="E39" s="2851">
        <v>0.6</v>
      </c>
      <c r="F39" s="2845" t="s">
        <v>2471</v>
      </c>
      <c r="G39" s="2845"/>
    </row>
    <row r="40" spans="1:7" ht="19.5" customHeight="1" thickBot="1">
      <c r="A40" s="2852" t="s">
        <v>2603</v>
      </c>
      <c r="B40" s="2853" t="s">
        <v>2603</v>
      </c>
      <c r="C40" s="2854" t="s">
        <v>2627</v>
      </c>
      <c r="D40" s="2855"/>
      <c r="E40" s="2856">
        <v>1</v>
      </c>
      <c r="F40" s="2845" t="s">
        <v>2472</v>
      </c>
      <c r="G40" s="2845"/>
    </row>
    <row r="41" spans="1:7" ht="19.5" customHeight="1">
      <c r="A41" s="3495" t="s">
        <v>2604</v>
      </c>
      <c r="B41" s="3490" t="s">
        <v>2628</v>
      </c>
      <c r="C41" s="2842" t="s">
        <v>2473</v>
      </c>
      <c r="D41" s="2843"/>
      <c r="E41" s="2844">
        <v>1</v>
      </c>
      <c r="F41" s="2845" t="s">
        <v>2474</v>
      </c>
      <c r="G41" s="2845"/>
    </row>
    <row r="42" spans="1:7" ht="19.5" customHeight="1">
      <c r="A42" s="3496"/>
      <c r="B42" s="3489"/>
      <c r="C42" s="2846" t="s">
        <v>2475</v>
      </c>
      <c r="D42" s="2847"/>
      <c r="E42" s="2848">
        <v>1</v>
      </c>
      <c r="F42" s="2845" t="s">
        <v>2476</v>
      </c>
      <c r="G42" s="2845"/>
    </row>
    <row r="43" spans="1:7" ht="19.5" customHeight="1">
      <c r="A43" s="3496"/>
      <c r="B43" s="3488"/>
      <c r="C43" s="2846" t="s">
        <v>2477</v>
      </c>
      <c r="D43" s="2847"/>
      <c r="E43" s="2848">
        <v>1.5</v>
      </c>
      <c r="F43" s="2845" t="s">
        <v>2478</v>
      </c>
      <c r="G43" s="2845"/>
    </row>
    <row r="44" spans="1:7" ht="19.5" customHeight="1">
      <c r="A44" s="3496"/>
      <c r="B44" s="2857" t="s">
        <v>2629</v>
      </c>
      <c r="C44" s="2846" t="s">
        <v>2630</v>
      </c>
      <c r="D44" s="2847"/>
      <c r="E44" s="2848">
        <v>2</v>
      </c>
      <c r="F44" s="2845" t="s">
        <v>2479</v>
      </c>
      <c r="G44" s="2845"/>
    </row>
    <row r="45" spans="1:7" ht="19.5" customHeight="1">
      <c r="A45" s="3496"/>
      <c r="B45" s="3487" t="s">
        <v>2631</v>
      </c>
      <c r="C45" s="2846" t="s">
        <v>2480</v>
      </c>
      <c r="D45" s="2847"/>
      <c r="E45" s="2848">
        <v>1</v>
      </c>
      <c r="F45" s="2845" t="s">
        <v>2481</v>
      </c>
      <c r="G45" s="2845"/>
    </row>
    <row r="46" spans="1:7" ht="19.5" customHeight="1">
      <c r="A46" s="3496"/>
      <c r="B46" s="3489"/>
      <c r="C46" s="2846" t="s">
        <v>2482</v>
      </c>
      <c r="D46" s="2847"/>
      <c r="E46" s="2848">
        <v>1</v>
      </c>
      <c r="F46" s="2845" t="s">
        <v>2483</v>
      </c>
      <c r="G46" s="2845"/>
    </row>
    <row r="47" spans="1:7" ht="19.5" customHeight="1">
      <c r="A47" s="3496"/>
      <c r="B47" s="3489"/>
      <c r="C47" s="2846" t="s">
        <v>2484</v>
      </c>
      <c r="D47" s="2847"/>
      <c r="E47" s="2848">
        <v>1</v>
      </c>
      <c r="F47" s="2845" t="s">
        <v>2485</v>
      </c>
      <c r="G47" s="2845"/>
    </row>
    <row r="48" spans="1:7" ht="19.5" customHeight="1">
      <c r="A48" s="3496"/>
      <c r="B48" s="3489"/>
      <c r="C48" s="2846" t="s">
        <v>2486</v>
      </c>
      <c r="D48" s="2847"/>
      <c r="E48" s="2848">
        <v>1</v>
      </c>
      <c r="F48" s="2845" t="s">
        <v>2487</v>
      </c>
      <c r="G48" s="2845"/>
    </row>
    <row r="49" spans="1:7" ht="19.5" customHeight="1">
      <c r="A49" s="3496"/>
      <c r="B49" s="3489"/>
      <c r="C49" s="2846" t="s">
        <v>2488</v>
      </c>
      <c r="D49" s="2847"/>
      <c r="E49" s="2848">
        <v>1</v>
      </c>
      <c r="F49" s="2845" t="s">
        <v>2489</v>
      </c>
      <c r="G49" s="2845"/>
    </row>
    <row r="50" spans="1:7" ht="19.5" customHeight="1">
      <c r="A50" s="3496"/>
      <c r="B50" s="3489"/>
      <c r="C50" s="2846" t="s">
        <v>2490</v>
      </c>
      <c r="D50" s="2847"/>
      <c r="E50" s="2848">
        <v>1</v>
      </c>
      <c r="F50" s="2845" t="s">
        <v>2491</v>
      </c>
      <c r="G50" s="2845"/>
    </row>
    <row r="51" spans="1:7" ht="19.5" customHeight="1" thickBot="1">
      <c r="A51" s="3497"/>
      <c r="B51" s="3491"/>
      <c r="C51" s="2849" t="s">
        <v>2492</v>
      </c>
      <c r="D51" s="2850"/>
      <c r="E51" s="2851">
        <v>1</v>
      </c>
      <c r="F51" s="2845" t="s">
        <v>2493</v>
      </c>
      <c r="G51" s="2845"/>
    </row>
    <row r="52" spans="1:7" ht="19.5" customHeight="1">
      <c r="A52" s="2858"/>
      <c r="B52" s="2858"/>
      <c r="C52" s="2858"/>
      <c r="D52" s="2858"/>
      <c r="E52" s="2858"/>
      <c r="F52" s="2858"/>
      <c r="G52" s="2858"/>
    </row>
    <row r="54" spans="1:7" ht="19.5" customHeight="1">
      <c r="A54" s="2859"/>
      <c r="B54" s="2831" t="s">
        <v>2632</v>
      </c>
      <c r="C54" s="2831" t="s">
        <v>2632</v>
      </c>
      <c r="D54" s="2831" t="s">
        <v>2632</v>
      </c>
      <c r="E54" s="2834" t="s">
        <v>2632</v>
      </c>
      <c r="F54" s="2834" t="s">
        <v>2633</v>
      </c>
      <c r="G54" s="2834" t="s">
        <v>2634</v>
      </c>
    </row>
    <row r="55" spans="1:7" ht="19.5" customHeight="1">
      <c r="A55" s="2860"/>
      <c r="B55" s="2834" t="s">
        <v>2601</v>
      </c>
      <c r="C55" s="2834" t="s">
        <v>2601</v>
      </c>
      <c r="D55" s="2834" t="s">
        <v>2601</v>
      </c>
      <c r="E55" s="2831" t="s">
        <v>2602</v>
      </c>
      <c r="F55" s="2831" t="s">
        <v>2604</v>
      </c>
      <c r="G55" s="2831" t="s">
        <v>2635</v>
      </c>
    </row>
    <row r="56" spans="1:7" ht="19.5" customHeight="1">
      <c r="A56" s="2861"/>
      <c r="B56" s="2831">
        <v>1</v>
      </c>
      <c r="C56" s="2831">
        <v>2</v>
      </c>
      <c r="D56" s="2831">
        <v>3</v>
      </c>
      <c r="E56" s="2862" t="s">
        <v>2636</v>
      </c>
      <c r="F56" s="2862" t="s">
        <v>2636</v>
      </c>
      <c r="G56" s="2862" t="s">
        <v>2636</v>
      </c>
    </row>
    <row r="57" spans="1:7" ht="19.5" customHeight="1">
      <c r="A57" s="2863" t="s">
        <v>2589</v>
      </c>
      <c r="B57" s="2831">
        <v>0.7</v>
      </c>
      <c r="C57" s="2831">
        <v>0.4</v>
      </c>
      <c r="D57" s="2831">
        <v>0.3</v>
      </c>
      <c r="E57" s="2862">
        <v>0.3</v>
      </c>
      <c r="F57" s="2831">
        <v>0.3</v>
      </c>
      <c r="G57" s="2831">
        <v>0.2</v>
      </c>
    </row>
    <row r="58" spans="1:7" ht="19.5" customHeight="1">
      <c r="A58" s="2863" t="s">
        <v>2590</v>
      </c>
      <c r="B58" s="2831">
        <v>0.7</v>
      </c>
      <c r="C58" s="2831">
        <v>0.4</v>
      </c>
      <c r="D58" s="2831">
        <v>0.3</v>
      </c>
      <c r="E58" s="2831">
        <v>0.3</v>
      </c>
      <c r="F58" s="2831">
        <v>0.3</v>
      </c>
      <c r="G58" s="2831">
        <v>0.2</v>
      </c>
    </row>
    <row r="59" spans="1:7" ht="19.5" customHeight="1">
      <c r="A59" s="2863" t="s">
        <v>2591</v>
      </c>
      <c r="B59" s="2831">
        <v>0.6</v>
      </c>
      <c r="C59" s="2831">
        <v>0.3</v>
      </c>
      <c r="D59" s="2831">
        <v>0.25</v>
      </c>
      <c r="E59" s="2831">
        <v>0.25</v>
      </c>
      <c r="F59" s="2831">
        <v>0.25</v>
      </c>
      <c r="G59" s="2831">
        <v>0.15</v>
      </c>
    </row>
    <row r="60" spans="1:7" ht="19.5" customHeight="1">
      <c r="A60" s="2863" t="s">
        <v>2592</v>
      </c>
      <c r="B60" s="2831">
        <v>0.6</v>
      </c>
      <c r="C60" s="2831">
        <v>0.3</v>
      </c>
      <c r="D60" s="2831">
        <v>0.25</v>
      </c>
      <c r="E60" s="2831">
        <v>0.25</v>
      </c>
      <c r="F60" s="2831">
        <v>0.25</v>
      </c>
      <c r="G60" s="2831">
        <v>0.15</v>
      </c>
    </row>
    <row r="61" spans="1:7" ht="19.5" customHeight="1">
      <c r="A61" s="2863" t="s">
        <v>2593</v>
      </c>
      <c r="B61" s="2831">
        <v>0.6</v>
      </c>
      <c r="C61" s="2831">
        <v>0.3</v>
      </c>
      <c r="D61" s="2831">
        <v>0.25</v>
      </c>
      <c r="E61" s="2831">
        <v>0.25</v>
      </c>
      <c r="F61" s="2831">
        <v>0.25</v>
      </c>
      <c r="G61" s="2831">
        <v>0.15</v>
      </c>
    </row>
    <row r="62" spans="1:7" ht="19.5" customHeight="1">
      <c r="A62" s="2863" t="s">
        <v>2594</v>
      </c>
      <c r="B62" s="2831">
        <v>0.6</v>
      </c>
      <c r="C62" s="2831">
        <v>0.3</v>
      </c>
      <c r="D62" s="2831">
        <v>0.25</v>
      </c>
      <c r="E62" s="2831">
        <v>0.25</v>
      </c>
      <c r="F62" s="2831">
        <v>0.25</v>
      </c>
      <c r="G62" s="2831">
        <v>0.15</v>
      </c>
    </row>
    <row r="63" spans="1:7" ht="19.5" customHeight="1">
      <c r="A63" s="2863" t="s">
        <v>2595</v>
      </c>
      <c r="B63" s="2831">
        <v>0.6</v>
      </c>
      <c r="C63" s="2831">
        <v>0.3</v>
      </c>
      <c r="D63" s="2831">
        <v>0.25</v>
      </c>
      <c r="E63" s="2831">
        <v>0.25</v>
      </c>
      <c r="F63" s="2831">
        <v>0.25</v>
      </c>
      <c r="G63" s="2831">
        <v>0.15</v>
      </c>
    </row>
    <row r="64" spans="1:7" ht="19.5" customHeight="1">
      <c r="A64" s="2863" t="s">
        <v>2596</v>
      </c>
      <c r="B64" s="2831">
        <v>0.5</v>
      </c>
      <c r="C64" s="2831">
        <v>0.2</v>
      </c>
      <c r="D64" s="2831">
        <v>0.2</v>
      </c>
      <c r="E64" s="2831">
        <v>0.2</v>
      </c>
      <c r="F64" s="2831">
        <v>0.2</v>
      </c>
      <c r="G64" s="2831">
        <v>0.1</v>
      </c>
    </row>
    <row r="65" spans="1:7" ht="19.5" customHeight="1">
      <c r="A65" s="2863" t="s">
        <v>2597</v>
      </c>
      <c r="B65" s="2831">
        <v>0.5</v>
      </c>
      <c r="C65" s="2831">
        <v>0.2</v>
      </c>
      <c r="D65" s="2831">
        <v>0.2</v>
      </c>
      <c r="E65" s="2831">
        <v>0.2</v>
      </c>
      <c r="F65" s="2831">
        <v>0.2</v>
      </c>
      <c r="G65" s="2831">
        <v>0.1</v>
      </c>
    </row>
    <row r="66" spans="1:7" ht="19.5" customHeight="1">
      <c r="A66" s="2863" t="s">
        <v>2598</v>
      </c>
      <c r="B66" s="2831">
        <v>0.5</v>
      </c>
      <c r="C66" s="2831">
        <v>0.2</v>
      </c>
      <c r="D66" s="2831">
        <v>0.2</v>
      </c>
      <c r="E66" s="2831">
        <v>0.2</v>
      </c>
      <c r="F66" s="2831">
        <v>0.2</v>
      </c>
      <c r="G66" s="2831">
        <v>0.1</v>
      </c>
    </row>
    <row r="67" spans="1:7" ht="19.5" customHeight="1">
      <c r="A67" s="2863" t="s">
        <v>2599</v>
      </c>
      <c r="B67" s="2831">
        <v>0.5</v>
      </c>
      <c r="C67" s="2831">
        <v>0.2</v>
      </c>
      <c r="D67" s="2831">
        <v>0.2</v>
      </c>
      <c r="E67" s="2831">
        <v>0.2</v>
      </c>
      <c r="F67" s="2831">
        <v>0.2</v>
      </c>
      <c r="G67" s="2831">
        <v>0.1</v>
      </c>
    </row>
    <row r="68" spans="1:7" ht="19.5" customHeight="1">
      <c r="A68" s="2863" t="s">
        <v>2600</v>
      </c>
      <c r="B68" s="2831">
        <v>0.5</v>
      </c>
      <c r="C68" s="2831">
        <v>0.2</v>
      </c>
      <c r="D68" s="2831">
        <v>0.2</v>
      </c>
      <c r="E68" s="2831">
        <v>0.2</v>
      </c>
      <c r="F68" s="2831">
        <v>0.2</v>
      </c>
      <c r="G68" s="2831">
        <v>0.1</v>
      </c>
    </row>
    <row r="70" spans="1:7" ht="19.5" customHeight="1">
      <c r="A70" s="2845"/>
      <c r="B70" s="2864"/>
      <c r="C70" s="2864"/>
      <c r="D70" s="2864" t="s">
        <v>2637</v>
      </c>
      <c r="E70" s="2864"/>
      <c r="F70" s="2864"/>
    </row>
    <row r="71" spans="1:7" ht="19.5" customHeight="1">
      <c r="A71" s="2857" t="s">
        <v>2638</v>
      </c>
      <c r="B71" s="2857" t="s">
        <v>2639</v>
      </c>
      <c r="C71" s="2857" t="s">
        <v>2640</v>
      </c>
      <c r="D71" s="2857" t="s">
        <v>2641</v>
      </c>
      <c r="E71" s="2857" t="s">
        <v>2642</v>
      </c>
      <c r="F71" s="2857" t="s">
        <v>2643</v>
      </c>
    </row>
    <row r="72" spans="1:7" ht="13.5">
      <c r="A72" s="2857"/>
      <c r="B72" s="2857"/>
      <c r="C72" s="2857" t="s">
        <v>2644</v>
      </c>
      <c r="D72" s="2857"/>
      <c r="E72" s="2857" t="s">
        <v>2615</v>
      </c>
      <c r="F72" s="2857" t="s">
        <v>2615</v>
      </c>
    </row>
    <row r="73" spans="1:7" ht="13.5">
      <c r="A73" s="2857">
        <v>1</v>
      </c>
      <c r="B73" s="3487" t="s">
        <v>2645</v>
      </c>
      <c r="C73" s="2831" t="s">
        <v>2646</v>
      </c>
      <c r="D73" s="2831" t="s">
        <v>2647</v>
      </c>
      <c r="E73" s="2857">
        <v>0.2</v>
      </c>
      <c r="F73" s="2857">
        <v>25</v>
      </c>
    </row>
    <row r="74" spans="1:7" ht="24">
      <c r="A74" s="2857">
        <v>2</v>
      </c>
      <c r="B74" s="3489"/>
      <c r="C74" s="2831" t="s">
        <v>2648</v>
      </c>
      <c r="D74" s="2831" t="s">
        <v>2649</v>
      </c>
      <c r="E74" s="2857">
        <v>0.2</v>
      </c>
      <c r="F74" s="2857">
        <v>25</v>
      </c>
    </row>
    <row r="75" spans="1:7" ht="24">
      <c r="A75" s="2857">
        <v>3</v>
      </c>
      <c r="B75" s="3489"/>
      <c r="C75" s="2831" t="s">
        <v>2650</v>
      </c>
      <c r="D75" s="2831" t="s">
        <v>2651</v>
      </c>
      <c r="E75" s="2857">
        <v>0.2</v>
      </c>
      <c r="F75" s="2857">
        <v>25</v>
      </c>
    </row>
    <row r="76" spans="1:7" ht="13.5">
      <c r="A76" s="2857">
        <v>4</v>
      </c>
      <c r="B76" s="3489"/>
      <c r="C76" s="2831" t="s">
        <v>2652</v>
      </c>
      <c r="D76" s="2831" t="s">
        <v>2653</v>
      </c>
      <c r="E76" s="2857">
        <v>0.15</v>
      </c>
      <c r="F76" s="2857">
        <v>20</v>
      </c>
    </row>
    <row r="77" spans="1:7" ht="24">
      <c r="A77" s="2857">
        <v>5</v>
      </c>
      <c r="B77" s="3489"/>
      <c r="C77" s="2831" t="s">
        <v>2654</v>
      </c>
      <c r="D77" s="2831" t="s">
        <v>2655</v>
      </c>
      <c r="E77" s="2857">
        <v>0.15</v>
      </c>
      <c r="F77" s="2857">
        <v>20</v>
      </c>
    </row>
    <row r="78" spans="1:7" ht="24">
      <c r="A78" s="2857">
        <v>6</v>
      </c>
      <c r="B78" s="3489"/>
      <c r="C78" s="2831" t="s">
        <v>2656</v>
      </c>
      <c r="D78" s="2831" t="s">
        <v>2657</v>
      </c>
      <c r="E78" s="2857">
        <v>0.15</v>
      </c>
      <c r="F78" s="2857">
        <v>20</v>
      </c>
    </row>
    <row r="79" spans="1:7" ht="24">
      <c r="A79" s="2857">
        <v>7</v>
      </c>
      <c r="B79" s="3489"/>
      <c r="C79" s="2831" t="s">
        <v>2658</v>
      </c>
      <c r="D79" s="2831" t="s">
        <v>2659</v>
      </c>
      <c r="E79" s="2857">
        <v>0.15</v>
      </c>
      <c r="F79" s="2857">
        <v>20</v>
      </c>
    </row>
    <row r="80" spans="1:7" ht="24">
      <c r="A80" s="2857">
        <v>8</v>
      </c>
      <c r="B80" s="3489"/>
      <c r="C80" s="2831" t="s">
        <v>2660</v>
      </c>
      <c r="D80" s="2831" t="s">
        <v>2661</v>
      </c>
      <c r="E80" s="2857">
        <v>0.1</v>
      </c>
      <c r="F80" s="2857">
        <v>15</v>
      </c>
    </row>
    <row r="81" spans="1:6" ht="24">
      <c r="A81" s="2857">
        <v>9</v>
      </c>
      <c r="B81" s="3489"/>
      <c r="C81" s="2831" t="s">
        <v>2662</v>
      </c>
      <c r="D81" s="2831" t="s">
        <v>2663</v>
      </c>
      <c r="E81" s="2857">
        <v>0.1</v>
      </c>
      <c r="F81" s="2857">
        <v>15</v>
      </c>
    </row>
    <row r="82" spans="1:6" ht="24">
      <c r="A82" s="2857">
        <v>10</v>
      </c>
      <c r="B82" s="3489"/>
      <c r="C82" s="2831" t="s">
        <v>2664</v>
      </c>
      <c r="D82" s="2831" t="s">
        <v>2665</v>
      </c>
      <c r="E82" s="2857">
        <v>0.1</v>
      </c>
      <c r="F82" s="2857">
        <v>15</v>
      </c>
    </row>
    <row r="83" spans="1:6" ht="24">
      <c r="A83" s="2857">
        <v>11</v>
      </c>
      <c r="B83" s="3489"/>
      <c r="C83" s="2831" t="s">
        <v>2666</v>
      </c>
      <c r="D83" s="2831" t="s">
        <v>2667</v>
      </c>
      <c r="E83" s="2857">
        <v>0.1</v>
      </c>
      <c r="F83" s="2857">
        <v>15</v>
      </c>
    </row>
    <row r="84" spans="1:6" ht="24">
      <c r="A84" s="2857">
        <v>12</v>
      </c>
      <c r="B84" s="3489"/>
      <c r="C84" s="2831" t="s">
        <v>2668</v>
      </c>
      <c r="D84" s="2831" t="s">
        <v>2669</v>
      </c>
      <c r="E84" s="2857">
        <v>0.1</v>
      </c>
      <c r="F84" s="2857">
        <v>15</v>
      </c>
    </row>
    <row r="85" spans="1:6" ht="13.5">
      <c r="A85" s="2857">
        <v>13</v>
      </c>
      <c r="B85" s="3489"/>
      <c r="C85" s="2831" t="s">
        <v>2670</v>
      </c>
      <c r="D85" s="2831" t="s">
        <v>2671</v>
      </c>
      <c r="E85" s="2857">
        <v>0.1</v>
      </c>
      <c r="F85" s="2857">
        <v>15</v>
      </c>
    </row>
    <row r="86" spans="1:6" ht="13.5">
      <c r="A86" s="2857">
        <v>14</v>
      </c>
      <c r="B86" s="3489"/>
      <c r="C86" s="2831" t="s">
        <v>2672</v>
      </c>
      <c r="D86" s="2831" t="s">
        <v>2673</v>
      </c>
      <c r="E86" s="2857">
        <v>0.1</v>
      </c>
      <c r="F86" s="2857">
        <v>15</v>
      </c>
    </row>
    <row r="87" spans="1:6" ht="13.5">
      <c r="A87" s="2857">
        <v>15</v>
      </c>
      <c r="B87" s="3489"/>
      <c r="C87" s="2831" t="s">
        <v>2674</v>
      </c>
      <c r="D87" s="2831" t="s">
        <v>2675</v>
      </c>
      <c r="E87" s="2857">
        <v>0.1</v>
      </c>
      <c r="F87" s="2857">
        <v>15</v>
      </c>
    </row>
    <row r="88" spans="1:6" ht="24">
      <c r="A88" s="2857">
        <v>16</v>
      </c>
      <c r="B88" s="3489"/>
      <c r="C88" s="2831" t="s">
        <v>2676</v>
      </c>
      <c r="D88" s="2831" t="s">
        <v>2677</v>
      </c>
      <c r="E88" s="2857">
        <v>0.1</v>
      </c>
      <c r="F88" s="2857">
        <v>15</v>
      </c>
    </row>
    <row r="89" spans="1:6" ht="24">
      <c r="A89" s="2857">
        <v>17</v>
      </c>
      <c r="B89" s="3488"/>
      <c r="C89" s="2831" t="s">
        <v>2678</v>
      </c>
      <c r="D89" s="2831" t="s">
        <v>2679</v>
      </c>
      <c r="E89" s="2857">
        <v>0.1</v>
      </c>
      <c r="F89" s="2857">
        <v>15</v>
      </c>
    </row>
    <row r="90" spans="1:6" ht="13.5">
      <c r="A90" s="2857">
        <v>18</v>
      </c>
      <c r="B90" s="3487" t="s">
        <v>2680</v>
      </c>
      <c r="C90" s="2831" t="s">
        <v>2681</v>
      </c>
      <c r="D90" s="2831" t="s">
        <v>2682</v>
      </c>
      <c r="E90" s="2857">
        <v>0.2</v>
      </c>
      <c r="F90" s="2857">
        <v>25</v>
      </c>
    </row>
    <row r="91" spans="1:6" ht="24">
      <c r="A91" s="2857">
        <v>19</v>
      </c>
      <c r="B91" s="3489"/>
      <c r="C91" s="2831" t="s">
        <v>2683</v>
      </c>
      <c r="D91" s="2831" t="s">
        <v>2684</v>
      </c>
      <c r="E91" s="2857">
        <v>0.2</v>
      </c>
      <c r="F91" s="2857">
        <v>25</v>
      </c>
    </row>
    <row r="92" spans="1:6" ht="13.5">
      <c r="A92" s="2857">
        <v>20</v>
      </c>
      <c r="B92" s="3489"/>
      <c r="C92" s="2831" t="s">
        <v>2685</v>
      </c>
      <c r="D92" s="2831" t="s">
        <v>2686</v>
      </c>
      <c r="E92" s="2857">
        <v>0.15</v>
      </c>
      <c r="F92" s="2857">
        <v>20</v>
      </c>
    </row>
    <row r="93" spans="1:6" ht="13.5">
      <c r="A93" s="2857">
        <v>21</v>
      </c>
      <c r="B93" s="3489"/>
      <c r="C93" s="2831" t="s">
        <v>2687</v>
      </c>
      <c r="D93" s="2831" t="s">
        <v>2688</v>
      </c>
      <c r="E93" s="2857">
        <v>0.15</v>
      </c>
      <c r="F93" s="2857">
        <v>20</v>
      </c>
    </row>
    <row r="94" spans="1:6" ht="13.5">
      <c r="A94" s="2857">
        <v>22</v>
      </c>
      <c r="B94" s="3489"/>
      <c r="C94" s="2831" t="s">
        <v>2689</v>
      </c>
      <c r="D94" s="2831" t="s">
        <v>2690</v>
      </c>
      <c r="E94" s="2857">
        <v>0.15</v>
      </c>
      <c r="F94" s="2857">
        <v>20</v>
      </c>
    </row>
    <row r="95" spans="1:6" ht="36">
      <c r="A95" s="2857">
        <v>23</v>
      </c>
      <c r="B95" s="3489"/>
      <c r="C95" s="2831" t="s">
        <v>2691</v>
      </c>
      <c r="D95" s="2831" t="s">
        <v>2692</v>
      </c>
      <c r="E95" s="2857">
        <v>0.15</v>
      </c>
      <c r="F95" s="2857">
        <v>20</v>
      </c>
    </row>
    <row r="96" spans="1:6" ht="13.5">
      <c r="A96" s="2857">
        <v>24</v>
      </c>
      <c r="B96" s="3489"/>
      <c r="C96" s="2831" t="s">
        <v>2693</v>
      </c>
      <c r="D96" s="2831" t="s">
        <v>2694</v>
      </c>
      <c r="E96" s="2857">
        <v>0.1</v>
      </c>
      <c r="F96" s="2857">
        <v>15</v>
      </c>
    </row>
    <row r="97" spans="1:6" ht="13.5">
      <c r="A97" s="2857">
        <v>25</v>
      </c>
      <c r="B97" s="3489"/>
      <c r="C97" s="2831" t="s">
        <v>2695</v>
      </c>
      <c r="D97" s="2831" t="s">
        <v>2696</v>
      </c>
      <c r="E97" s="2857">
        <v>0.1</v>
      </c>
      <c r="F97" s="2857">
        <v>15</v>
      </c>
    </row>
    <row r="98" spans="1:6" ht="24">
      <c r="A98" s="2857">
        <v>26</v>
      </c>
      <c r="B98" s="3489"/>
      <c r="C98" s="2831" t="s">
        <v>2697</v>
      </c>
      <c r="D98" s="2831" t="s">
        <v>2698</v>
      </c>
      <c r="E98" s="2857">
        <v>0.1</v>
      </c>
      <c r="F98" s="2857">
        <v>15</v>
      </c>
    </row>
    <row r="99" spans="1:6" ht="24">
      <c r="A99" s="2857">
        <v>27</v>
      </c>
      <c r="B99" s="3489"/>
      <c r="C99" s="2831" t="s">
        <v>2699</v>
      </c>
      <c r="D99" s="2831" t="s">
        <v>2700</v>
      </c>
      <c r="E99" s="2857">
        <v>0.1</v>
      </c>
      <c r="F99" s="2857">
        <v>15</v>
      </c>
    </row>
    <row r="100" spans="1:6" ht="13.5">
      <c r="A100" s="2857">
        <v>28</v>
      </c>
      <c r="B100" s="3489"/>
      <c r="C100" s="2831" t="s">
        <v>2701</v>
      </c>
      <c r="D100" s="2831" t="s">
        <v>2702</v>
      </c>
      <c r="E100" s="2857">
        <v>0.1</v>
      </c>
      <c r="F100" s="2857">
        <v>15</v>
      </c>
    </row>
    <row r="101" spans="1:6" ht="13.5">
      <c r="A101" s="2857">
        <v>29</v>
      </c>
      <c r="B101" s="3489"/>
      <c r="C101" s="2831" t="s">
        <v>2703</v>
      </c>
      <c r="D101" s="2831" t="s">
        <v>2704</v>
      </c>
      <c r="E101" s="2857">
        <v>0.1</v>
      </c>
      <c r="F101" s="2857">
        <v>15</v>
      </c>
    </row>
    <row r="102" spans="1:6" ht="13.5">
      <c r="A102" s="2857">
        <v>30</v>
      </c>
      <c r="B102" s="3489"/>
      <c r="C102" s="2831" t="s">
        <v>2705</v>
      </c>
      <c r="D102" s="2831" t="s">
        <v>2706</v>
      </c>
      <c r="E102" s="2857">
        <v>0.1</v>
      </c>
      <c r="F102" s="2857">
        <v>15</v>
      </c>
    </row>
    <row r="103" spans="1:6" ht="24">
      <c r="A103" s="2857">
        <v>31</v>
      </c>
      <c r="B103" s="3489"/>
      <c r="C103" s="2831" t="s">
        <v>2707</v>
      </c>
      <c r="D103" s="2831" t="s">
        <v>2708</v>
      </c>
      <c r="E103" s="2857">
        <v>0.1</v>
      </c>
      <c r="F103" s="2857">
        <v>15</v>
      </c>
    </row>
    <row r="104" spans="1:6" ht="24">
      <c r="A104" s="2857">
        <v>32</v>
      </c>
      <c r="B104" s="3489"/>
      <c r="C104" s="2831" t="s">
        <v>2709</v>
      </c>
      <c r="D104" s="2831" t="s">
        <v>2710</v>
      </c>
      <c r="E104" s="2857">
        <v>0.1</v>
      </c>
      <c r="F104" s="2857">
        <v>15</v>
      </c>
    </row>
    <row r="105" spans="1:6" ht="24">
      <c r="A105" s="2857">
        <v>33</v>
      </c>
      <c r="B105" s="3489"/>
      <c r="C105" s="2831" t="s">
        <v>2711</v>
      </c>
      <c r="D105" s="2831" t="s">
        <v>2712</v>
      </c>
      <c r="E105" s="2857">
        <v>0.1</v>
      </c>
      <c r="F105" s="2857">
        <v>15</v>
      </c>
    </row>
    <row r="106" spans="1:6" ht="24">
      <c r="A106" s="2857">
        <v>34</v>
      </c>
      <c r="B106" s="3488"/>
      <c r="C106" s="2831" t="s">
        <v>2713</v>
      </c>
      <c r="D106" s="2831" t="s">
        <v>2714</v>
      </c>
      <c r="E106" s="2857">
        <v>0.1</v>
      </c>
      <c r="F106" s="2857">
        <v>15</v>
      </c>
    </row>
    <row r="107" spans="1:6" ht="24">
      <c r="A107" s="2857">
        <v>35</v>
      </c>
      <c r="B107" s="3487" t="s">
        <v>2715</v>
      </c>
      <c r="C107" s="2857" t="s">
        <v>2716</v>
      </c>
      <c r="D107" s="2831" t="s">
        <v>2717</v>
      </c>
      <c r="E107" s="2857">
        <v>0.15</v>
      </c>
      <c r="F107" s="2857">
        <v>20</v>
      </c>
    </row>
    <row r="108" spans="1:6" ht="13.5">
      <c r="A108" s="2857">
        <v>36</v>
      </c>
      <c r="B108" s="3489"/>
      <c r="C108" s="2857" t="s">
        <v>2718</v>
      </c>
      <c r="D108" s="2831" t="s">
        <v>2719</v>
      </c>
      <c r="E108" s="2857">
        <v>0.15</v>
      </c>
      <c r="F108" s="2857">
        <v>20</v>
      </c>
    </row>
    <row r="109" spans="1:6" ht="13.5">
      <c r="A109" s="2857">
        <v>37</v>
      </c>
      <c r="B109" s="3489"/>
      <c r="C109" s="2857" t="s">
        <v>2720</v>
      </c>
      <c r="D109" s="2831" t="s">
        <v>2721</v>
      </c>
      <c r="E109" s="2857">
        <v>0.15</v>
      </c>
      <c r="F109" s="2857">
        <v>20</v>
      </c>
    </row>
    <row r="110" spans="1:6" ht="13.5">
      <c r="A110" s="2857">
        <v>38</v>
      </c>
      <c r="B110" s="3489"/>
      <c r="C110" s="2857" t="s">
        <v>2722</v>
      </c>
      <c r="D110" s="2831" t="s">
        <v>2723</v>
      </c>
      <c r="E110" s="2857">
        <v>0.1</v>
      </c>
      <c r="F110" s="2857">
        <v>15</v>
      </c>
    </row>
    <row r="111" spans="1:6" ht="24">
      <c r="A111" s="2857">
        <v>39</v>
      </c>
      <c r="B111" s="3489"/>
      <c r="C111" s="2857" t="s">
        <v>2724</v>
      </c>
      <c r="D111" s="2831" t="s">
        <v>2725</v>
      </c>
      <c r="E111" s="2857">
        <v>0.1</v>
      </c>
      <c r="F111" s="2857">
        <v>15</v>
      </c>
    </row>
    <row r="112" spans="1:6" ht="24">
      <c r="A112" s="2857">
        <v>40</v>
      </c>
      <c r="B112" s="3488"/>
      <c r="C112" s="2857" t="s">
        <v>2726</v>
      </c>
      <c r="D112" s="2831" t="s">
        <v>2727</v>
      </c>
      <c r="E112" s="2857">
        <v>0.1</v>
      </c>
      <c r="F112" s="2857">
        <v>15</v>
      </c>
    </row>
    <row r="113" spans="1:6" ht="13.5">
      <c r="A113" s="2857">
        <v>41</v>
      </c>
      <c r="B113" s="3486" t="s">
        <v>2728</v>
      </c>
      <c r="C113" s="2857" t="s">
        <v>2729</v>
      </c>
      <c r="D113" s="2831" t="s">
        <v>2730</v>
      </c>
      <c r="E113" s="2857">
        <v>0.1</v>
      </c>
      <c r="F113" s="2857">
        <v>15</v>
      </c>
    </row>
    <row r="114" spans="1:6" ht="13.5">
      <c r="A114" s="2857">
        <v>42</v>
      </c>
      <c r="B114" s="3486"/>
      <c r="C114" s="2857" t="s">
        <v>2731</v>
      </c>
      <c r="D114" s="2831" t="s">
        <v>2732</v>
      </c>
      <c r="E114" s="2857">
        <v>0.1</v>
      </c>
      <c r="F114" s="2857">
        <v>15</v>
      </c>
    </row>
    <row r="115" spans="1:6" ht="24">
      <c r="A115" s="2857">
        <v>43</v>
      </c>
      <c r="B115" s="3486"/>
      <c r="C115" s="2857" t="s">
        <v>2733</v>
      </c>
      <c r="D115" s="2831" t="s">
        <v>2734</v>
      </c>
      <c r="E115" s="2857">
        <v>0.1</v>
      </c>
      <c r="F115" s="2857">
        <v>15</v>
      </c>
    </row>
    <row r="116" spans="1:6" ht="13.5">
      <c r="A116" s="2857">
        <v>44</v>
      </c>
      <c r="B116" s="3487" t="s">
        <v>2735</v>
      </c>
      <c r="C116" s="2857" t="s">
        <v>2736</v>
      </c>
      <c r="D116" s="2831" t="s">
        <v>2737</v>
      </c>
      <c r="E116" s="2857">
        <v>0.1</v>
      </c>
      <c r="F116" s="2857">
        <v>15</v>
      </c>
    </row>
    <row r="117" spans="1:6" ht="24">
      <c r="A117" s="2857">
        <v>45</v>
      </c>
      <c r="B117" s="3488"/>
      <c r="C117" s="2831" t="s">
        <v>2738</v>
      </c>
      <c r="D117" s="2831" t="s">
        <v>2739</v>
      </c>
      <c r="E117" s="2857">
        <v>0.1</v>
      </c>
      <c r="F117" s="2857">
        <v>15</v>
      </c>
    </row>
    <row r="118" spans="1:6" ht="24">
      <c r="A118" s="2857">
        <v>46</v>
      </c>
      <c r="B118" s="3487" t="s">
        <v>2740</v>
      </c>
      <c r="C118" s="2857" t="s">
        <v>2741</v>
      </c>
      <c r="D118" s="2831" t="s">
        <v>2742</v>
      </c>
      <c r="E118" s="2857">
        <v>0.1</v>
      </c>
      <c r="F118" s="2857">
        <v>15</v>
      </c>
    </row>
    <row r="119" spans="1:6" ht="24">
      <c r="A119" s="2857">
        <v>47</v>
      </c>
      <c r="B119" s="3488"/>
      <c r="C119" s="2857" t="s">
        <v>2743</v>
      </c>
      <c r="D119" s="2831" t="s">
        <v>2744</v>
      </c>
      <c r="E119" s="2857">
        <v>0.1</v>
      </c>
      <c r="F119" s="2857">
        <v>15</v>
      </c>
    </row>
    <row r="120" spans="1:6" ht="13.5">
      <c r="A120" s="2857">
        <v>48</v>
      </c>
      <c r="B120" s="3487" t="s">
        <v>2745</v>
      </c>
      <c r="C120" s="2857" t="s">
        <v>2746</v>
      </c>
      <c r="D120" s="2831" t="s">
        <v>2747</v>
      </c>
      <c r="E120" s="2857">
        <v>0.1</v>
      </c>
      <c r="F120" s="2857">
        <v>15</v>
      </c>
    </row>
    <row r="121" spans="1:6" ht="13.5">
      <c r="A121" s="2857">
        <v>49</v>
      </c>
      <c r="B121" s="3488"/>
      <c r="C121" s="2857" t="s">
        <v>2748</v>
      </c>
      <c r="D121" s="2831" t="s">
        <v>2749</v>
      </c>
      <c r="E121" s="2857">
        <v>0.1</v>
      </c>
      <c r="F121" s="2857">
        <v>15</v>
      </c>
    </row>
    <row r="122" spans="1:6" ht="24">
      <c r="A122" s="2857">
        <v>50</v>
      </c>
      <c r="B122" s="3486" t="s">
        <v>2750</v>
      </c>
      <c r="C122" s="2857" t="s">
        <v>2751</v>
      </c>
      <c r="D122" s="2831" t="s">
        <v>2752</v>
      </c>
      <c r="E122" s="2857">
        <v>0.1</v>
      </c>
      <c r="F122" s="2857">
        <v>15</v>
      </c>
    </row>
    <row r="123" spans="1:6" ht="24">
      <c r="A123" s="2857">
        <v>51</v>
      </c>
      <c r="B123" s="3486"/>
      <c r="C123" s="2857" t="s">
        <v>2753</v>
      </c>
      <c r="D123" s="2831" t="s">
        <v>2754</v>
      </c>
      <c r="E123" s="2857">
        <v>0.1</v>
      </c>
      <c r="F123" s="2857">
        <v>15</v>
      </c>
    </row>
    <row r="124" spans="1:6" ht="24">
      <c r="A124" s="2857">
        <v>52</v>
      </c>
      <c r="B124" s="3486" t="s">
        <v>2755</v>
      </c>
      <c r="C124" s="2857" t="s">
        <v>2756</v>
      </c>
      <c r="D124" s="2831" t="s">
        <v>2757</v>
      </c>
      <c r="E124" s="2857">
        <v>0.1</v>
      </c>
      <c r="F124" s="2857">
        <v>15</v>
      </c>
    </row>
    <row r="125" spans="1:6" ht="24">
      <c r="A125" s="2857">
        <v>53</v>
      </c>
      <c r="B125" s="3486"/>
      <c r="C125" s="2857" t="s">
        <v>2758</v>
      </c>
      <c r="D125" s="2831" t="s">
        <v>2759</v>
      </c>
      <c r="E125" s="2857">
        <v>0.1</v>
      </c>
      <c r="F125" s="2857">
        <v>15</v>
      </c>
    </row>
    <row r="126" spans="1:6" ht="13.5">
      <c r="A126" s="2857">
        <v>54</v>
      </c>
      <c r="B126" s="2857" t="s">
        <v>2760</v>
      </c>
      <c r="C126" s="2857" t="s">
        <v>2761</v>
      </c>
      <c r="D126" s="2831" t="s">
        <v>2762</v>
      </c>
      <c r="E126" s="2857">
        <v>0.1</v>
      </c>
      <c r="F126" s="2857">
        <v>15</v>
      </c>
    </row>
    <row r="127" spans="1:6" ht="13.5">
      <c r="A127" s="2857">
        <v>55</v>
      </c>
      <c r="B127" s="3486" t="s">
        <v>2763</v>
      </c>
      <c r="C127" s="2857" t="s">
        <v>2764</v>
      </c>
      <c r="D127" s="2831" t="s">
        <v>2765</v>
      </c>
      <c r="E127" s="2857">
        <v>0.1</v>
      </c>
      <c r="F127" s="2857">
        <v>15</v>
      </c>
    </row>
    <row r="128" spans="1:6" ht="13.5">
      <c r="A128" s="2857">
        <v>56</v>
      </c>
      <c r="B128" s="3486"/>
      <c r="C128" s="2857" t="s">
        <v>2766</v>
      </c>
      <c r="D128" s="2831" t="s">
        <v>2767</v>
      </c>
      <c r="E128" s="2857">
        <v>0.1</v>
      </c>
      <c r="F128" s="2857">
        <v>15</v>
      </c>
    </row>
    <row r="129" spans="1:6" ht="24">
      <c r="A129" s="2857">
        <v>57</v>
      </c>
      <c r="B129" s="3486"/>
      <c r="C129" s="2857" t="s">
        <v>2768</v>
      </c>
      <c r="D129" s="2831" t="s">
        <v>2769</v>
      </c>
      <c r="E129" s="2857">
        <v>0.1</v>
      </c>
      <c r="F129" s="2857">
        <v>15</v>
      </c>
    </row>
    <row r="130" spans="1:6" ht="24">
      <c r="A130" s="2857">
        <v>58</v>
      </c>
      <c r="B130" s="3486" t="s">
        <v>2770</v>
      </c>
      <c r="C130" s="2857" t="s">
        <v>2771</v>
      </c>
      <c r="D130" s="2831" t="s">
        <v>2772</v>
      </c>
      <c r="E130" s="2857">
        <v>0.1</v>
      </c>
      <c r="F130" s="2857">
        <v>15</v>
      </c>
    </row>
    <row r="131" spans="1:6" ht="13.5">
      <c r="A131" s="2857">
        <v>59</v>
      </c>
      <c r="B131" s="3486"/>
      <c r="C131" s="2857" t="s">
        <v>2773</v>
      </c>
      <c r="D131" s="2831" t="s">
        <v>2774</v>
      </c>
      <c r="E131" s="2857">
        <v>0.1</v>
      </c>
      <c r="F131" s="2857">
        <v>15</v>
      </c>
    </row>
    <row r="132" spans="1:6" ht="13.5">
      <c r="A132" s="2857">
        <v>60</v>
      </c>
      <c r="B132" s="3487" t="s">
        <v>2775</v>
      </c>
      <c r="C132" s="2857" t="s">
        <v>2776</v>
      </c>
      <c r="D132" s="2831" t="s">
        <v>2777</v>
      </c>
      <c r="E132" s="2857">
        <v>0.1</v>
      </c>
      <c r="F132" s="2857">
        <v>15</v>
      </c>
    </row>
    <row r="133" spans="1:6" ht="13.5">
      <c r="A133" s="2857">
        <v>61</v>
      </c>
      <c r="B133" s="3488"/>
      <c r="C133" s="2857" t="s">
        <v>2778</v>
      </c>
      <c r="D133" s="2831" t="s">
        <v>2779</v>
      </c>
      <c r="E133" s="2857">
        <v>0.1</v>
      </c>
      <c r="F133" s="2857">
        <v>15</v>
      </c>
    </row>
    <row r="134" spans="1:6" ht="24">
      <c r="A134" s="2857">
        <v>62</v>
      </c>
      <c r="B134" s="2857" t="s">
        <v>2780</v>
      </c>
      <c r="C134" s="2857" t="s">
        <v>2781</v>
      </c>
      <c r="D134" s="2831" t="s">
        <v>2782</v>
      </c>
      <c r="E134" s="2857">
        <v>0.1</v>
      </c>
      <c r="F134" s="2857">
        <v>15</v>
      </c>
    </row>
    <row r="135" spans="1:6" ht="13.5">
      <c r="A135" s="2857">
        <v>63</v>
      </c>
      <c r="B135" s="3486" t="s">
        <v>2783</v>
      </c>
      <c r="C135" s="2857" t="s">
        <v>2784</v>
      </c>
      <c r="D135" s="2831" t="s">
        <v>2785</v>
      </c>
      <c r="E135" s="2857">
        <v>0.1</v>
      </c>
      <c r="F135" s="2857">
        <v>15</v>
      </c>
    </row>
    <row r="136" spans="1:6" ht="13.5">
      <c r="A136" s="2857">
        <v>64</v>
      </c>
      <c r="B136" s="3486"/>
      <c r="C136" s="2857" t="s">
        <v>2786</v>
      </c>
      <c r="D136" s="2831" t="s">
        <v>2787</v>
      </c>
      <c r="E136" s="2857">
        <v>0.1</v>
      </c>
      <c r="F136" s="2857">
        <v>15</v>
      </c>
    </row>
    <row r="137" spans="1:6" ht="13.5">
      <c r="A137" s="2857">
        <v>65</v>
      </c>
      <c r="B137" s="2857" t="s">
        <v>2788</v>
      </c>
      <c r="C137" s="2857" t="s">
        <v>2789</v>
      </c>
      <c r="D137" s="2831" t="s">
        <v>2790</v>
      </c>
      <c r="E137" s="2857">
        <v>0.1</v>
      </c>
      <c r="F137" s="2857">
        <v>15</v>
      </c>
    </row>
    <row r="138" spans="1:6" ht="13.5">
      <c r="A138" s="2857"/>
      <c r="B138" s="2857"/>
      <c r="C138" s="2857"/>
      <c r="D138" s="2857"/>
      <c r="E138" s="2857" t="s">
        <v>2791</v>
      </c>
      <c r="F138" s="285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2792</v>
      </c>
      <c r="B1" s="2865"/>
      <c r="C1" s="2865"/>
      <c r="D1" s="2865"/>
      <c r="E1" s="2865"/>
      <c r="F1" s="2865"/>
      <c r="G1" s="2865"/>
      <c r="H1" s="2865"/>
      <c r="I1" s="2865"/>
      <c r="J1" s="2865"/>
      <c r="K1" s="2865"/>
      <c r="L1" s="2865"/>
      <c r="M1" s="2865"/>
      <c r="N1" s="707"/>
    </row>
    <row r="2" spans="1:20">
      <c r="A2" s="2866" t="s">
        <v>2793</v>
      </c>
      <c r="B2" s="2867" t="s">
        <v>2589</v>
      </c>
      <c r="C2" s="2867" t="s">
        <v>2590</v>
      </c>
      <c r="D2" s="2867" t="s">
        <v>2591</v>
      </c>
      <c r="E2" s="2867" t="s">
        <v>2592</v>
      </c>
      <c r="F2" s="2867" t="s">
        <v>2593</v>
      </c>
      <c r="G2" s="2867" t="s">
        <v>2594</v>
      </c>
      <c r="H2" s="2868" t="s">
        <v>2595</v>
      </c>
      <c r="I2" s="2868" t="s">
        <v>2596</v>
      </c>
      <c r="J2" s="2869" t="s">
        <v>2597</v>
      </c>
      <c r="K2" s="2869" t="s">
        <v>2598</v>
      </c>
      <c r="L2" s="2869" t="s">
        <v>2599</v>
      </c>
      <c r="M2" s="2870" t="s">
        <v>2600</v>
      </c>
      <c r="Q2" s="2880" t="s">
        <v>2798</v>
      </c>
      <c r="R2" s="2880" t="s">
        <v>2799</v>
      </c>
      <c r="S2" s="2880" t="s">
        <v>2800</v>
      </c>
      <c r="T2" s="2880" t="s">
        <v>2801</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2794</v>
      </c>
      <c r="B93" s="2865"/>
      <c r="C93" s="2865"/>
      <c r="D93" s="2865"/>
      <c r="E93" s="2865"/>
      <c r="F93" s="2865"/>
      <c r="G93" s="2865"/>
      <c r="H93" s="2865"/>
      <c r="I93" s="2865"/>
      <c r="J93" s="2865"/>
      <c r="K93" s="2865"/>
      <c r="L93" s="2865"/>
      <c r="M93" s="2865"/>
    </row>
    <row r="94" spans="1:20">
      <c r="A94" s="2866" t="s">
        <v>2793</v>
      </c>
      <c r="B94" s="2867" t="s">
        <v>2589</v>
      </c>
      <c r="C94" s="2867" t="s">
        <v>2590</v>
      </c>
      <c r="D94" s="2867" t="s">
        <v>2591</v>
      </c>
      <c r="E94" s="2867" t="s">
        <v>2592</v>
      </c>
      <c r="F94" s="2867" t="s">
        <v>2593</v>
      </c>
      <c r="G94" s="2867" t="s">
        <v>2594</v>
      </c>
      <c r="H94" s="2868" t="s">
        <v>2595</v>
      </c>
      <c r="I94" s="2868" t="s">
        <v>2596</v>
      </c>
      <c r="J94" s="2869" t="s">
        <v>2597</v>
      </c>
      <c r="K94" s="2869" t="s">
        <v>2598</v>
      </c>
      <c r="L94" s="2869" t="s">
        <v>2599</v>
      </c>
      <c r="M94" s="2870" t="s">
        <v>2600</v>
      </c>
      <c r="N94">
        <f>SUMPRODUCT((A95:A184=ROUNDDOWN(基准地价修正!G3,1))*(B94:M94=基准地价修正!G2)*(B95:M184))</f>
        <v>1.2302</v>
      </c>
      <c r="Q94" s="2880" t="s">
        <v>2798</v>
      </c>
      <c r="R94" s="2880" t="s">
        <v>2799</v>
      </c>
      <c r="S94" s="2880" t="s">
        <v>2800</v>
      </c>
      <c r="T94" s="2880" t="s">
        <v>2801</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2795</v>
      </c>
      <c r="B185" s="2865"/>
      <c r="C185" s="2865"/>
      <c r="D185" s="2865"/>
      <c r="E185" s="2865"/>
      <c r="F185" s="2865"/>
      <c r="G185" s="2865"/>
      <c r="H185" s="2865"/>
      <c r="I185" s="2865"/>
      <c r="J185" s="2865"/>
      <c r="K185" s="2865"/>
      <c r="L185" s="2865"/>
      <c r="M185" s="2865"/>
    </row>
    <row r="186" spans="1:20">
      <c r="A186" s="2866" t="s">
        <v>2793</v>
      </c>
      <c r="B186" s="2867" t="s">
        <v>2589</v>
      </c>
      <c r="C186" s="2867" t="s">
        <v>2590</v>
      </c>
      <c r="D186" s="2867" t="s">
        <v>2591</v>
      </c>
      <c r="E186" s="2867" t="s">
        <v>2592</v>
      </c>
      <c r="F186" s="2867" t="s">
        <v>2593</v>
      </c>
      <c r="G186" s="2867" t="s">
        <v>2594</v>
      </c>
      <c r="H186" s="2868" t="s">
        <v>2595</v>
      </c>
      <c r="I186" s="2868" t="s">
        <v>2596</v>
      </c>
      <c r="J186" s="2869" t="s">
        <v>2597</v>
      </c>
      <c r="K186" s="2869" t="s">
        <v>2598</v>
      </c>
      <c r="L186" s="2869" t="s">
        <v>2599</v>
      </c>
      <c r="M186" s="2870" t="s">
        <v>2600</v>
      </c>
      <c r="Q186" s="2880" t="s">
        <v>2798</v>
      </c>
      <c r="R186" s="2880" t="s">
        <v>2799</v>
      </c>
      <c r="S186" s="2880" t="s">
        <v>2800</v>
      </c>
      <c r="T186" s="2880" t="s">
        <v>2801</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2796</v>
      </c>
      <c r="B277" s="2865"/>
      <c r="C277" s="2865"/>
      <c r="D277" s="2865"/>
      <c r="E277" s="2865"/>
      <c r="F277" s="2865"/>
      <c r="G277" s="2865"/>
      <c r="H277" s="2865"/>
      <c r="I277" s="2865"/>
      <c r="J277" s="2865"/>
      <c r="K277" s="2865"/>
      <c r="L277" s="2865"/>
      <c r="M277" s="2865"/>
    </row>
    <row r="278" spans="1:21">
      <c r="A278" s="2866" t="s">
        <v>2793</v>
      </c>
      <c r="B278" s="2867" t="s">
        <v>2589</v>
      </c>
      <c r="C278" s="2867" t="s">
        <v>2590</v>
      </c>
      <c r="D278" s="2867" t="s">
        <v>2591</v>
      </c>
      <c r="E278" s="2867" t="s">
        <v>2592</v>
      </c>
      <c r="F278" s="2867" t="s">
        <v>2593</v>
      </c>
      <c r="G278" s="2867" t="s">
        <v>2594</v>
      </c>
      <c r="H278" s="2868" t="s">
        <v>2595</v>
      </c>
      <c r="I278" s="2868" t="s">
        <v>2596</v>
      </c>
      <c r="J278" s="2869" t="s">
        <v>2597</v>
      </c>
      <c r="K278" s="2869" t="s">
        <v>2598</v>
      </c>
      <c r="L278" s="2869" t="s">
        <v>2599</v>
      </c>
      <c r="M278" s="2870" t="s">
        <v>2600</v>
      </c>
      <c r="Q278" s="2880" t="s">
        <v>2798</v>
      </c>
      <c r="R278" s="2880" t="s">
        <v>2799</v>
      </c>
      <c r="S278" s="2880" t="s">
        <v>2802</v>
      </c>
      <c r="T278" s="2880" t="s">
        <v>2803</v>
      </c>
      <c r="U278" s="2880" t="s">
        <v>2801</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2797</v>
      </c>
      <c r="B369" s="2878"/>
      <c r="C369" s="2878"/>
      <c r="D369" s="2878"/>
      <c r="E369" s="2878"/>
      <c r="F369" s="2878"/>
      <c r="G369" s="2878"/>
      <c r="H369" s="2878"/>
      <c r="I369" s="2878"/>
      <c r="J369" s="2878"/>
      <c r="K369" s="2878"/>
      <c r="L369" s="2878"/>
      <c r="M369" s="2878"/>
    </row>
    <row r="370" spans="1:20">
      <c r="A370" s="2866" t="s">
        <v>2793</v>
      </c>
      <c r="B370" s="2867" t="s">
        <v>2589</v>
      </c>
      <c r="C370" s="2867" t="s">
        <v>2590</v>
      </c>
      <c r="D370" s="2867" t="s">
        <v>2591</v>
      </c>
      <c r="E370" s="2867" t="s">
        <v>2592</v>
      </c>
      <c r="F370" s="2867" t="s">
        <v>2593</v>
      </c>
      <c r="G370" s="2867" t="s">
        <v>2594</v>
      </c>
      <c r="H370" s="2868" t="s">
        <v>2595</v>
      </c>
      <c r="I370" s="2868" t="s">
        <v>2596</v>
      </c>
      <c r="J370" s="2869" t="s">
        <v>2597</v>
      </c>
      <c r="K370" s="2869" t="s">
        <v>2598</v>
      </c>
      <c r="L370" s="2869" t="s">
        <v>2599</v>
      </c>
      <c r="M370" s="2870" t="s">
        <v>2600</v>
      </c>
      <c r="N370">
        <f>SUMPRODUCT((A371:A460=ROUNDDOWN(基准地价修正!G3,1))*(B370:M370=基准地价修正!G2)*(B371:M460))</f>
        <v>1.1198999999999999</v>
      </c>
      <c r="Q370" s="2880" t="s">
        <v>2798</v>
      </c>
      <c r="R370" s="2880" t="s">
        <v>2799</v>
      </c>
      <c r="S370" s="2880" t="s">
        <v>2800</v>
      </c>
      <c r="T370" s="2880" t="s">
        <v>2801</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26928</v>
      </c>
      <c r="C2" s="2" t="s">
        <v>106</v>
      </c>
      <c r="D2" s="191"/>
      <c r="E2" s="191"/>
      <c r="F2" s="191"/>
      <c r="G2" s="191"/>
    </row>
    <row r="3" spans="1:7" s="192" customFormat="1" ht="18" customHeight="1" thickBot="1">
      <c r="A3" s="195" t="s">
        <v>58</v>
      </c>
      <c r="B3" s="196">
        <f ca="1">ROUND(B2*10000/'数据-汇总表'!E3,0)</f>
        <v>548075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491.32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491.32</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1318</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26682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197</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491.32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23</v>
      </c>
      <c r="D45" s="227">
        <f>C47</f>
        <v>2E-3</v>
      </c>
      <c r="E45" s="228" t="s">
        <v>102</v>
      </c>
      <c r="F45" s="238"/>
      <c r="G45" s="239" t="s">
        <v>434</v>
      </c>
    </row>
    <row r="46" spans="1:7" s="206" customFormat="1" ht="13.5" customHeight="1">
      <c r="A46" s="734" t="s">
        <v>349</v>
      </c>
      <c r="B46" s="240" t="s">
        <v>427</v>
      </c>
      <c r="C46" s="241">
        <f>ROUND((C33+C39)*F27,0)</f>
        <v>23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279</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246</v>
      </c>
      <c r="D51" s="224"/>
      <c r="E51" s="224"/>
      <c r="F51" s="256"/>
      <c r="G51" s="226" t="s">
        <v>37</v>
      </c>
    </row>
    <row r="52" spans="1:7" s="200" customFormat="1" ht="16.5" thickBot="1">
      <c r="A52" s="257" t="s">
        <v>38</v>
      </c>
      <c r="B52" s="258"/>
      <c r="C52" s="259">
        <f ca="1">C31+C51</f>
        <v>26928</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3175</v>
      </c>
      <c r="B1" s="3498"/>
    </row>
    <row r="2" spans="1:7" ht="14.25" thickBot="1">
      <c r="A2" s="2968"/>
      <c r="B2" s="2968"/>
    </row>
    <row r="3" spans="1:7" ht="14.25" thickBot="1">
      <c r="A3" s="2968"/>
      <c r="B3" s="2968"/>
      <c r="C3" s="2969" t="s">
        <v>2805</v>
      </c>
      <c r="D3" s="2969" t="s">
        <v>2861</v>
      </c>
      <c r="E3" s="2969" t="s">
        <v>2807</v>
      </c>
      <c r="F3" s="2969" t="s">
        <v>2862</v>
      </c>
      <c r="G3" s="2969" t="s">
        <v>2625</v>
      </c>
    </row>
    <row r="4" spans="1:7" ht="14.25" thickBot="1">
      <c r="A4" s="2970" t="s">
        <v>2860</v>
      </c>
      <c r="B4" s="2971" t="s">
        <v>2866</v>
      </c>
      <c r="C4" s="2969"/>
      <c r="D4" s="2969"/>
      <c r="E4" s="2969"/>
      <c r="F4" s="2969"/>
      <c r="G4" s="2969"/>
    </row>
    <row r="5" spans="1:7">
      <c r="A5" s="2972" t="s">
        <v>2834</v>
      </c>
      <c r="B5" s="2973" t="s">
        <v>2848</v>
      </c>
      <c r="C5" s="2974">
        <v>9.8000000000000004E-2</v>
      </c>
      <c r="D5" s="2974">
        <v>8.6999999999999994E-2</v>
      </c>
      <c r="E5" s="2974">
        <v>8.6999999999999994E-2</v>
      </c>
      <c r="F5" s="2974">
        <v>9.8000000000000004E-2</v>
      </c>
      <c r="G5" s="2975">
        <v>9.5000000000000001E-2</v>
      </c>
    </row>
    <row r="6" spans="1:7">
      <c r="A6" s="2976" t="s">
        <v>144</v>
      </c>
      <c r="B6" s="2977" t="s">
        <v>2863</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2849</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2899</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2917</v>
      </c>
      <c r="C29" s="2986"/>
      <c r="D29" s="2982">
        <v>5.1999999999999998E-2</v>
      </c>
      <c r="E29" s="2982">
        <v>7.0000000000000007E-2</v>
      </c>
      <c r="F29" s="2986"/>
      <c r="G29" s="2984">
        <v>7.0999999999999994E-2</v>
      </c>
    </row>
    <row r="30" spans="1:7">
      <c r="A30" s="2987" t="s">
        <v>296</v>
      </c>
      <c r="B30" s="2973" t="s">
        <v>2850</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2836</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2920</v>
      </c>
      <c r="C50" s="2978">
        <v>9.8000000000000004E-2</v>
      </c>
      <c r="D50" s="2978">
        <v>7.2999999999999995E-2</v>
      </c>
      <c r="E50" s="2978">
        <v>7.0999999999999994E-2</v>
      </c>
      <c r="F50" s="2989"/>
      <c r="G50" s="2979">
        <v>7.2999999999999995E-2</v>
      </c>
    </row>
    <row r="51" spans="1:7">
      <c r="A51" s="2988" t="s">
        <v>296</v>
      </c>
      <c r="B51" s="2977" t="s">
        <v>2922</v>
      </c>
      <c r="C51" s="2978">
        <v>9.9000000000000005E-2</v>
      </c>
      <c r="D51" s="2978">
        <v>8.5000000000000006E-2</v>
      </c>
      <c r="E51" s="2978">
        <v>6.3E-2</v>
      </c>
      <c r="F51" s="2989"/>
      <c r="G51" s="2979">
        <v>9.6000000000000002E-2</v>
      </c>
    </row>
    <row r="52" spans="1:7">
      <c r="A52" s="2988" t="s">
        <v>296</v>
      </c>
      <c r="B52" s="2977" t="s">
        <v>2926</v>
      </c>
      <c r="C52" s="2978">
        <v>7.3999999999999996E-2</v>
      </c>
      <c r="D52" s="2978">
        <v>9.6000000000000002E-2</v>
      </c>
      <c r="E52" s="2978">
        <v>0.05</v>
      </c>
      <c r="F52" s="2989"/>
      <c r="G52" s="2979">
        <v>9.8000000000000004E-2</v>
      </c>
    </row>
    <row r="53" spans="1:7">
      <c r="A53" s="2988" t="s">
        <v>296</v>
      </c>
      <c r="B53" s="2977" t="s">
        <v>2931</v>
      </c>
      <c r="C53" s="2978">
        <v>8.5999999999999993E-2</v>
      </c>
      <c r="D53" s="2989"/>
      <c r="E53" s="2978">
        <v>9.1999999999999998E-2</v>
      </c>
      <c r="F53" s="2989"/>
      <c r="G53" s="2990"/>
    </row>
    <row r="54" spans="1:7" ht="14.25" thickBot="1">
      <c r="A54" s="2991" t="s">
        <v>296</v>
      </c>
      <c r="B54" s="2981" t="s">
        <v>2934</v>
      </c>
      <c r="C54" s="2982">
        <v>9.6000000000000002E-2</v>
      </c>
      <c r="D54" s="2983"/>
      <c r="E54" s="2992"/>
      <c r="F54" s="2983"/>
      <c r="G54" s="2993"/>
    </row>
    <row r="55" spans="1:7">
      <c r="A55" s="2987" t="s">
        <v>110</v>
      </c>
      <c r="B55" s="2973" t="s">
        <v>2851</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2932</v>
      </c>
      <c r="C78" s="2978">
        <v>0.1</v>
      </c>
      <c r="D78" s="2978">
        <v>8.5000000000000006E-2</v>
      </c>
      <c r="E78" s="2978">
        <v>9.6000000000000002E-2</v>
      </c>
      <c r="F78" s="2989"/>
      <c r="G78" s="2979">
        <v>9.6000000000000002E-2</v>
      </c>
    </row>
    <row r="79" spans="1:7">
      <c r="A79" s="2988" t="s">
        <v>110</v>
      </c>
      <c r="B79" s="2977" t="s">
        <v>2935</v>
      </c>
      <c r="C79" s="2978">
        <v>0.05</v>
      </c>
      <c r="D79" s="2978">
        <v>9.6000000000000002E-2</v>
      </c>
      <c r="E79" s="2978">
        <v>9.5000000000000001E-2</v>
      </c>
      <c r="F79" s="2989"/>
      <c r="G79" s="2979">
        <v>9.8000000000000004E-2</v>
      </c>
    </row>
    <row r="80" spans="1:7">
      <c r="A80" s="2988" t="s">
        <v>110</v>
      </c>
      <c r="B80" s="2977" t="s">
        <v>2939</v>
      </c>
      <c r="C80" s="2978">
        <v>8.5999999999999993E-2</v>
      </c>
      <c r="D80" s="2994"/>
      <c r="E80" s="2978">
        <v>0.1</v>
      </c>
      <c r="F80" s="2989"/>
      <c r="G80" s="2990"/>
    </row>
    <row r="81" spans="1:7">
      <c r="A81" s="2988" t="s">
        <v>110</v>
      </c>
      <c r="B81" s="2977" t="s">
        <v>2944</v>
      </c>
      <c r="C81" s="2978">
        <v>9.6000000000000002E-2</v>
      </c>
      <c r="D81" s="2989"/>
      <c r="E81" s="2978">
        <v>9.8000000000000004E-2</v>
      </c>
      <c r="F81" s="2989"/>
      <c r="G81" s="2990"/>
    </row>
    <row r="82" spans="1:7">
      <c r="A82" s="2988" t="s">
        <v>110</v>
      </c>
      <c r="B82" s="2977" t="s">
        <v>2951</v>
      </c>
      <c r="C82" s="2994"/>
      <c r="D82" s="2989"/>
      <c r="E82" s="2978">
        <v>7.6999999999999999E-2</v>
      </c>
      <c r="F82" s="2989"/>
      <c r="G82" s="2990"/>
    </row>
    <row r="83" spans="1:7">
      <c r="A83" s="2988" t="s">
        <v>110</v>
      </c>
      <c r="B83" s="2977" t="s">
        <v>2957</v>
      </c>
      <c r="C83" s="2989"/>
      <c r="D83" s="2989"/>
      <c r="E83" s="2989"/>
      <c r="F83" s="2978">
        <v>0.1</v>
      </c>
      <c r="G83" s="2995"/>
    </row>
    <row r="84" spans="1:7">
      <c r="A84" s="2988" t="s">
        <v>110</v>
      </c>
      <c r="B84" s="2977" t="s">
        <v>2964</v>
      </c>
      <c r="C84" s="2989"/>
      <c r="D84" s="2989"/>
      <c r="E84" s="2989"/>
      <c r="F84" s="2978">
        <v>0.1</v>
      </c>
      <c r="G84" s="2995"/>
    </row>
    <row r="85" spans="1:7">
      <c r="A85" s="2988" t="s">
        <v>110</v>
      </c>
      <c r="B85" s="2977" t="s">
        <v>2971</v>
      </c>
      <c r="C85" s="2989"/>
      <c r="D85" s="2989"/>
      <c r="E85" s="2989"/>
      <c r="F85" s="2978">
        <v>0.1</v>
      </c>
      <c r="G85" s="2995"/>
    </row>
    <row r="86" spans="1:7" ht="14.25" thickBot="1">
      <c r="A86" s="2991" t="s">
        <v>110</v>
      </c>
      <c r="B86" s="2981" t="s">
        <v>2976</v>
      </c>
      <c r="C86" s="2982">
        <v>9.8000000000000004E-2</v>
      </c>
      <c r="D86" s="2982">
        <v>9.8000000000000004E-2</v>
      </c>
      <c r="E86" s="2982">
        <v>9.6000000000000002E-2</v>
      </c>
      <c r="F86" s="2992"/>
      <c r="G86" s="2984">
        <v>0.1</v>
      </c>
    </row>
    <row r="87" spans="1:7">
      <c r="A87" s="2987" t="s">
        <v>303</v>
      </c>
      <c r="B87" s="2973" t="s">
        <v>2852</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2945</v>
      </c>
      <c r="C113" s="2978">
        <v>0.1</v>
      </c>
      <c r="D113" s="2978">
        <v>0.1</v>
      </c>
      <c r="E113" s="2989"/>
      <c r="F113" s="2989"/>
      <c r="G113" s="2979">
        <v>0.1</v>
      </c>
    </row>
    <row r="114" spans="1:7">
      <c r="A114" s="2988" t="s">
        <v>303</v>
      </c>
      <c r="B114" s="2977" t="s">
        <v>2952</v>
      </c>
      <c r="C114" s="2978">
        <v>9.7000000000000003E-2</v>
      </c>
      <c r="D114" s="2978">
        <v>9.7000000000000003E-2</v>
      </c>
      <c r="E114" s="2989"/>
      <c r="F114" s="2989"/>
      <c r="G114" s="2979">
        <v>9.9000000000000005E-2</v>
      </c>
    </row>
    <row r="115" spans="1:7">
      <c r="A115" s="2988" t="s">
        <v>303</v>
      </c>
      <c r="B115" s="2977" t="s">
        <v>2958</v>
      </c>
      <c r="C115" s="2978">
        <v>0.1</v>
      </c>
      <c r="D115" s="2978">
        <v>0.1</v>
      </c>
      <c r="E115" s="2989"/>
      <c r="F115" s="2989"/>
      <c r="G115" s="2979">
        <v>0.1</v>
      </c>
    </row>
    <row r="116" spans="1:7">
      <c r="A116" s="2988" t="s">
        <v>303</v>
      </c>
      <c r="B116" s="2977" t="s">
        <v>2965</v>
      </c>
      <c r="C116" s="2978">
        <v>0.1</v>
      </c>
      <c r="D116" s="2978">
        <v>0.1</v>
      </c>
      <c r="E116" s="2989"/>
      <c r="F116" s="2989"/>
      <c r="G116" s="2979">
        <v>0.1</v>
      </c>
    </row>
    <row r="117" spans="1:7">
      <c r="A117" s="2988" t="s">
        <v>303</v>
      </c>
      <c r="B117" s="2977" t="s">
        <v>2972</v>
      </c>
      <c r="C117" s="2978">
        <v>9.7000000000000003E-2</v>
      </c>
      <c r="D117" s="2978">
        <v>9.7000000000000003E-2</v>
      </c>
      <c r="E117" s="2989"/>
      <c r="F117" s="2989"/>
      <c r="G117" s="2979">
        <v>9.7000000000000003E-2</v>
      </c>
    </row>
    <row r="118" spans="1:7">
      <c r="A118" s="2988" t="s">
        <v>303</v>
      </c>
      <c r="B118" s="2977" t="s">
        <v>2977</v>
      </c>
      <c r="C118" s="2978">
        <v>0.1</v>
      </c>
      <c r="D118" s="2978">
        <v>0.1</v>
      </c>
      <c r="E118" s="2989"/>
      <c r="F118" s="2989"/>
      <c r="G118" s="2979">
        <v>0.1</v>
      </c>
    </row>
    <row r="119" spans="1:7">
      <c r="A119" s="2988" t="s">
        <v>303</v>
      </c>
      <c r="B119" s="2977" t="s">
        <v>2981</v>
      </c>
      <c r="C119" s="2978">
        <v>5.0999999999999997E-2</v>
      </c>
      <c r="D119" s="2978">
        <v>5.1999999999999998E-2</v>
      </c>
      <c r="E119" s="2989"/>
      <c r="F119" s="2994"/>
      <c r="G119" s="2979">
        <v>0.06</v>
      </c>
    </row>
    <row r="120" spans="1:7">
      <c r="A120" s="2988" t="s">
        <v>303</v>
      </c>
      <c r="B120" s="2977" t="s">
        <v>2985</v>
      </c>
      <c r="C120" s="2989"/>
      <c r="D120" s="2989"/>
      <c r="E120" s="2989"/>
      <c r="F120" s="2978">
        <v>0.1</v>
      </c>
      <c r="G120" s="2995"/>
    </row>
    <row r="121" spans="1:7">
      <c r="A121" s="2988" t="s">
        <v>303</v>
      </c>
      <c r="B121" s="2977" t="s">
        <v>2990</v>
      </c>
      <c r="C121" s="2989"/>
      <c r="D121" s="2989"/>
      <c r="E121" s="2989"/>
      <c r="F121" s="2978">
        <v>0.1</v>
      </c>
      <c r="G121" s="2995"/>
    </row>
    <row r="122" spans="1:7">
      <c r="A122" s="2988" t="s">
        <v>303</v>
      </c>
      <c r="B122" s="2977" t="s">
        <v>2995</v>
      </c>
      <c r="C122" s="2978">
        <v>0.1</v>
      </c>
      <c r="D122" s="2978">
        <v>0.1</v>
      </c>
      <c r="E122" s="2978">
        <v>9.8000000000000004E-2</v>
      </c>
      <c r="F122" s="2978">
        <v>0.1</v>
      </c>
      <c r="G122" s="2979">
        <v>0.1</v>
      </c>
    </row>
    <row r="123" spans="1:7">
      <c r="A123" s="2988" t="s">
        <v>303</v>
      </c>
      <c r="B123" s="2977" t="s">
        <v>3000</v>
      </c>
      <c r="C123" s="2978">
        <v>0.1</v>
      </c>
      <c r="D123" s="2978">
        <v>0.1</v>
      </c>
      <c r="E123" s="2978">
        <v>9.8000000000000004E-2</v>
      </c>
      <c r="F123" s="2978">
        <v>0.1</v>
      </c>
      <c r="G123" s="2979">
        <v>0.1</v>
      </c>
    </row>
    <row r="124" spans="1:7">
      <c r="A124" s="2988" t="s">
        <v>303</v>
      </c>
      <c r="B124" s="2977" t="s">
        <v>3005</v>
      </c>
      <c r="C124" s="2978">
        <v>0.1</v>
      </c>
      <c r="D124" s="2978">
        <v>0.1</v>
      </c>
      <c r="E124" s="2978">
        <v>9.8000000000000004E-2</v>
      </c>
      <c r="F124" s="2994"/>
      <c r="G124" s="2979">
        <v>0.1</v>
      </c>
    </row>
    <row r="125" spans="1:7">
      <c r="A125" s="2988" t="s">
        <v>303</v>
      </c>
      <c r="B125" s="2977" t="s">
        <v>3010</v>
      </c>
      <c r="C125" s="2978">
        <v>9.8000000000000004E-2</v>
      </c>
      <c r="D125" s="2978">
        <v>9.8000000000000004E-2</v>
      </c>
      <c r="E125" s="2978">
        <v>9.6000000000000002E-2</v>
      </c>
      <c r="F125" s="2994"/>
      <c r="G125" s="2979">
        <v>0.1</v>
      </c>
    </row>
    <row r="126" spans="1:7" ht="14.25" thickBot="1">
      <c r="A126" s="2991" t="s">
        <v>303</v>
      </c>
      <c r="B126" s="2981" t="s">
        <v>3176</v>
      </c>
      <c r="C126" s="2982">
        <v>0.1</v>
      </c>
      <c r="D126" s="2982">
        <v>0.1</v>
      </c>
      <c r="E126" s="2982">
        <v>9.8000000000000004E-2</v>
      </c>
      <c r="F126" s="2982">
        <v>0.1</v>
      </c>
      <c r="G126" s="2984">
        <v>0.1</v>
      </c>
    </row>
    <row r="127" spans="1:7">
      <c r="A127" s="2987" t="s">
        <v>29</v>
      </c>
      <c r="B127" s="2973" t="s">
        <v>2853</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2923</v>
      </c>
      <c r="C148" s="2978">
        <v>0.13</v>
      </c>
      <c r="D148" s="2978">
        <v>0.13</v>
      </c>
      <c r="E148" s="2978">
        <v>0.13</v>
      </c>
      <c r="F148" s="2989"/>
      <c r="G148" s="2979">
        <v>0.13</v>
      </c>
    </row>
    <row r="149" spans="1:7">
      <c r="A149" s="2988" t="s">
        <v>29</v>
      </c>
      <c r="B149" s="2977" t="s">
        <v>2927</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2946</v>
      </c>
      <c r="C153" s="2978">
        <v>0.13</v>
      </c>
      <c r="D153" s="2978">
        <v>0.13</v>
      </c>
      <c r="E153" s="2978">
        <v>0.13</v>
      </c>
      <c r="F153" s="2978">
        <v>0.13</v>
      </c>
      <c r="G153" s="2979">
        <v>0.13</v>
      </c>
    </row>
    <row r="154" spans="1:7">
      <c r="A154" s="2988" t="s">
        <v>29</v>
      </c>
      <c r="B154" s="2977" t="s">
        <v>2953</v>
      </c>
      <c r="C154" s="2978">
        <v>0.121</v>
      </c>
      <c r="D154" s="2978">
        <v>0.121</v>
      </c>
      <c r="E154" s="2978">
        <v>0.105</v>
      </c>
      <c r="F154" s="2978">
        <v>0.121</v>
      </c>
      <c r="G154" s="2979">
        <v>0.123</v>
      </c>
    </row>
    <row r="155" spans="1:7">
      <c r="A155" s="2988" t="s">
        <v>29</v>
      </c>
      <c r="B155" s="2977" t="s">
        <v>2959</v>
      </c>
      <c r="C155" s="2978">
        <v>0.1</v>
      </c>
      <c r="D155" s="2978">
        <v>0.1</v>
      </c>
      <c r="E155" s="2978">
        <v>0.1</v>
      </c>
      <c r="F155" s="2978">
        <v>0.1</v>
      </c>
      <c r="G155" s="2979">
        <v>0.1</v>
      </c>
    </row>
    <row r="156" spans="1:7">
      <c r="A156" s="2988" t="s">
        <v>29</v>
      </c>
      <c r="B156" s="2977" t="s">
        <v>2966</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2986</v>
      </c>
      <c r="C160" s="2978">
        <v>0.13</v>
      </c>
      <c r="D160" s="2978">
        <v>0.13</v>
      </c>
      <c r="E160" s="2978">
        <v>0.124</v>
      </c>
      <c r="F160" s="2978">
        <v>0.126</v>
      </c>
      <c r="G160" s="2979">
        <v>0.13</v>
      </c>
    </row>
    <row r="161" spans="1:7">
      <c r="A161" s="2988" t="s">
        <v>29</v>
      </c>
      <c r="B161" s="2977" t="s">
        <v>2991</v>
      </c>
      <c r="C161" s="2978">
        <v>0.13</v>
      </c>
      <c r="D161" s="2978">
        <v>0.13</v>
      </c>
      <c r="E161" s="2978">
        <v>0.124</v>
      </c>
      <c r="F161" s="2978">
        <v>0.127</v>
      </c>
      <c r="G161" s="2979">
        <v>0.13</v>
      </c>
    </row>
    <row r="162" spans="1:7">
      <c r="A162" s="2988" t="s">
        <v>29</v>
      </c>
      <c r="B162" s="2977" t="s">
        <v>2996</v>
      </c>
      <c r="C162" s="2978">
        <v>0.1</v>
      </c>
      <c r="D162" s="2978">
        <v>0.1</v>
      </c>
      <c r="E162" s="2978">
        <v>0.1</v>
      </c>
      <c r="F162" s="2978">
        <v>0.121</v>
      </c>
      <c r="G162" s="2979">
        <v>0.105</v>
      </c>
    </row>
    <row r="163" spans="1:7">
      <c r="A163" s="2988" t="s">
        <v>29</v>
      </c>
      <c r="B163" s="2977" t="s">
        <v>3001</v>
      </c>
      <c r="C163" s="2978">
        <v>0.1</v>
      </c>
      <c r="D163" s="2978">
        <v>0.1</v>
      </c>
      <c r="E163" s="2978">
        <v>0.1</v>
      </c>
      <c r="F163" s="2978">
        <v>0.1</v>
      </c>
      <c r="G163" s="2979">
        <v>0.1</v>
      </c>
    </row>
    <row r="164" spans="1:7">
      <c r="A164" s="2988" t="s">
        <v>29</v>
      </c>
      <c r="B164" s="2977" t="s">
        <v>3006</v>
      </c>
      <c r="C164" s="2994"/>
      <c r="D164" s="2994"/>
      <c r="E164" s="2994"/>
      <c r="F164" s="2978">
        <v>0.1</v>
      </c>
      <c r="G164" s="2990"/>
    </row>
    <row r="165" spans="1:7">
      <c r="A165" s="2988" t="s">
        <v>29</v>
      </c>
      <c r="B165" s="2977" t="s">
        <v>3177</v>
      </c>
      <c r="C165" s="2978">
        <v>0.126</v>
      </c>
      <c r="D165" s="2978">
        <v>0.126</v>
      </c>
      <c r="E165" s="2978">
        <v>0.11899999999999999</v>
      </c>
      <c r="F165" s="2978">
        <v>0.13</v>
      </c>
      <c r="G165" s="2979">
        <v>0.128</v>
      </c>
    </row>
    <row r="166" spans="1:7">
      <c r="A166" s="2988" t="s">
        <v>29</v>
      </c>
      <c r="B166" s="2977" t="s">
        <v>3016</v>
      </c>
      <c r="C166" s="2978">
        <v>0.129</v>
      </c>
      <c r="D166" s="2978">
        <v>0.129</v>
      </c>
      <c r="E166" s="2978">
        <v>0.123</v>
      </c>
      <c r="F166" s="2978">
        <v>0.128</v>
      </c>
      <c r="G166" s="2979">
        <v>0.13</v>
      </c>
    </row>
    <row r="167" spans="1:7">
      <c r="A167" s="2988" t="s">
        <v>29</v>
      </c>
      <c r="B167" s="2977" t="s">
        <v>3020</v>
      </c>
      <c r="C167" s="2978">
        <v>0.125</v>
      </c>
      <c r="D167" s="2978">
        <v>0.125</v>
      </c>
      <c r="E167" s="2978">
        <v>0.11700000000000001</v>
      </c>
      <c r="F167" s="2978">
        <v>0.13</v>
      </c>
      <c r="G167" s="2979">
        <v>0.126</v>
      </c>
    </row>
    <row r="168" spans="1:7">
      <c r="A168" s="2988" t="s">
        <v>29</v>
      </c>
      <c r="B168" s="2977" t="s">
        <v>3025</v>
      </c>
      <c r="C168" s="2978">
        <v>0.128</v>
      </c>
      <c r="D168" s="2978">
        <v>0.128</v>
      </c>
      <c r="E168" s="2978">
        <v>0.123</v>
      </c>
      <c r="F168" s="2989"/>
      <c r="G168" s="2979">
        <v>0.13</v>
      </c>
    </row>
    <row r="169" spans="1:7">
      <c r="A169" s="2988" t="s">
        <v>29</v>
      </c>
      <c r="B169" s="2977" t="s">
        <v>3178</v>
      </c>
      <c r="C169" s="2994"/>
      <c r="D169" s="2994"/>
      <c r="E169" s="2994"/>
      <c r="F169" s="2978">
        <v>0.05</v>
      </c>
      <c r="G169" s="2990"/>
    </row>
    <row r="170" spans="1:7">
      <c r="A170" s="2988" t="s">
        <v>29</v>
      </c>
      <c r="B170" s="2977" t="s">
        <v>3179</v>
      </c>
      <c r="C170" s="2994"/>
      <c r="D170" s="2994"/>
      <c r="E170" s="2994"/>
      <c r="F170" s="2978">
        <v>0.05</v>
      </c>
      <c r="G170" s="2990"/>
    </row>
    <row r="171" spans="1:7">
      <c r="A171" s="2988" t="s">
        <v>29</v>
      </c>
      <c r="B171" s="2977" t="s">
        <v>3180</v>
      </c>
      <c r="C171" s="2994"/>
      <c r="D171" s="2994"/>
      <c r="E171" s="2994"/>
      <c r="F171" s="2978">
        <v>0.05</v>
      </c>
      <c r="G171" s="2995"/>
    </row>
    <row r="172" spans="1:7">
      <c r="A172" s="2988" t="s">
        <v>29</v>
      </c>
      <c r="B172" s="2977" t="s">
        <v>3181</v>
      </c>
      <c r="C172" s="2994"/>
      <c r="D172" s="2994"/>
      <c r="E172" s="2994"/>
      <c r="F172" s="2978">
        <v>0.05</v>
      </c>
      <c r="G172" s="2995"/>
    </row>
    <row r="173" spans="1:7">
      <c r="A173" s="2988" t="s">
        <v>29</v>
      </c>
      <c r="B173" s="2977" t="s">
        <v>3182</v>
      </c>
      <c r="C173" s="2994"/>
      <c r="D173" s="2994"/>
      <c r="E173" s="2994"/>
      <c r="F173" s="2978">
        <v>0.05</v>
      </c>
      <c r="G173" s="2990"/>
    </row>
    <row r="174" spans="1:7">
      <c r="A174" s="2988" t="s">
        <v>29</v>
      </c>
      <c r="B174" s="2977" t="s">
        <v>3183</v>
      </c>
      <c r="C174" s="2994"/>
      <c r="D174" s="2994"/>
      <c r="E174" s="2994"/>
      <c r="F174" s="2978">
        <v>0.05</v>
      </c>
      <c r="G174" s="2990"/>
    </row>
    <row r="175" spans="1:7">
      <c r="A175" s="2988" t="s">
        <v>29</v>
      </c>
      <c r="B175" s="2977" t="s">
        <v>3184</v>
      </c>
      <c r="C175" s="2994"/>
      <c r="D175" s="2994"/>
      <c r="E175" s="2994"/>
      <c r="F175" s="2978">
        <v>0.05</v>
      </c>
      <c r="G175" s="2990"/>
    </row>
    <row r="176" spans="1:7">
      <c r="A176" s="2988" t="s">
        <v>29</v>
      </c>
      <c r="B176" s="2977" t="s">
        <v>3185</v>
      </c>
      <c r="C176" s="2994"/>
      <c r="D176" s="2994"/>
      <c r="E176" s="2994"/>
      <c r="F176" s="2978">
        <v>0.05</v>
      </c>
      <c r="G176" s="2990"/>
    </row>
    <row r="177" spans="1:7">
      <c r="A177" s="2988" t="s">
        <v>29</v>
      </c>
      <c r="B177" s="2977" t="s">
        <v>3186</v>
      </c>
      <c r="C177" s="2989"/>
      <c r="D177" s="2989"/>
      <c r="E177" s="2989"/>
      <c r="F177" s="2978">
        <v>0.05</v>
      </c>
      <c r="G177" s="2995"/>
    </row>
    <row r="178" spans="1:7">
      <c r="A178" s="2988" t="s">
        <v>29</v>
      </c>
      <c r="B178" s="2977" t="s">
        <v>3187</v>
      </c>
      <c r="C178" s="2989"/>
      <c r="D178" s="2989"/>
      <c r="E178" s="2989"/>
      <c r="F178" s="2978">
        <v>0.05</v>
      </c>
      <c r="G178" s="2995"/>
    </row>
    <row r="179" spans="1:7">
      <c r="A179" s="2988" t="s">
        <v>29</v>
      </c>
      <c r="B179" s="2977" t="s">
        <v>3188</v>
      </c>
      <c r="C179" s="2989"/>
      <c r="D179" s="2989"/>
      <c r="E179" s="2989"/>
      <c r="F179" s="2978">
        <v>0.05</v>
      </c>
      <c r="G179" s="2995"/>
    </row>
    <row r="180" spans="1:7">
      <c r="A180" s="2988" t="s">
        <v>29</v>
      </c>
      <c r="B180" s="2977" t="s">
        <v>3189</v>
      </c>
      <c r="C180" s="2989"/>
      <c r="D180" s="2989"/>
      <c r="E180" s="2989"/>
      <c r="F180" s="2978">
        <v>0.05</v>
      </c>
      <c r="G180" s="2995"/>
    </row>
    <row r="181" spans="1:7">
      <c r="A181" s="2988" t="s">
        <v>29</v>
      </c>
      <c r="B181" s="2977" t="s">
        <v>3190</v>
      </c>
      <c r="C181" s="2989"/>
      <c r="D181" s="2989"/>
      <c r="E181" s="2989"/>
      <c r="F181" s="2978">
        <v>0.05</v>
      </c>
      <c r="G181" s="2995"/>
    </row>
    <row r="182" spans="1:7">
      <c r="A182" s="2988" t="s">
        <v>29</v>
      </c>
      <c r="B182" s="2977" t="s">
        <v>3191</v>
      </c>
      <c r="C182" s="2989"/>
      <c r="D182" s="2989"/>
      <c r="E182" s="2989"/>
      <c r="F182" s="2978">
        <v>0.05</v>
      </c>
      <c r="G182" s="2995"/>
    </row>
    <row r="183" spans="1:7">
      <c r="A183" s="2988" t="s">
        <v>29</v>
      </c>
      <c r="B183" s="2977" t="s">
        <v>3192</v>
      </c>
      <c r="C183" s="2989"/>
      <c r="D183" s="2989"/>
      <c r="E183" s="2989"/>
      <c r="F183" s="2978">
        <v>0.05</v>
      </c>
      <c r="G183" s="2995"/>
    </row>
    <row r="184" spans="1:7">
      <c r="A184" s="2988" t="s">
        <v>29</v>
      </c>
      <c r="B184" s="2977" t="s">
        <v>3193</v>
      </c>
      <c r="C184" s="2989"/>
      <c r="D184" s="2989"/>
      <c r="E184" s="2989"/>
      <c r="F184" s="2978">
        <v>0.05</v>
      </c>
      <c r="G184" s="2995"/>
    </row>
    <row r="185" spans="1:7">
      <c r="A185" s="2988" t="s">
        <v>29</v>
      </c>
      <c r="B185" s="2977" t="s">
        <v>3194</v>
      </c>
      <c r="C185" s="2989"/>
      <c r="D185" s="2989"/>
      <c r="E185" s="2989"/>
      <c r="F185" s="2978">
        <v>0.05</v>
      </c>
      <c r="G185" s="2995"/>
    </row>
    <row r="186" spans="1:7">
      <c r="A186" s="2988" t="s">
        <v>29</v>
      </c>
      <c r="B186" s="2977" t="s">
        <v>3195</v>
      </c>
      <c r="C186" s="2989"/>
      <c r="D186" s="2989"/>
      <c r="E186" s="2989"/>
      <c r="F186" s="2978">
        <v>0.05</v>
      </c>
      <c r="G186" s="2995"/>
    </row>
    <row r="187" spans="1:7">
      <c r="A187" s="2988" t="s">
        <v>29</v>
      </c>
      <c r="B187" s="2977" t="s">
        <v>3196</v>
      </c>
      <c r="C187" s="2989"/>
      <c r="D187" s="2989"/>
      <c r="E187" s="2989"/>
      <c r="F187" s="2978">
        <v>0.05</v>
      </c>
      <c r="G187" s="2995"/>
    </row>
    <row r="188" spans="1:7">
      <c r="A188" s="2988" t="s">
        <v>29</v>
      </c>
      <c r="B188" s="2977" t="s">
        <v>3197</v>
      </c>
      <c r="C188" s="2989"/>
      <c r="D188" s="2989"/>
      <c r="E188" s="2989"/>
      <c r="F188" s="2978">
        <v>0.05</v>
      </c>
      <c r="G188" s="2995"/>
    </row>
    <row r="189" spans="1:7" ht="14.25" thickBot="1">
      <c r="A189" s="2991" t="s">
        <v>29</v>
      </c>
      <c r="B189" s="2981" t="s">
        <v>3198</v>
      </c>
      <c r="C189" s="2983"/>
      <c r="D189" s="2983"/>
      <c r="E189" s="2983"/>
      <c r="F189" s="2982">
        <v>0.05</v>
      </c>
      <c r="G189" s="2996"/>
    </row>
    <row r="190" spans="1:7">
      <c r="A190" s="2987" t="s">
        <v>304</v>
      </c>
      <c r="B190" s="2973" t="s">
        <v>2854</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2890</v>
      </c>
      <c r="C199" s="2978">
        <v>0.13</v>
      </c>
      <c r="D199" s="2978">
        <v>0.13</v>
      </c>
      <c r="E199" s="2978">
        <v>0.13</v>
      </c>
      <c r="F199" s="2978">
        <v>0.13</v>
      </c>
      <c r="G199" s="2979">
        <v>0.13</v>
      </c>
    </row>
    <row r="200" spans="1:7">
      <c r="A200" s="2988" t="s">
        <v>304</v>
      </c>
      <c r="B200" s="2977" t="s">
        <v>2893</v>
      </c>
      <c r="C200" s="2994"/>
      <c r="D200" s="2994"/>
      <c r="E200" s="2994"/>
      <c r="F200" s="2978">
        <v>0.13</v>
      </c>
      <c r="G200" s="2990"/>
    </row>
    <row r="201" spans="1:7">
      <c r="A201" s="2988" t="s">
        <v>304</v>
      </c>
      <c r="B201" s="2977" t="s">
        <v>2898</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2901</v>
      </c>
      <c r="C203" s="2978">
        <v>0.129</v>
      </c>
      <c r="D203" s="2978">
        <v>0.129</v>
      </c>
      <c r="E203" s="2978">
        <v>0.13</v>
      </c>
      <c r="F203" s="2978">
        <v>0.13</v>
      </c>
      <c r="G203" s="2979">
        <v>0.13</v>
      </c>
    </row>
    <row r="204" spans="1:7">
      <c r="A204" s="2988" t="s">
        <v>304</v>
      </c>
      <c r="B204" s="2977" t="s">
        <v>2904</v>
      </c>
      <c r="C204" s="2978">
        <v>0.129</v>
      </c>
      <c r="D204" s="2978">
        <v>0.129</v>
      </c>
      <c r="E204" s="2978">
        <v>0.123</v>
      </c>
      <c r="F204" s="2978">
        <v>0.13</v>
      </c>
      <c r="G204" s="2979">
        <v>0.13</v>
      </c>
    </row>
    <row r="205" spans="1:7">
      <c r="A205" s="2988" t="s">
        <v>304</v>
      </c>
      <c r="B205" s="2977" t="s">
        <v>2906</v>
      </c>
      <c r="C205" s="2978">
        <v>0.13</v>
      </c>
      <c r="D205" s="2978">
        <v>0.13</v>
      </c>
      <c r="E205" s="2978">
        <v>0.13</v>
      </c>
      <c r="F205" s="2978">
        <v>0.13</v>
      </c>
      <c r="G205" s="2979">
        <v>0.13</v>
      </c>
    </row>
    <row r="206" spans="1:7">
      <c r="A206" s="2988" t="s">
        <v>304</v>
      </c>
      <c r="B206" s="2977" t="s">
        <v>2909</v>
      </c>
      <c r="C206" s="2978">
        <v>0.13</v>
      </c>
      <c r="D206" s="2978">
        <v>0.13</v>
      </c>
      <c r="E206" s="2978">
        <v>0.13</v>
      </c>
      <c r="F206" s="2978">
        <v>0.128</v>
      </c>
      <c r="G206" s="2979">
        <v>0.13</v>
      </c>
    </row>
    <row r="207" spans="1:7">
      <c r="A207" s="2988" t="s">
        <v>304</v>
      </c>
      <c r="B207" s="2977" t="s">
        <v>2911</v>
      </c>
      <c r="C207" s="2978">
        <v>0.13</v>
      </c>
      <c r="D207" s="2978">
        <v>0.13</v>
      </c>
      <c r="E207" s="2978">
        <v>0.13</v>
      </c>
      <c r="F207" s="2978">
        <v>0.13</v>
      </c>
      <c r="G207" s="2979">
        <v>0.13</v>
      </c>
    </row>
    <row r="208" spans="1:7">
      <c r="A208" s="2988" t="s">
        <v>304</v>
      </c>
      <c r="B208" s="2977" t="s">
        <v>2914</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2921</v>
      </c>
      <c r="C210" s="2978">
        <v>0.121</v>
      </c>
      <c r="D210" s="2978">
        <v>0.121</v>
      </c>
      <c r="E210" s="2978">
        <v>0.125</v>
      </c>
      <c r="F210" s="2978">
        <v>0.13</v>
      </c>
      <c r="G210" s="2979">
        <v>0.123</v>
      </c>
    </row>
    <row r="211" spans="1:7">
      <c r="A211" s="2988" t="s">
        <v>304</v>
      </c>
      <c r="B211" s="2977" t="s">
        <v>2924</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2936</v>
      </c>
      <c r="C214" s="2978">
        <v>0.128</v>
      </c>
      <c r="D214" s="2978">
        <v>0.128</v>
      </c>
      <c r="E214" s="2978">
        <v>0.13</v>
      </c>
      <c r="F214" s="2978">
        <v>0.13</v>
      </c>
      <c r="G214" s="2979">
        <v>0.13</v>
      </c>
    </row>
    <row r="215" spans="1:7">
      <c r="A215" s="2988" t="s">
        <v>304</v>
      </c>
      <c r="B215" s="2977" t="s">
        <v>2940</v>
      </c>
      <c r="C215" s="2978">
        <v>0.13</v>
      </c>
      <c r="D215" s="2978">
        <v>0.13</v>
      </c>
      <c r="E215" s="2978">
        <v>0.13</v>
      </c>
      <c r="F215" s="2978">
        <v>0.129</v>
      </c>
      <c r="G215" s="2979">
        <v>0.13</v>
      </c>
    </row>
    <row r="216" spans="1:7">
      <c r="A216" s="2988" t="s">
        <v>304</v>
      </c>
      <c r="B216" s="2977" t="s">
        <v>2947</v>
      </c>
      <c r="C216" s="2978">
        <v>0.13</v>
      </c>
      <c r="D216" s="2978">
        <v>0.13</v>
      </c>
      <c r="E216" s="2978">
        <v>0.13</v>
      </c>
      <c r="F216" s="2978">
        <v>0.13</v>
      </c>
      <c r="G216" s="2979">
        <v>0.13</v>
      </c>
    </row>
    <row r="217" spans="1:7">
      <c r="A217" s="2988" t="s">
        <v>304</v>
      </c>
      <c r="B217" s="2977" t="s">
        <v>2954</v>
      </c>
      <c r="C217" s="2978">
        <v>0.129</v>
      </c>
      <c r="D217" s="2978">
        <v>0.129</v>
      </c>
      <c r="E217" s="2978">
        <v>0.13</v>
      </c>
      <c r="F217" s="2978">
        <v>0.13</v>
      </c>
      <c r="G217" s="2979">
        <v>0.13</v>
      </c>
    </row>
    <row r="218" spans="1:7">
      <c r="A218" s="2988" t="s">
        <v>304</v>
      </c>
      <c r="B218" s="2977" t="s">
        <v>2960</v>
      </c>
      <c r="C218" s="2989"/>
      <c r="D218" s="2989"/>
      <c r="E218" s="2989"/>
      <c r="F218" s="2978">
        <v>0.05</v>
      </c>
      <c r="G218" s="2995"/>
    </row>
    <row r="219" spans="1:7">
      <c r="A219" s="2988" t="s">
        <v>304</v>
      </c>
      <c r="B219" s="2977" t="s">
        <v>2967</v>
      </c>
      <c r="C219" s="2989"/>
      <c r="D219" s="2989"/>
      <c r="E219" s="2989"/>
      <c r="F219" s="2978">
        <v>0.05</v>
      </c>
      <c r="G219" s="2995"/>
    </row>
    <row r="220" spans="1:7">
      <c r="A220" s="2988" t="s">
        <v>304</v>
      </c>
      <c r="B220" s="2977" t="s">
        <v>2973</v>
      </c>
      <c r="C220" s="2989"/>
      <c r="D220" s="2989"/>
      <c r="E220" s="2989"/>
      <c r="F220" s="2978">
        <v>0.05</v>
      </c>
      <c r="G220" s="2995"/>
    </row>
    <row r="221" spans="1:7">
      <c r="A221" s="2988" t="s">
        <v>304</v>
      </c>
      <c r="B221" s="2977" t="s">
        <v>2978</v>
      </c>
      <c r="C221" s="2989"/>
      <c r="D221" s="2989"/>
      <c r="E221" s="2989"/>
      <c r="F221" s="2978">
        <v>0.05</v>
      </c>
      <c r="G221" s="2995"/>
    </row>
    <row r="222" spans="1:7">
      <c r="A222" s="2988" t="s">
        <v>304</v>
      </c>
      <c r="B222" s="2977" t="s">
        <v>2982</v>
      </c>
      <c r="C222" s="2989"/>
      <c r="D222" s="2989"/>
      <c r="E222" s="2989"/>
      <c r="F222" s="2978">
        <v>0.05</v>
      </c>
      <c r="G222" s="2995"/>
    </row>
    <row r="223" spans="1:7">
      <c r="A223" s="2988" t="s">
        <v>304</v>
      </c>
      <c r="B223" s="2977" t="s">
        <v>2987</v>
      </c>
      <c r="C223" s="2989"/>
      <c r="D223" s="2989"/>
      <c r="E223" s="2989"/>
      <c r="F223" s="2978">
        <v>0.05</v>
      </c>
      <c r="G223" s="2995"/>
    </row>
    <row r="224" spans="1:7">
      <c r="A224" s="2988" t="s">
        <v>304</v>
      </c>
      <c r="B224" s="2977" t="s">
        <v>2992</v>
      </c>
      <c r="C224" s="2989"/>
      <c r="D224" s="2989"/>
      <c r="E224" s="2989"/>
      <c r="F224" s="2978">
        <v>0.05</v>
      </c>
      <c r="G224" s="2995"/>
    </row>
    <row r="225" spans="1:7">
      <c r="A225" s="2988" t="s">
        <v>304</v>
      </c>
      <c r="B225" s="2977" t="s">
        <v>2997</v>
      </c>
      <c r="C225" s="2989"/>
      <c r="D225" s="2989"/>
      <c r="E225" s="2989"/>
      <c r="F225" s="2978">
        <v>0.05</v>
      </c>
      <c r="G225" s="2995"/>
    </row>
    <row r="226" spans="1:7">
      <c r="A226" s="2988" t="s">
        <v>304</v>
      </c>
      <c r="B226" s="2977" t="s">
        <v>3199</v>
      </c>
      <c r="C226" s="2989"/>
      <c r="D226" s="2989"/>
      <c r="E226" s="2989"/>
      <c r="F226" s="2978">
        <v>0.05</v>
      </c>
      <c r="G226" s="2995"/>
    </row>
    <row r="227" spans="1:7">
      <c r="A227" s="2988" t="s">
        <v>304</v>
      </c>
      <c r="B227" s="2977" t="s">
        <v>3200</v>
      </c>
      <c r="C227" s="2989"/>
      <c r="D227" s="2989"/>
      <c r="E227" s="2989"/>
      <c r="F227" s="2978">
        <v>0.05</v>
      </c>
      <c r="G227" s="2995"/>
    </row>
    <row r="228" spans="1:7">
      <c r="A228" s="2988" t="s">
        <v>304</v>
      </c>
      <c r="B228" s="2977" t="s">
        <v>3201</v>
      </c>
      <c r="C228" s="2989"/>
      <c r="D228" s="2989"/>
      <c r="E228" s="2989"/>
      <c r="F228" s="2978">
        <v>0.05</v>
      </c>
      <c r="G228" s="2995"/>
    </row>
    <row r="229" spans="1:7">
      <c r="A229" s="2988" t="s">
        <v>304</v>
      </c>
      <c r="B229" s="2977" t="s">
        <v>3202</v>
      </c>
      <c r="C229" s="2989"/>
      <c r="D229" s="2989"/>
      <c r="E229" s="2989"/>
      <c r="F229" s="2978">
        <v>0.05</v>
      </c>
      <c r="G229" s="2995"/>
    </row>
    <row r="230" spans="1:7">
      <c r="A230" s="2988" t="s">
        <v>304</v>
      </c>
      <c r="B230" s="2977" t="s">
        <v>3203</v>
      </c>
      <c r="C230" s="2989"/>
      <c r="D230" s="2989"/>
      <c r="E230" s="2989"/>
      <c r="F230" s="2978">
        <v>0.05</v>
      </c>
      <c r="G230" s="2995"/>
    </row>
    <row r="231" spans="1:7">
      <c r="A231" s="2988" t="s">
        <v>304</v>
      </c>
      <c r="B231" s="2977" t="s">
        <v>3204</v>
      </c>
      <c r="C231" s="2989"/>
      <c r="D231" s="2989"/>
      <c r="E231" s="2989"/>
      <c r="F231" s="2978">
        <v>0.05</v>
      </c>
      <c r="G231" s="2995"/>
    </row>
    <row r="232" spans="1:7">
      <c r="A232" s="2988" t="s">
        <v>304</v>
      </c>
      <c r="B232" s="2977" t="s">
        <v>3205</v>
      </c>
      <c r="C232" s="2989"/>
      <c r="D232" s="2989"/>
      <c r="E232" s="2989"/>
      <c r="F232" s="2978">
        <v>0.05</v>
      </c>
      <c r="G232" s="2995"/>
    </row>
    <row r="233" spans="1:7" ht="14.25" thickBot="1">
      <c r="A233" s="2991" t="s">
        <v>304</v>
      </c>
      <c r="B233" s="2981" t="s">
        <v>3206</v>
      </c>
      <c r="C233" s="2983"/>
      <c r="D233" s="2983"/>
      <c r="E233" s="2983"/>
      <c r="F233" s="2982">
        <v>0.05</v>
      </c>
      <c r="G233" s="2996"/>
    </row>
    <row r="234" spans="1:7">
      <c r="A234" s="2987" t="s">
        <v>305</v>
      </c>
      <c r="B234" s="2973" t="s">
        <v>2855</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2875</v>
      </c>
      <c r="C238" s="2978">
        <v>0.14899999999999999</v>
      </c>
      <c r="D238" s="2978">
        <v>0.14899999999999999</v>
      </c>
      <c r="E238" s="2978">
        <v>0.15</v>
      </c>
      <c r="F238" s="2978">
        <v>0.15</v>
      </c>
      <c r="G238" s="2979">
        <v>0.15</v>
      </c>
    </row>
    <row r="239" spans="1:7">
      <c r="A239" s="2988" t="s">
        <v>305</v>
      </c>
      <c r="B239" s="2977" t="s">
        <v>2879</v>
      </c>
      <c r="C239" s="2978">
        <v>0.15</v>
      </c>
      <c r="D239" s="2978">
        <v>0.15</v>
      </c>
      <c r="E239" s="2978">
        <v>0.15</v>
      </c>
      <c r="F239" s="2978">
        <v>0.15</v>
      </c>
      <c r="G239" s="2979">
        <v>0.15</v>
      </c>
    </row>
    <row r="240" spans="1:7">
      <c r="A240" s="2988" t="s">
        <v>305</v>
      </c>
      <c r="B240" s="2977" t="s">
        <v>2884</v>
      </c>
      <c r="C240" s="2978">
        <v>0.15</v>
      </c>
      <c r="D240" s="2978">
        <v>0.15</v>
      </c>
      <c r="E240" s="2978">
        <v>0.15</v>
      </c>
      <c r="F240" s="2978">
        <v>0.15</v>
      </c>
      <c r="G240" s="2979">
        <v>0.15</v>
      </c>
    </row>
    <row r="241" spans="1:7">
      <c r="A241" s="2988" t="s">
        <v>305</v>
      </c>
      <c r="B241" s="2977" t="s">
        <v>2888</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2894</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2902</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2907</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2915</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2928</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2937</v>
      </c>
      <c r="C258" s="2978">
        <v>0.14299999999999999</v>
      </c>
      <c r="D258" s="2978">
        <v>0.14299999999999999</v>
      </c>
      <c r="E258" s="2978">
        <v>0.15</v>
      </c>
      <c r="F258" s="2978">
        <v>0.14799999999999999</v>
      </c>
      <c r="G258" s="2979">
        <v>0.14599999999999999</v>
      </c>
    </row>
    <row r="259" spans="1:7">
      <c r="A259" s="2988" t="s">
        <v>305</v>
      </c>
      <c r="B259" s="2977" t="s">
        <v>2941</v>
      </c>
      <c r="C259" s="2978">
        <v>0.14399999999999999</v>
      </c>
      <c r="D259" s="2978">
        <v>0.14399999999999999</v>
      </c>
      <c r="E259" s="2978">
        <v>0.14899999999999999</v>
      </c>
      <c r="F259" s="2978">
        <v>0.14699999999999999</v>
      </c>
      <c r="G259" s="2979">
        <v>0.14599999999999999</v>
      </c>
    </row>
    <row r="260" spans="1:7">
      <c r="A260" s="2988" t="s">
        <v>305</v>
      </c>
      <c r="B260" s="2977" t="s">
        <v>2948</v>
      </c>
      <c r="C260" s="2978">
        <v>0.109</v>
      </c>
      <c r="D260" s="2978">
        <v>0.111</v>
      </c>
      <c r="E260" s="2978">
        <v>0.13100000000000001</v>
      </c>
      <c r="F260" s="2978">
        <v>0.126</v>
      </c>
      <c r="G260" s="2979">
        <v>0.11899999999999999</v>
      </c>
    </row>
    <row r="261" spans="1:7">
      <c r="A261" s="2988" t="s">
        <v>305</v>
      </c>
      <c r="B261" s="2977" t="s">
        <v>2955</v>
      </c>
      <c r="C261" s="2978">
        <v>0.1</v>
      </c>
      <c r="D261" s="2978">
        <v>0.1</v>
      </c>
      <c r="E261" s="2978">
        <v>0.11799999999999999</v>
      </c>
      <c r="F261" s="2978">
        <v>0.108</v>
      </c>
      <c r="G261" s="2979">
        <v>0.107</v>
      </c>
    </row>
    <row r="262" spans="1:7">
      <c r="A262" s="2988" t="s">
        <v>305</v>
      </c>
      <c r="B262" s="2977" t="s">
        <v>2961</v>
      </c>
      <c r="C262" s="2978">
        <v>0.1</v>
      </c>
      <c r="D262" s="2978">
        <v>0.1</v>
      </c>
      <c r="E262" s="2978">
        <v>0.1</v>
      </c>
      <c r="F262" s="2978">
        <v>0.14099999999999999</v>
      </c>
      <c r="G262" s="2979">
        <v>0.1</v>
      </c>
    </row>
    <row r="263" spans="1:7">
      <c r="A263" s="2988" t="s">
        <v>305</v>
      </c>
      <c r="B263" s="2977" t="s">
        <v>2968</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2979</v>
      </c>
      <c r="C265" s="2989"/>
      <c r="D265" s="2989"/>
      <c r="E265" s="2989"/>
      <c r="F265" s="2978">
        <v>0.05</v>
      </c>
      <c r="G265" s="2995"/>
    </row>
    <row r="266" spans="1:7">
      <c r="A266" s="2988" t="s">
        <v>305</v>
      </c>
      <c r="B266" s="2977" t="s">
        <v>2983</v>
      </c>
      <c r="C266" s="2989"/>
      <c r="D266" s="2989"/>
      <c r="E266" s="2989"/>
      <c r="F266" s="2978">
        <v>0.05</v>
      </c>
      <c r="G266" s="2995"/>
    </row>
    <row r="267" spans="1:7">
      <c r="A267" s="2988" t="s">
        <v>305</v>
      </c>
      <c r="B267" s="2977" t="s">
        <v>2988</v>
      </c>
      <c r="C267" s="2989"/>
      <c r="D267" s="2989"/>
      <c r="E267" s="2989"/>
      <c r="F267" s="2978">
        <v>0.05</v>
      </c>
      <c r="G267" s="2995"/>
    </row>
    <row r="268" spans="1:7">
      <c r="A268" s="2988" t="s">
        <v>305</v>
      </c>
      <c r="B268" s="2977" t="s">
        <v>2993</v>
      </c>
      <c r="C268" s="2989"/>
      <c r="D268" s="2989"/>
      <c r="E268" s="2989"/>
      <c r="F268" s="2978">
        <v>0.05</v>
      </c>
      <c r="G268" s="2995"/>
    </row>
    <row r="269" spans="1:7">
      <c r="A269" s="2988" t="s">
        <v>305</v>
      </c>
      <c r="B269" s="2977" t="s">
        <v>2998</v>
      </c>
      <c r="C269" s="2989"/>
      <c r="D269" s="2989"/>
      <c r="E269" s="2989"/>
      <c r="F269" s="2978">
        <v>0.05</v>
      </c>
      <c r="G269" s="2995"/>
    </row>
    <row r="270" spans="1:7">
      <c r="A270" s="2988" t="s">
        <v>305</v>
      </c>
      <c r="B270" s="2977" t="s">
        <v>3003</v>
      </c>
      <c r="C270" s="2989"/>
      <c r="D270" s="2989"/>
      <c r="E270" s="2989"/>
      <c r="F270" s="2978">
        <v>0.05</v>
      </c>
      <c r="G270" s="2995"/>
    </row>
    <row r="271" spans="1:7">
      <c r="A271" s="2988" t="s">
        <v>305</v>
      </c>
      <c r="B271" s="2977" t="s">
        <v>3207</v>
      </c>
      <c r="C271" s="2989"/>
      <c r="D271" s="2989"/>
      <c r="E271" s="2989"/>
      <c r="F271" s="2978">
        <v>0.05</v>
      </c>
      <c r="G271" s="2995"/>
    </row>
    <row r="272" spans="1:7">
      <c r="A272" s="2988" t="s">
        <v>305</v>
      </c>
      <c r="B272" s="2977" t="s">
        <v>3208</v>
      </c>
      <c r="C272" s="2989"/>
      <c r="D272" s="2989"/>
      <c r="E272" s="2989"/>
      <c r="F272" s="2978">
        <v>0.05</v>
      </c>
      <c r="G272" s="2995"/>
    </row>
    <row r="273" spans="1:7">
      <c r="A273" s="2988" t="s">
        <v>305</v>
      </c>
      <c r="B273" s="2977" t="s">
        <v>3209</v>
      </c>
      <c r="C273" s="2989"/>
      <c r="D273" s="2989"/>
      <c r="E273" s="2989"/>
      <c r="F273" s="2978">
        <v>0.05</v>
      </c>
      <c r="G273" s="2995"/>
    </row>
    <row r="274" spans="1:7">
      <c r="A274" s="2988" t="s">
        <v>305</v>
      </c>
      <c r="B274" s="2977" t="s">
        <v>3210</v>
      </c>
      <c r="C274" s="2989"/>
      <c r="D274" s="2989"/>
      <c r="E274" s="2989"/>
      <c r="F274" s="2978">
        <v>0.05</v>
      </c>
      <c r="G274" s="2995"/>
    </row>
    <row r="275" spans="1:7">
      <c r="A275" s="2988" t="s">
        <v>305</v>
      </c>
      <c r="B275" s="2977" t="s">
        <v>3211</v>
      </c>
      <c r="C275" s="2989"/>
      <c r="D275" s="2989"/>
      <c r="E275" s="2989"/>
      <c r="F275" s="2978">
        <v>0.05</v>
      </c>
      <c r="G275" s="2995"/>
    </row>
    <row r="276" spans="1:7" ht="14.25" thickBot="1">
      <c r="A276" s="2991" t="s">
        <v>305</v>
      </c>
      <c r="B276" s="2981" t="s">
        <v>3212</v>
      </c>
      <c r="C276" s="2983"/>
      <c r="D276" s="2983"/>
      <c r="E276" s="2983"/>
      <c r="F276" s="2982">
        <v>0.05</v>
      </c>
      <c r="G276" s="2996"/>
    </row>
    <row r="277" spans="1:7">
      <c r="A277" s="2987" t="s">
        <v>306</v>
      </c>
      <c r="B277" s="2973" t="s">
        <v>2856</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2868</v>
      </c>
      <c r="C279" s="2978">
        <v>0.15</v>
      </c>
      <c r="D279" s="2978">
        <v>0.15</v>
      </c>
      <c r="E279" s="2978">
        <v>0.15</v>
      </c>
      <c r="F279" s="2978">
        <v>0.15</v>
      </c>
      <c r="G279" s="2979">
        <v>0.15</v>
      </c>
    </row>
    <row r="280" spans="1:7">
      <c r="A280" s="2988" t="s">
        <v>306</v>
      </c>
      <c r="B280" s="2977" t="s">
        <v>2872</v>
      </c>
      <c r="C280" s="2978">
        <v>0.15</v>
      </c>
      <c r="D280" s="2978">
        <v>0.15</v>
      </c>
      <c r="E280" s="2978">
        <v>0.15</v>
      </c>
      <c r="F280" s="2978">
        <v>0.15</v>
      </c>
      <c r="G280" s="2979">
        <v>0.15</v>
      </c>
    </row>
    <row r="281" spans="1:7">
      <c r="A281" s="2988" t="s">
        <v>306</v>
      </c>
      <c r="B281" s="2977" t="s">
        <v>2876</v>
      </c>
      <c r="C281" s="2978">
        <v>0.15</v>
      </c>
      <c r="D281" s="2978">
        <v>0.15</v>
      </c>
      <c r="E281" s="2978">
        <v>0.15</v>
      </c>
      <c r="F281" s="2978">
        <v>0.15</v>
      </c>
      <c r="G281" s="2979">
        <v>0.15</v>
      </c>
    </row>
    <row r="282" spans="1:7">
      <c r="A282" s="2988" t="s">
        <v>306</v>
      </c>
      <c r="B282" s="2977" t="s">
        <v>2880</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2895</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2900</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2910</v>
      </c>
      <c r="C293" s="2978">
        <v>0.15</v>
      </c>
      <c r="D293" s="2978">
        <v>0.15</v>
      </c>
      <c r="E293" s="2978">
        <v>0.15</v>
      </c>
      <c r="F293" s="2978">
        <v>0.14499999999999999</v>
      </c>
      <c r="G293" s="2979">
        <v>0.15</v>
      </c>
    </row>
    <row r="294" spans="1:7">
      <c r="A294" s="2988" t="s">
        <v>306</v>
      </c>
      <c r="B294" s="2977" t="s">
        <v>2912</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2929</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2942</v>
      </c>
      <c r="C302" s="2978">
        <v>0.15</v>
      </c>
      <c r="D302" s="2978">
        <v>0.15</v>
      </c>
      <c r="E302" s="2978">
        <v>0.15</v>
      </c>
      <c r="F302" s="2978">
        <v>0.14699999999999999</v>
      </c>
      <c r="G302" s="2979">
        <v>0.15</v>
      </c>
    </row>
    <row r="303" spans="1:7">
      <c r="A303" s="2988" t="s">
        <v>306</v>
      </c>
      <c r="B303" s="2977" t="s">
        <v>2949</v>
      </c>
      <c r="C303" s="2978">
        <v>0.15</v>
      </c>
      <c r="D303" s="2978">
        <v>0.15</v>
      </c>
      <c r="E303" s="2978">
        <v>0.15</v>
      </c>
      <c r="F303" s="2978">
        <v>0.14199999999999999</v>
      </c>
      <c r="G303" s="2979">
        <v>0.15</v>
      </c>
    </row>
    <row r="304" spans="1:7">
      <c r="A304" s="2988" t="s">
        <v>306</v>
      </c>
      <c r="B304" s="2977" t="s">
        <v>2956</v>
      </c>
      <c r="C304" s="2978">
        <v>0.15</v>
      </c>
      <c r="D304" s="2978">
        <v>0.15</v>
      </c>
      <c r="E304" s="2978">
        <v>0.15</v>
      </c>
      <c r="F304" s="2978">
        <v>0.14499999999999999</v>
      </c>
      <c r="G304" s="2979">
        <v>0.15</v>
      </c>
    </row>
    <row r="305" spans="1:7">
      <c r="A305" s="2988" t="s">
        <v>306</v>
      </c>
      <c r="B305" s="2977" t="s">
        <v>2962</v>
      </c>
      <c r="C305" s="2978">
        <v>0.15</v>
      </c>
      <c r="D305" s="2978">
        <v>0.15</v>
      </c>
      <c r="E305" s="2978">
        <v>0.15</v>
      </c>
      <c r="F305" s="2978">
        <v>0.111</v>
      </c>
      <c r="G305" s="2979">
        <v>0.15</v>
      </c>
    </row>
    <row r="306" spans="1:7">
      <c r="A306" s="2988" t="s">
        <v>306</v>
      </c>
      <c r="B306" s="2977" t="s">
        <v>2969</v>
      </c>
      <c r="C306" s="2978">
        <v>0.15</v>
      </c>
      <c r="D306" s="2978">
        <v>0.15</v>
      </c>
      <c r="E306" s="2978">
        <v>0.15</v>
      </c>
      <c r="F306" s="2978">
        <v>0.126</v>
      </c>
      <c r="G306" s="2979">
        <v>0.15</v>
      </c>
    </row>
    <row r="307" spans="1:7">
      <c r="A307" s="2988" t="s">
        <v>306</v>
      </c>
      <c r="B307" s="2977" t="s">
        <v>2974</v>
      </c>
      <c r="C307" s="2978">
        <v>0.15</v>
      </c>
      <c r="D307" s="2978">
        <v>0.15</v>
      </c>
      <c r="E307" s="2978">
        <v>0.15</v>
      </c>
      <c r="F307" s="2978">
        <v>0.12</v>
      </c>
      <c r="G307" s="2979">
        <v>0.15</v>
      </c>
    </row>
    <row r="308" spans="1:7">
      <c r="A308" s="2988" t="s">
        <v>306</v>
      </c>
      <c r="B308" s="2977" t="s">
        <v>2980</v>
      </c>
      <c r="C308" s="2978">
        <v>0.15</v>
      </c>
      <c r="D308" s="2978">
        <v>0.15</v>
      </c>
      <c r="E308" s="2978">
        <v>0.15</v>
      </c>
      <c r="F308" s="2978">
        <v>0.13</v>
      </c>
      <c r="G308" s="2979">
        <v>0.15</v>
      </c>
    </row>
    <row r="309" spans="1:7">
      <c r="A309" s="2988" t="s">
        <v>306</v>
      </c>
      <c r="B309" s="2977" t="s">
        <v>2984</v>
      </c>
      <c r="C309" s="2978">
        <v>0.15</v>
      </c>
      <c r="D309" s="2978">
        <v>0.15</v>
      </c>
      <c r="E309" s="2978">
        <v>0.15</v>
      </c>
      <c r="F309" s="2978">
        <v>0.14099999999999999</v>
      </c>
      <c r="G309" s="2979">
        <v>0.15</v>
      </c>
    </row>
    <row r="310" spans="1:7">
      <c r="A310" s="2988" t="s">
        <v>306</v>
      </c>
      <c r="B310" s="2977" t="s">
        <v>2989</v>
      </c>
      <c r="C310" s="2978">
        <v>0.15</v>
      </c>
      <c r="D310" s="2978">
        <v>0.15</v>
      </c>
      <c r="E310" s="2978">
        <v>0.15</v>
      </c>
      <c r="F310" s="2978">
        <v>0.15</v>
      </c>
      <c r="G310" s="2979">
        <v>0.15</v>
      </c>
    </row>
    <row r="311" spans="1:7">
      <c r="A311" s="2988" t="s">
        <v>306</v>
      </c>
      <c r="B311" s="2977" t="s">
        <v>2994</v>
      </c>
      <c r="C311" s="2978">
        <v>0.13200000000000001</v>
      </c>
      <c r="D311" s="2978">
        <v>0.13300000000000001</v>
      </c>
      <c r="E311" s="2978">
        <v>0.14499999999999999</v>
      </c>
      <c r="F311" s="2978">
        <v>0.14199999999999999</v>
      </c>
      <c r="G311" s="2979">
        <v>0.14000000000000001</v>
      </c>
    </row>
    <row r="312" spans="1:7">
      <c r="A312" s="2988" t="s">
        <v>306</v>
      </c>
      <c r="B312" s="2977" t="s">
        <v>2999</v>
      </c>
      <c r="C312" s="2978">
        <v>0.13800000000000001</v>
      </c>
      <c r="D312" s="2978">
        <v>0.14000000000000001</v>
      </c>
      <c r="E312" s="2978">
        <v>0.14599999999999999</v>
      </c>
      <c r="F312" s="2978">
        <v>0.14899999999999999</v>
      </c>
      <c r="G312" s="2979">
        <v>0.14199999999999999</v>
      </c>
    </row>
    <row r="313" spans="1:7">
      <c r="A313" s="2988" t="s">
        <v>306</v>
      </c>
      <c r="B313" s="2977" t="s">
        <v>3004</v>
      </c>
      <c r="C313" s="2978">
        <v>0.125</v>
      </c>
      <c r="D313" s="2978">
        <v>0.127</v>
      </c>
      <c r="E313" s="2978">
        <v>0.14399999999999999</v>
      </c>
      <c r="F313" s="2978">
        <v>0.115</v>
      </c>
      <c r="G313" s="2979">
        <v>0.13600000000000001</v>
      </c>
    </row>
    <row r="314" spans="1:7">
      <c r="A314" s="2988" t="s">
        <v>306</v>
      </c>
      <c r="B314" s="2977" t="s">
        <v>3213</v>
      </c>
      <c r="C314" s="2994"/>
      <c r="D314" s="2994"/>
      <c r="E314" s="2994"/>
      <c r="F314" s="2978">
        <v>0.05</v>
      </c>
      <c r="G314" s="2995"/>
    </row>
    <row r="315" spans="1:7">
      <c r="A315" s="2988" t="s">
        <v>306</v>
      </c>
      <c r="B315" s="2977" t="s">
        <v>3214</v>
      </c>
      <c r="C315" s="2994"/>
      <c r="D315" s="2994"/>
      <c r="E315" s="2994"/>
      <c r="F315" s="2978">
        <v>0.05</v>
      </c>
      <c r="G315" s="2995"/>
    </row>
    <row r="316" spans="1:7">
      <c r="A316" s="2988" t="s">
        <v>306</v>
      </c>
      <c r="B316" s="2977" t="s">
        <v>3215</v>
      </c>
      <c r="C316" s="2989"/>
      <c r="D316" s="2989"/>
      <c r="E316" s="2989"/>
      <c r="F316" s="2978">
        <v>0.05</v>
      </c>
      <c r="G316" s="2995"/>
    </row>
    <row r="317" spans="1:7">
      <c r="A317" s="2988" t="s">
        <v>306</v>
      </c>
      <c r="B317" s="2977" t="s">
        <v>3216</v>
      </c>
      <c r="C317" s="2989"/>
      <c r="D317" s="2989"/>
      <c r="E317" s="2989"/>
      <c r="F317" s="2978">
        <v>0.05</v>
      </c>
      <c r="G317" s="2995"/>
    </row>
    <row r="318" spans="1:7">
      <c r="A318" s="2988" t="s">
        <v>306</v>
      </c>
      <c r="B318" s="2977" t="s">
        <v>3217</v>
      </c>
      <c r="C318" s="2989"/>
      <c r="D318" s="2989"/>
      <c r="E318" s="2989"/>
      <c r="F318" s="2978">
        <v>0.05</v>
      </c>
      <c r="G318" s="2995"/>
    </row>
    <row r="319" spans="1:7">
      <c r="A319" s="2988" t="s">
        <v>306</v>
      </c>
      <c r="B319" s="2977" t="s">
        <v>3218</v>
      </c>
      <c r="C319" s="2989"/>
      <c r="D319" s="2989"/>
      <c r="E319" s="2989"/>
      <c r="F319" s="2978">
        <v>0.05</v>
      </c>
      <c r="G319" s="2995"/>
    </row>
    <row r="320" spans="1:7">
      <c r="A320" s="2988" t="s">
        <v>306</v>
      </c>
      <c r="B320" s="2977" t="s">
        <v>3219</v>
      </c>
      <c r="C320" s="2989"/>
      <c r="D320" s="2989"/>
      <c r="E320" s="2989"/>
      <c r="F320" s="2978">
        <v>0.05</v>
      </c>
      <c r="G320" s="2995"/>
    </row>
    <row r="321" spans="1:7">
      <c r="A321" s="2988" t="s">
        <v>306</v>
      </c>
      <c r="B321" s="2977" t="s">
        <v>3220</v>
      </c>
      <c r="C321" s="2989"/>
      <c r="D321" s="2989"/>
      <c r="E321" s="2989"/>
      <c r="F321" s="2978">
        <v>0.05</v>
      </c>
      <c r="G321" s="2995"/>
    </row>
    <row r="322" spans="1:7">
      <c r="A322" s="2988" t="s">
        <v>306</v>
      </c>
      <c r="B322" s="2977" t="s">
        <v>3221</v>
      </c>
      <c r="C322" s="2989"/>
      <c r="D322" s="2989"/>
      <c r="E322" s="2989"/>
      <c r="F322" s="2978">
        <v>0.05</v>
      </c>
      <c r="G322" s="2995"/>
    </row>
    <row r="323" spans="1:7">
      <c r="A323" s="2988" t="s">
        <v>306</v>
      </c>
      <c r="B323" s="2977" t="s">
        <v>3222</v>
      </c>
      <c r="C323" s="2989"/>
      <c r="D323" s="2989"/>
      <c r="E323" s="2989"/>
      <c r="F323" s="2978">
        <v>0.05</v>
      </c>
      <c r="G323" s="2995"/>
    </row>
    <row r="324" spans="1:7">
      <c r="A324" s="2988" t="s">
        <v>306</v>
      </c>
      <c r="B324" s="2977" t="s">
        <v>3223</v>
      </c>
      <c r="C324" s="2989"/>
      <c r="D324" s="2989"/>
      <c r="E324" s="2989"/>
      <c r="F324" s="2978">
        <v>0.05</v>
      </c>
      <c r="G324" s="2995"/>
    </row>
    <row r="325" spans="1:7">
      <c r="A325" s="2988" t="s">
        <v>306</v>
      </c>
      <c r="B325" s="2977" t="s">
        <v>3224</v>
      </c>
      <c r="C325" s="2989"/>
      <c r="D325" s="2989"/>
      <c r="E325" s="2989"/>
      <c r="F325" s="2978">
        <v>0.05</v>
      </c>
      <c r="G325" s="2995"/>
    </row>
    <row r="326" spans="1:7" ht="14.25" thickBot="1">
      <c r="A326" s="2991" t="s">
        <v>306</v>
      </c>
      <c r="B326" s="2981" t="s">
        <v>3225</v>
      </c>
      <c r="C326" s="2983"/>
      <c r="D326" s="2983"/>
      <c r="E326" s="2983"/>
      <c r="F326" s="2982">
        <v>0.05</v>
      </c>
      <c r="G326" s="2996"/>
    </row>
    <row r="327" spans="1:7">
      <c r="A327" s="2987" t="s">
        <v>307</v>
      </c>
      <c r="B327" s="2973" t="s">
        <v>2857</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2869</v>
      </c>
      <c r="C329" s="2978">
        <v>0.15</v>
      </c>
      <c r="D329" s="2978">
        <v>0.15</v>
      </c>
      <c r="E329" s="2978">
        <v>0.15</v>
      </c>
      <c r="F329" s="2978">
        <v>0.15</v>
      </c>
      <c r="G329" s="2979">
        <v>0.15</v>
      </c>
    </row>
    <row r="330" spans="1:7">
      <c r="A330" s="2988" t="s">
        <v>307</v>
      </c>
      <c r="B330" s="2977" t="s">
        <v>2873</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2881</v>
      </c>
      <c r="C332" s="2978">
        <v>0.15</v>
      </c>
      <c r="D332" s="2978">
        <v>0.15</v>
      </c>
      <c r="E332" s="2978">
        <v>0.15</v>
      </c>
      <c r="F332" s="2978">
        <v>0.15</v>
      </c>
      <c r="G332" s="2979">
        <v>0.15</v>
      </c>
    </row>
    <row r="333" spans="1:7">
      <c r="A333" s="2988" t="s">
        <v>307</v>
      </c>
      <c r="B333" s="2977" t="s">
        <v>2885</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2891</v>
      </c>
      <c r="C336" s="2978">
        <v>0.15</v>
      </c>
      <c r="D336" s="2978">
        <v>0.15</v>
      </c>
      <c r="E336" s="2978">
        <v>0.15</v>
      </c>
      <c r="F336" s="2978">
        <v>0.14199999999999999</v>
      </c>
      <c r="G336" s="2979">
        <v>0.15</v>
      </c>
    </row>
    <row r="337" spans="1:7">
      <c r="A337" s="2988" t="s">
        <v>307</v>
      </c>
      <c r="B337" s="2977" t="s">
        <v>2896</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2903</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2908</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2916</v>
      </c>
      <c r="C345" s="2978">
        <v>0.15</v>
      </c>
      <c r="D345" s="2978">
        <v>0.15</v>
      </c>
      <c r="E345" s="2978">
        <v>0.15</v>
      </c>
      <c r="F345" s="2978">
        <v>0.13800000000000001</v>
      </c>
      <c r="G345" s="2979">
        <v>0.15</v>
      </c>
    </row>
    <row r="346" spans="1:7">
      <c r="A346" s="2988" t="s">
        <v>307</v>
      </c>
      <c r="B346" s="2977" t="s">
        <v>2918</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2925</v>
      </c>
      <c r="C348" s="2978">
        <v>0.15</v>
      </c>
      <c r="D348" s="2978">
        <v>0.15</v>
      </c>
      <c r="E348" s="2978">
        <v>0.15</v>
      </c>
      <c r="F348" s="2978">
        <v>0.14399999999999999</v>
      </c>
      <c r="G348" s="2979">
        <v>0.15</v>
      </c>
    </row>
    <row r="349" spans="1:7">
      <c r="A349" s="2988" t="s">
        <v>307</v>
      </c>
      <c r="B349" s="2977" t="s">
        <v>2930</v>
      </c>
      <c r="C349" s="2978">
        <v>0.15</v>
      </c>
      <c r="D349" s="2978">
        <v>0.15</v>
      </c>
      <c r="E349" s="2978">
        <v>0.15</v>
      </c>
      <c r="F349" s="2978">
        <v>0.15</v>
      </c>
      <c r="G349" s="2979">
        <v>0.15</v>
      </c>
    </row>
    <row r="350" spans="1:7">
      <c r="A350" s="2988" t="s">
        <v>307</v>
      </c>
      <c r="B350" s="2977" t="s">
        <v>2933</v>
      </c>
      <c r="C350" s="2978">
        <v>0.15</v>
      </c>
      <c r="D350" s="2978">
        <v>0.15</v>
      </c>
      <c r="E350" s="2978">
        <v>0.15</v>
      </c>
      <c r="F350" s="2978">
        <v>0.14699999999999999</v>
      </c>
      <c r="G350" s="2979">
        <v>0.15</v>
      </c>
    </row>
    <row r="351" spans="1:7">
      <c r="A351" s="2988" t="s">
        <v>307</v>
      </c>
      <c r="B351" s="2977" t="s">
        <v>2938</v>
      </c>
      <c r="C351" s="2978">
        <v>0.15</v>
      </c>
      <c r="D351" s="2978">
        <v>0.15</v>
      </c>
      <c r="E351" s="2978">
        <v>0.15</v>
      </c>
      <c r="F351" s="2978">
        <v>0.13</v>
      </c>
      <c r="G351" s="2979">
        <v>0.15</v>
      </c>
    </row>
    <row r="352" spans="1:7">
      <c r="A352" s="2988" t="s">
        <v>307</v>
      </c>
      <c r="B352" s="2977" t="s">
        <v>2943</v>
      </c>
      <c r="C352" s="2978">
        <v>0.15</v>
      </c>
      <c r="D352" s="2978">
        <v>0.15</v>
      </c>
      <c r="E352" s="2978">
        <v>0.15</v>
      </c>
      <c r="F352" s="2978">
        <v>0.14599999999999999</v>
      </c>
      <c r="G352" s="2979">
        <v>0.15</v>
      </c>
    </row>
    <row r="353" spans="1:7">
      <c r="A353" s="2988" t="s">
        <v>307</v>
      </c>
      <c r="B353" s="2977" t="s">
        <v>2950</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2963</v>
      </c>
      <c r="C355" s="2978">
        <v>0.15</v>
      </c>
      <c r="D355" s="2978">
        <v>0.15</v>
      </c>
      <c r="E355" s="2978">
        <v>0.15</v>
      </c>
      <c r="F355" s="2978">
        <v>0.15</v>
      </c>
      <c r="G355" s="2979">
        <v>0.15</v>
      </c>
    </row>
    <row r="356" spans="1:7">
      <c r="A356" s="2988" t="s">
        <v>307</v>
      </c>
      <c r="B356" s="2977" t="s">
        <v>2970</v>
      </c>
      <c r="C356" s="2978">
        <v>0.15</v>
      </c>
      <c r="D356" s="2978">
        <v>0.15</v>
      </c>
      <c r="E356" s="2978">
        <v>0.15</v>
      </c>
      <c r="F356" s="2978">
        <v>0.15</v>
      </c>
      <c r="G356" s="2979">
        <v>0.15</v>
      </c>
    </row>
    <row r="357" spans="1:7" ht="14.25" thickBot="1">
      <c r="A357" s="2991" t="s">
        <v>307</v>
      </c>
      <c r="B357" s="2981" t="s">
        <v>2975</v>
      </c>
      <c r="C357" s="2982">
        <v>0.126</v>
      </c>
      <c r="D357" s="2982">
        <v>0.127</v>
      </c>
      <c r="E357" s="2982">
        <v>0.14299999999999999</v>
      </c>
      <c r="F357" s="2982">
        <v>0.125</v>
      </c>
      <c r="G357" s="2984">
        <v>0.129</v>
      </c>
    </row>
    <row r="358" spans="1:7">
      <c r="A358" s="2987" t="s">
        <v>2844</v>
      </c>
      <c r="B358" s="2973" t="s">
        <v>2858</v>
      </c>
      <c r="C358" s="2974">
        <v>0.15</v>
      </c>
      <c r="D358" s="2974">
        <v>0.15</v>
      </c>
      <c r="E358" s="2974">
        <v>0.15</v>
      </c>
      <c r="F358" s="2974">
        <v>0.15</v>
      </c>
      <c r="G358" s="2975">
        <v>0.15</v>
      </c>
    </row>
    <row r="359" spans="1:7">
      <c r="A359" s="2988" t="s">
        <v>2844</v>
      </c>
      <c r="B359" s="2977" t="s">
        <v>2864</v>
      </c>
      <c r="C359" s="2978">
        <v>0.1</v>
      </c>
      <c r="D359" s="2978">
        <v>0.1</v>
      </c>
      <c r="E359" s="2978">
        <v>0.1</v>
      </c>
      <c r="F359" s="2978">
        <v>0.1</v>
      </c>
      <c r="G359" s="2979">
        <v>0.1</v>
      </c>
    </row>
    <row r="360" spans="1:7">
      <c r="A360" s="2988" t="s">
        <v>2844</v>
      </c>
      <c r="B360" s="2977" t="s">
        <v>2870</v>
      </c>
      <c r="C360" s="2978">
        <v>0.15</v>
      </c>
      <c r="D360" s="2978">
        <v>0.15</v>
      </c>
      <c r="E360" s="2978">
        <v>0.15</v>
      </c>
      <c r="F360" s="2978">
        <v>0.14899999999999999</v>
      </c>
      <c r="G360" s="2979">
        <v>0.15</v>
      </c>
    </row>
    <row r="361" spans="1:7">
      <c r="A361" s="2988" t="s">
        <v>2844</v>
      </c>
      <c r="B361" s="2977" t="s">
        <v>153</v>
      </c>
      <c r="C361" s="2978">
        <v>0.15</v>
      </c>
      <c r="D361" s="2978">
        <v>0.15</v>
      </c>
      <c r="E361" s="2978">
        <v>0.15</v>
      </c>
      <c r="F361" s="2978">
        <v>0.115</v>
      </c>
      <c r="G361" s="2979">
        <v>0.15</v>
      </c>
    </row>
    <row r="362" spans="1:7">
      <c r="A362" s="2988" t="s">
        <v>2844</v>
      </c>
      <c r="B362" s="2977" t="s">
        <v>2877</v>
      </c>
      <c r="C362" s="2978">
        <v>0.15</v>
      </c>
      <c r="D362" s="2978">
        <v>0.15</v>
      </c>
      <c r="E362" s="2978">
        <v>0.15</v>
      </c>
      <c r="F362" s="2978">
        <v>0.106</v>
      </c>
      <c r="G362" s="2979">
        <v>0.15</v>
      </c>
    </row>
    <row r="363" spans="1:7">
      <c r="A363" s="2988" t="s">
        <v>2844</v>
      </c>
      <c r="B363" s="2977" t="s">
        <v>2882</v>
      </c>
      <c r="C363" s="2978">
        <v>0.15</v>
      </c>
      <c r="D363" s="2978">
        <v>0.15</v>
      </c>
      <c r="E363" s="2978">
        <v>0.15</v>
      </c>
      <c r="F363" s="2978">
        <v>0.14699999999999999</v>
      </c>
      <c r="G363" s="2979">
        <v>0.15</v>
      </c>
    </row>
    <row r="364" spans="1:7">
      <c r="A364" s="2988" t="s">
        <v>2844</v>
      </c>
      <c r="B364" s="2977" t="s">
        <v>2886</v>
      </c>
      <c r="C364" s="2978">
        <v>0.15</v>
      </c>
      <c r="D364" s="2978">
        <v>0.15</v>
      </c>
      <c r="E364" s="2978">
        <v>0.15</v>
      </c>
      <c r="F364" s="2978">
        <v>0.14799999999999999</v>
      </c>
      <c r="G364" s="2979">
        <v>0.15</v>
      </c>
    </row>
    <row r="365" spans="1:7">
      <c r="A365" s="2988" t="s">
        <v>2844</v>
      </c>
      <c r="B365" s="2977" t="s">
        <v>200</v>
      </c>
      <c r="C365" s="2978">
        <v>0.15</v>
      </c>
      <c r="D365" s="2978">
        <v>0.15</v>
      </c>
      <c r="E365" s="2978">
        <v>0.15</v>
      </c>
      <c r="F365" s="2978">
        <v>0.15</v>
      </c>
      <c r="G365" s="2979">
        <v>0.15</v>
      </c>
    </row>
    <row r="366" spans="1:7">
      <c r="A366" s="2988" t="s">
        <v>2844</v>
      </c>
      <c r="B366" s="2977" t="s">
        <v>2889</v>
      </c>
      <c r="C366" s="2978">
        <v>0.15</v>
      </c>
      <c r="D366" s="2978">
        <v>0.15</v>
      </c>
      <c r="E366" s="2978">
        <v>0.15</v>
      </c>
      <c r="F366" s="2978">
        <v>0.15</v>
      </c>
      <c r="G366" s="2979">
        <v>0.15</v>
      </c>
    </row>
    <row r="367" spans="1:7">
      <c r="A367" s="2988" t="s">
        <v>2844</v>
      </c>
      <c r="B367" s="2977" t="s">
        <v>2892</v>
      </c>
      <c r="C367" s="2978">
        <v>0.15</v>
      </c>
      <c r="D367" s="2978">
        <v>0.15</v>
      </c>
      <c r="E367" s="2978">
        <v>0.15</v>
      </c>
      <c r="F367" s="2978">
        <v>0.14699999999999999</v>
      </c>
      <c r="G367" s="2979">
        <v>0.15</v>
      </c>
    </row>
    <row r="368" spans="1:7">
      <c r="A368" s="2988" t="s">
        <v>2844</v>
      </c>
      <c r="B368" s="2977" t="s">
        <v>2897</v>
      </c>
      <c r="C368" s="2978">
        <v>0.15</v>
      </c>
      <c r="D368" s="2978">
        <v>0.15</v>
      </c>
      <c r="E368" s="2978">
        <v>0.15</v>
      </c>
      <c r="F368" s="2978">
        <v>0.13600000000000001</v>
      </c>
      <c r="G368" s="2979">
        <v>0.15</v>
      </c>
    </row>
    <row r="369" spans="1:7">
      <c r="A369" s="2988" t="s">
        <v>2844</v>
      </c>
      <c r="B369" s="2977" t="s">
        <v>214</v>
      </c>
      <c r="C369" s="2978">
        <v>0.15</v>
      </c>
      <c r="D369" s="2978">
        <v>0.15</v>
      </c>
      <c r="E369" s="2978">
        <v>0.15</v>
      </c>
      <c r="F369" s="2978">
        <v>0.14399999999999999</v>
      </c>
      <c r="G369" s="2979">
        <v>0.15</v>
      </c>
    </row>
    <row r="370" spans="1:7">
      <c r="A370" s="2988" t="s">
        <v>2844</v>
      </c>
      <c r="B370" s="2977" t="s">
        <v>221</v>
      </c>
      <c r="C370" s="2978">
        <v>0.15</v>
      </c>
      <c r="D370" s="2978">
        <v>0.15</v>
      </c>
      <c r="E370" s="2978">
        <v>0.15</v>
      </c>
      <c r="F370" s="2978">
        <v>0.14599999999999999</v>
      </c>
      <c r="G370" s="2979">
        <v>0.15</v>
      </c>
    </row>
    <row r="371" spans="1:7">
      <c r="A371" s="2988" t="s">
        <v>2844</v>
      </c>
      <c r="B371" s="2977" t="s">
        <v>229</v>
      </c>
      <c r="C371" s="2978">
        <v>0.15</v>
      </c>
      <c r="D371" s="2978">
        <v>0.15</v>
      </c>
      <c r="E371" s="2978">
        <v>0.15</v>
      </c>
      <c r="F371" s="2978">
        <v>0.12</v>
      </c>
      <c r="G371" s="2979">
        <v>0.15</v>
      </c>
    </row>
    <row r="372" spans="1:7">
      <c r="A372" s="2988" t="s">
        <v>2844</v>
      </c>
      <c r="B372" s="2977" t="s">
        <v>2905</v>
      </c>
      <c r="C372" s="2978">
        <v>0.15</v>
      </c>
      <c r="D372" s="2978">
        <v>0.15</v>
      </c>
      <c r="E372" s="2978">
        <v>0.15</v>
      </c>
      <c r="F372" s="2978">
        <v>0.14299999999999999</v>
      </c>
      <c r="G372" s="2979">
        <v>0.15</v>
      </c>
    </row>
    <row r="373" spans="1:7">
      <c r="A373" s="2988" t="s">
        <v>2844</v>
      </c>
      <c r="B373" s="2977" t="s">
        <v>258</v>
      </c>
      <c r="C373" s="2978">
        <v>0.15</v>
      </c>
      <c r="D373" s="2978">
        <v>0.15</v>
      </c>
      <c r="E373" s="2978">
        <v>0.15</v>
      </c>
      <c r="F373" s="2978">
        <v>0.14599999999999999</v>
      </c>
      <c r="G373" s="2979">
        <v>0.15</v>
      </c>
    </row>
    <row r="374" spans="1:7">
      <c r="A374" s="2988" t="s">
        <v>2844</v>
      </c>
      <c r="B374" s="2977" t="s">
        <v>266</v>
      </c>
      <c r="C374" s="2978">
        <v>0.15</v>
      </c>
      <c r="D374" s="2978">
        <v>0.15</v>
      </c>
      <c r="E374" s="2978">
        <v>0.15</v>
      </c>
      <c r="F374" s="2978">
        <v>0.14399999999999999</v>
      </c>
      <c r="G374" s="2979">
        <v>0.15</v>
      </c>
    </row>
    <row r="375" spans="1:7">
      <c r="A375" s="2988" t="s">
        <v>2844</v>
      </c>
      <c r="B375" s="2977" t="s">
        <v>2913</v>
      </c>
      <c r="C375" s="2978">
        <v>0.15</v>
      </c>
      <c r="D375" s="2978">
        <v>0.15</v>
      </c>
      <c r="E375" s="2978">
        <v>0.15</v>
      </c>
      <c r="F375" s="2978">
        <v>0.13</v>
      </c>
      <c r="G375" s="2979">
        <v>0.15</v>
      </c>
    </row>
    <row r="376" spans="1:7">
      <c r="A376" s="2988" t="s">
        <v>2844</v>
      </c>
      <c r="B376" s="2977" t="s">
        <v>277</v>
      </c>
      <c r="C376" s="2978">
        <v>0.15</v>
      </c>
      <c r="D376" s="2978">
        <v>0.15</v>
      </c>
      <c r="E376" s="2978">
        <v>0.15</v>
      </c>
      <c r="F376" s="2978">
        <v>0.14199999999999999</v>
      </c>
      <c r="G376" s="2979">
        <v>0.15</v>
      </c>
    </row>
    <row r="377" spans="1:7" ht="14.25" thickBot="1">
      <c r="A377" s="2991" t="s">
        <v>2844</v>
      </c>
      <c r="B377" s="2981" t="s">
        <v>2919</v>
      </c>
      <c r="C377" s="2982">
        <v>0.15</v>
      </c>
      <c r="D377" s="2982">
        <v>0.15</v>
      </c>
      <c r="E377" s="2982">
        <v>0.15</v>
      </c>
      <c r="F377" s="2982">
        <v>0.14000000000000001</v>
      </c>
      <c r="G377" s="2984">
        <v>0.15</v>
      </c>
    </row>
    <row r="378" spans="1:7">
      <c r="A378" s="2987" t="s">
        <v>2845</v>
      </c>
      <c r="B378" s="2973" t="s">
        <v>2859</v>
      </c>
      <c r="C378" s="2974">
        <v>0.15</v>
      </c>
      <c r="D378" s="2974">
        <v>0.15</v>
      </c>
      <c r="E378" s="2974">
        <v>0.15</v>
      </c>
      <c r="F378" s="2974">
        <v>0.107</v>
      </c>
      <c r="G378" s="2975">
        <v>0.15</v>
      </c>
    </row>
    <row r="379" spans="1:7">
      <c r="A379" s="2988" t="s">
        <v>2845</v>
      </c>
      <c r="B379" s="2977" t="s">
        <v>2865</v>
      </c>
      <c r="C379" s="2978">
        <v>0.15</v>
      </c>
      <c r="D379" s="2978">
        <v>0.15</v>
      </c>
      <c r="E379" s="2978">
        <v>0.15</v>
      </c>
      <c r="F379" s="2978">
        <v>0.115</v>
      </c>
      <c r="G379" s="2979">
        <v>0.14899999999999999</v>
      </c>
    </row>
    <row r="380" spans="1:7">
      <c r="A380" s="2988" t="s">
        <v>2845</v>
      </c>
      <c r="B380" s="2977" t="s">
        <v>2871</v>
      </c>
      <c r="C380" s="2978">
        <v>0.15</v>
      </c>
      <c r="D380" s="2978">
        <v>0.15</v>
      </c>
      <c r="E380" s="2978">
        <v>0.15</v>
      </c>
      <c r="F380" s="2978">
        <v>0.1</v>
      </c>
      <c r="G380" s="2979">
        <v>0.14799999999999999</v>
      </c>
    </row>
    <row r="381" spans="1:7">
      <c r="A381" s="2988" t="s">
        <v>2845</v>
      </c>
      <c r="B381" s="2977" t="s">
        <v>2874</v>
      </c>
      <c r="C381" s="2978">
        <v>0.15</v>
      </c>
      <c r="D381" s="2978">
        <v>0.15</v>
      </c>
      <c r="E381" s="2978">
        <v>0.15</v>
      </c>
      <c r="F381" s="2978">
        <v>0.126</v>
      </c>
      <c r="G381" s="2979">
        <v>0.15</v>
      </c>
    </row>
    <row r="382" spans="1:7">
      <c r="A382" s="2988" t="s">
        <v>2845</v>
      </c>
      <c r="B382" s="2977" t="s">
        <v>2878</v>
      </c>
      <c r="C382" s="2978">
        <v>0.15</v>
      </c>
      <c r="D382" s="2978">
        <v>0.15</v>
      </c>
      <c r="E382" s="2978">
        <v>0.15</v>
      </c>
      <c r="F382" s="2978">
        <v>0.15</v>
      </c>
      <c r="G382" s="2979">
        <v>0.15</v>
      </c>
    </row>
    <row r="383" spans="1:7">
      <c r="A383" s="2988" t="s">
        <v>2845</v>
      </c>
      <c r="B383" s="2977" t="s">
        <v>2883</v>
      </c>
      <c r="C383" s="2978">
        <v>0.15</v>
      </c>
      <c r="D383" s="2978">
        <v>0.15</v>
      </c>
      <c r="E383" s="2978">
        <v>0.15</v>
      </c>
      <c r="F383" s="2978">
        <v>0.14699999999999999</v>
      </c>
      <c r="G383" s="2979">
        <v>0.15</v>
      </c>
    </row>
    <row r="384" spans="1:7" ht="14.25" thickBot="1">
      <c r="A384" s="2998" t="s">
        <v>2845</v>
      </c>
      <c r="B384" s="2999" t="s">
        <v>2887</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9" t="s">
        <v>3226</v>
      </c>
      <c r="B1" s="3499"/>
      <c r="C1" s="3499"/>
      <c r="D1" s="3499"/>
      <c r="E1" s="3499"/>
      <c r="F1" s="3500"/>
    </row>
    <row r="2" spans="1:6">
      <c r="A2" s="3002" t="s">
        <v>3227</v>
      </c>
    </row>
    <row r="3" spans="1:6">
      <c r="A3" s="3002" t="s">
        <v>3228</v>
      </c>
      <c r="F3" s="3003" t="s">
        <v>3229</v>
      </c>
    </row>
    <row r="4" spans="1:6">
      <c r="A4" s="3004" t="s">
        <v>668</v>
      </c>
      <c r="B4" s="3004" t="s">
        <v>669</v>
      </c>
      <c r="C4" s="3004" t="s">
        <v>21</v>
      </c>
      <c r="D4" s="3004" t="s">
        <v>670</v>
      </c>
      <c r="E4" s="3004" t="s">
        <v>3</v>
      </c>
      <c r="F4" s="3004" t="s">
        <v>3230</v>
      </c>
    </row>
    <row r="5" spans="1:6">
      <c r="A5" s="3005" t="s">
        <v>671</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45786</v>
      </c>
      <c r="B1" s="2929" t="s">
        <v>3372</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25" thickBot="1">
      <c r="B2" s="2881"/>
      <c r="C2" s="2882"/>
      <c r="D2" s="2011" t="s">
        <v>2804</v>
      </c>
      <c r="E2" s="2012" t="s">
        <v>2805</v>
      </c>
      <c r="F2" s="2012" t="s">
        <v>2806</v>
      </c>
      <c r="G2" s="2012" t="s">
        <v>2807</v>
      </c>
      <c r="H2" s="2012" t="s">
        <v>2808</v>
      </c>
      <c r="I2" s="2012" t="s">
        <v>2625</v>
      </c>
      <c r="J2" s="2883"/>
      <c r="K2" s="2011" t="s">
        <v>2804</v>
      </c>
      <c r="L2" s="2012" t="s">
        <v>2805</v>
      </c>
      <c r="M2" s="2012" t="s">
        <v>2806</v>
      </c>
      <c r="N2" s="2012" t="s">
        <v>2807</v>
      </c>
      <c r="O2" s="2012" t="s">
        <v>2809</v>
      </c>
      <c r="P2" s="2012" t="s">
        <v>2625</v>
      </c>
      <c r="Q2" s="2883"/>
      <c r="R2" s="2011" t="s">
        <v>2804</v>
      </c>
      <c r="S2" s="2012" t="s">
        <v>2805</v>
      </c>
      <c r="T2" s="2012" t="s">
        <v>2806</v>
      </c>
      <c r="U2" s="2012" t="s">
        <v>2810</v>
      </c>
      <c r="V2" s="2012" t="s">
        <v>2811</v>
      </c>
      <c r="W2" s="2012" t="s">
        <v>2625</v>
      </c>
      <c r="X2" s="2883"/>
      <c r="Y2" s="2011" t="s">
        <v>2804</v>
      </c>
      <c r="Z2" s="2012" t="s">
        <v>2805</v>
      </c>
      <c r="AA2" s="2012" t="s">
        <v>2806</v>
      </c>
      <c r="AB2" s="2012" t="s">
        <v>2812</v>
      </c>
      <c r="AC2" s="2012" t="s">
        <v>2811</v>
      </c>
      <c r="AD2" s="2012" t="s">
        <v>2625</v>
      </c>
      <c r="AF2" t="s">
        <v>3399</v>
      </c>
      <c r="AG2" t="s">
        <v>669</v>
      </c>
      <c r="AH2" t="s">
        <v>21</v>
      </c>
      <c r="AI2" t="s">
        <v>3400</v>
      </c>
      <c r="AJ2" t="s">
        <v>3</v>
      </c>
      <c r="AK2" t="s">
        <v>3401</v>
      </c>
      <c r="AM2" t="s">
        <v>3399</v>
      </c>
      <c r="AN2" t="s">
        <v>669</v>
      </c>
      <c r="AO2" t="s">
        <v>21</v>
      </c>
      <c r="AP2" t="s">
        <v>3400</v>
      </c>
      <c r="AQ2" t="s">
        <v>3</v>
      </c>
      <c r="AR2" t="s">
        <v>3401</v>
      </c>
    </row>
    <row r="3" spans="1:44" s="2886" customFormat="1" ht="12.75">
      <c r="A3" s="2884" t="s">
        <v>2813</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3397</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3396</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3376</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3370</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3369</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3365</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3364</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3362</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3361</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3360</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3358</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3349</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2814</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2815</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2816</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2817</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2818</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3375</v>
      </c>
    </row>
    <row r="27" spans="1:44">
      <c r="I27" s="1405" t="s">
        <v>2819</v>
      </c>
    </row>
    <row r="29" spans="1:44" s="2009" customFormat="1" ht="12.75">
      <c r="B29" s="2929" t="s">
        <v>3373</v>
      </c>
      <c r="C29" s="2930"/>
      <c r="D29" s="2930"/>
      <c r="E29" s="2930"/>
      <c r="F29" s="2930"/>
      <c r="G29" s="2930"/>
      <c r="H29" s="2930"/>
      <c r="I29" s="2930"/>
      <c r="J29" s="2896"/>
      <c r="K29" s="2930" t="s">
        <v>2820</v>
      </c>
      <c r="L29" s="2930"/>
      <c r="M29" s="2930"/>
      <c r="N29" s="2930"/>
      <c r="O29" s="2930"/>
      <c r="P29" s="2930"/>
      <c r="Q29" s="2896"/>
      <c r="R29" s="3501" t="s">
        <v>2821</v>
      </c>
      <c r="S29" s="3502"/>
      <c r="T29" s="3502"/>
      <c r="U29" s="3502"/>
      <c r="V29" s="3502"/>
      <c r="W29" s="3502"/>
      <c r="X29" s="2896"/>
      <c r="Y29" s="3501" t="s">
        <v>2822</v>
      </c>
      <c r="Z29" s="3502"/>
      <c r="AA29" s="3502"/>
      <c r="AB29" s="3502"/>
      <c r="AC29" s="3502"/>
      <c r="AD29" s="3502"/>
    </row>
    <row r="30" spans="1:44" s="2010" customFormat="1" ht="14.25" thickBot="1">
      <c r="B30" s="2881"/>
      <c r="C30" s="2882"/>
      <c r="D30" s="2011" t="s">
        <v>2823</v>
      </c>
      <c r="E30" s="2012" t="s">
        <v>2824</v>
      </c>
      <c r="F30" s="2012" t="s">
        <v>2825</v>
      </c>
      <c r="G30" s="2012" t="s">
        <v>2826</v>
      </c>
      <c r="H30" s="2012"/>
      <c r="I30" s="2012" t="s">
        <v>2827</v>
      </c>
      <c r="J30" s="2883"/>
      <c r="K30" s="2011" t="s">
        <v>2823</v>
      </c>
      <c r="L30" s="2012" t="s">
        <v>2824</v>
      </c>
      <c r="M30" s="2012" t="s">
        <v>2825</v>
      </c>
      <c r="N30" s="2012" t="s">
        <v>2826</v>
      </c>
      <c r="O30" s="2012"/>
      <c r="P30" s="2012" t="s">
        <v>2827</v>
      </c>
      <c r="Q30" s="2883"/>
      <c r="R30" s="2011" t="s">
        <v>2823</v>
      </c>
      <c r="S30" s="2012" t="s">
        <v>2824</v>
      </c>
      <c r="T30" s="2012" t="s">
        <v>2825</v>
      </c>
      <c r="U30" s="2012" t="s">
        <v>2826</v>
      </c>
      <c r="V30" s="2012"/>
      <c r="W30" s="2012" t="s">
        <v>2827</v>
      </c>
      <c r="X30" s="2883"/>
      <c r="Y30" s="2011" t="s">
        <v>2823</v>
      </c>
      <c r="Z30" s="2012" t="s">
        <v>2824</v>
      </c>
      <c r="AA30" s="2012" t="s">
        <v>2825</v>
      </c>
      <c r="AB30" s="2012" t="s">
        <v>2826</v>
      </c>
      <c r="AC30" s="2012"/>
      <c r="AD30" s="2012" t="s">
        <v>2827</v>
      </c>
      <c r="AG30" t="s">
        <v>669</v>
      </c>
      <c r="AH30" t="s">
        <v>21</v>
      </c>
      <c r="AI30" t="s">
        <v>3400</v>
      </c>
      <c r="AJ30"/>
      <c r="AK30" t="s">
        <v>3401</v>
      </c>
      <c r="AN30" t="s">
        <v>669</v>
      </c>
      <c r="AO30" t="s">
        <v>21</v>
      </c>
      <c r="AP30" t="s">
        <v>3400</v>
      </c>
      <c r="AQ30"/>
      <c r="AR30" t="s">
        <v>3401</v>
      </c>
    </row>
    <row r="31" spans="1:44" s="2886" customFormat="1" ht="12.75">
      <c r="A31" s="2884" t="s">
        <v>2828</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3397</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3405</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3367</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3371</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3368</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3366</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3364</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3363</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3361</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3360</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3359</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3349</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2829</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2830</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2831</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2832</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2818</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672</v>
      </c>
      <c r="K2" s="2012" t="s">
        <v>308</v>
      </c>
      <c r="L2" s="2011" t="s">
        <v>462</v>
      </c>
      <c r="N2" s="2011" t="s">
        <v>458</v>
      </c>
      <c r="O2" s="2012" t="s">
        <v>672</v>
      </c>
      <c r="P2" s="2012" t="s">
        <v>308</v>
      </c>
      <c r="Q2" s="2011" t="s">
        <v>462</v>
      </c>
      <c r="S2" s="2011" t="s">
        <v>458</v>
      </c>
      <c r="T2" s="2012" t="s">
        <v>672</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2105</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673</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2833</v>
      </c>
      <c r="B1" s="3514"/>
      <c r="C1" s="3514"/>
      <c r="D1" s="3514"/>
      <c r="E1" s="3514"/>
      <c r="F1" s="3514"/>
      <c r="G1" s="3515"/>
      <c r="I1" s="2938" t="s">
        <v>2834</v>
      </c>
      <c r="J1" s="2939" t="s">
        <v>2835</v>
      </c>
      <c r="K1" s="2939" t="s">
        <v>2836</v>
      </c>
      <c r="L1" s="2939" t="s">
        <v>2837</v>
      </c>
      <c r="M1" s="2939" t="s">
        <v>2838</v>
      </c>
      <c r="N1" s="2939" t="s">
        <v>2839</v>
      </c>
      <c r="O1" s="2939" t="s">
        <v>2840</v>
      </c>
      <c r="P1" s="2939" t="s">
        <v>2841</v>
      </c>
      <c r="Q1" s="2939" t="s">
        <v>2842</v>
      </c>
      <c r="R1" s="2939" t="s">
        <v>2843</v>
      </c>
      <c r="S1" s="2939" t="s">
        <v>2844</v>
      </c>
      <c r="T1" s="2940" t="s">
        <v>2845</v>
      </c>
    </row>
    <row r="2" spans="1:20" ht="12" thickBot="1">
      <c r="A2" s="2941" t="s">
        <v>2846</v>
      </c>
      <c r="B2" s="2941"/>
      <c r="C2" s="2941"/>
      <c r="D2" s="2941"/>
      <c r="E2" s="2941"/>
      <c r="F2" s="2941"/>
      <c r="G2" s="2942" t="s">
        <v>2847</v>
      </c>
      <c r="I2" s="2943" t="s">
        <v>2848</v>
      </c>
      <c r="J2" s="2943" t="s">
        <v>2849</v>
      </c>
      <c r="K2" s="2943" t="s">
        <v>2850</v>
      </c>
      <c r="L2" s="2943" t="s">
        <v>2851</v>
      </c>
      <c r="M2" s="2943" t="s">
        <v>2852</v>
      </c>
      <c r="N2" s="2943" t="s">
        <v>2853</v>
      </c>
      <c r="O2" s="2943" t="s">
        <v>2854</v>
      </c>
      <c r="P2" s="2943" t="s">
        <v>2855</v>
      </c>
      <c r="Q2" s="2943" t="s">
        <v>2856</v>
      </c>
      <c r="R2" s="2943" t="s">
        <v>2857</v>
      </c>
      <c r="S2" s="2943" t="s">
        <v>2858</v>
      </c>
      <c r="T2" s="2943" t="s">
        <v>2859</v>
      </c>
    </row>
    <row r="3" spans="1:20" s="2949" customFormat="1">
      <c r="A3" s="3512" t="s">
        <v>2860</v>
      </c>
      <c r="B3" s="2944"/>
      <c r="C3" s="2945" t="s">
        <v>2805</v>
      </c>
      <c r="D3" s="2945" t="s">
        <v>2861</v>
      </c>
      <c r="E3" s="2945" t="s">
        <v>2807</v>
      </c>
      <c r="F3" s="2945" t="s">
        <v>2862</v>
      </c>
      <c r="G3" s="2945" t="s">
        <v>2625</v>
      </c>
      <c r="H3" s="2946"/>
      <c r="I3" s="2947" t="s">
        <v>2863</v>
      </c>
      <c r="J3" s="2948" t="s">
        <v>128</v>
      </c>
      <c r="K3" s="2948" t="s">
        <v>129</v>
      </c>
      <c r="L3" s="2947" t="s">
        <v>130</v>
      </c>
      <c r="M3" s="2947" t="s">
        <v>131</v>
      </c>
      <c r="N3" s="2947" t="s">
        <v>132</v>
      </c>
      <c r="O3" s="2947" t="s">
        <v>133</v>
      </c>
      <c r="P3" s="2947" t="s">
        <v>134</v>
      </c>
      <c r="Q3" s="2947" t="s">
        <v>135</v>
      </c>
      <c r="R3" s="2947" t="s">
        <v>136</v>
      </c>
      <c r="S3" s="2947" t="s">
        <v>2864</v>
      </c>
      <c r="T3" s="2947" t="s">
        <v>2865</v>
      </c>
    </row>
    <row r="4" spans="1:20" s="2949" customFormat="1" ht="12" thickBot="1">
      <c r="A4" s="3513"/>
      <c r="B4" s="2950" t="s">
        <v>2866</v>
      </c>
      <c r="C4" s="2950" t="s">
        <v>2867</v>
      </c>
      <c r="D4" s="2950" t="s">
        <v>2867</v>
      </c>
      <c r="E4" s="2950" t="s">
        <v>2867</v>
      </c>
      <c r="F4" s="2951" t="s">
        <v>2867</v>
      </c>
      <c r="G4" s="2951" t="s">
        <v>2867</v>
      </c>
      <c r="H4" s="2946"/>
      <c r="I4" s="2948" t="s">
        <v>137</v>
      </c>
      <c r="J4" s="2948" t="s">
        <v>111</v>
      </c>
      <c r="K4" s="2948" t="s">
        <v>138</v>
      </c>
      <c r="L4" s="2947" t="s">
        <v>139</v>
      </c>
      <c r="M4" s="2947" t="s">
        <v>140</v>
      </c>
      <c r="N4" s="2947" t="s">
        <v>141</v>
      </c>
      <c r="O4" s="2947" t="s">
        <v>142</v>
      </c>
      <c r="P4" s="2947" t="s">
        <v>143</v>
      </c>
      <c r="Q4" s="2947" t="s">
        <v>2868</v>
      </c>
      <c r="R4" s="2947" t="s">
        <v>2869</v>
      </c>
      <c r="S4" s="2947" t="s">
        <v>2870</v>
      </c>
      <c r="T4" s="2947" t="s">
        <v>2871</v>
      </c>
    </row>
    <row r="5" spans="1:20">
      <c r="A5" s="2952" t="s">
        <v>2834</v>
      </c>
      <c r="B5" s="2943" t="s">
        <v>2848</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2872</v>
      </c>
      <c r="R5" s="2947" t="s">
        <v>2873</v>
      </c>
      <c r="S5" s="2947" t="s">
        <v>153</v>
      </c>
      <c r="T5" s="2947" t="s">
        <v>2874</v>
      </c>
    </row>
    <row r="6" spans="1:20" ht="12" thickBot="1">
      <c r="A6" s="2947" t="s">
        <v>144</v>
      </c>
      <c r="B6" s="2947" t="s">
        <v>2863</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2875</v>
      </c>
      <c r="Q6" s="2947" t="s">
        <v>2876</v>
      </c>
      <c r="R6" s="2947" t="s">
        <v>161</v>
      </c>
      <c r="S6" s="2947" t="s">
        <v>2877</v>
      </c>
      <c r="T6" s="2947" t="s">
        <v>2878</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2879</v>
      </c>
      <c r="Q7" s="2947" t="s">
        <v>2880</v>
      </c>
      <c r="R7" s="2947" t="s">
        <v>2881</v>
      </c>
      <c r="S7" s="2947" t="s">
        <v>2882</v>
      </c>
      <c r="T7" s="2947" t="s">
        <v>2883</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2884</v>
      </c>
      <c r="Q8" s="2947" t="s">
        <v>174</v>
      </c>
      <c r="R8" s="2947" t="s">
        <v>2885</v>
      </c>
      <c r="S8" s="2947" t="s">
        <v>2886</v>
      </c>
      <c r="T8" s="2954" t="s">
        <v>2887</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2888</v>
      </c>
      <c r="Q9" s="2947" t="s">
        <v>182</v>
      </c>
      <c r="R9" s="2947" t="s">
        <v>183</v>
      </c>
      <c r="S9" s="2947" t="s">
        <v>200</v>
      </c>
    </row>
    <row r="10" spans="1:20">
      <c r="A10" s="2952" t="s">
        <v>184</v>
      </c>
      <c r="B10" s="2943" t="s">
        <v>2849</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2889</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2890</v>
      </c>
      <c r="P11" s="2947" t="s">
        <v>191</v>
      </c>
      <c r="Q11" s="2947" t="s">
        <v>199</v>
      </c>
      <c r="R11" s="2947" t="s">
        <v>2891</v>
      </c>
      <c r="S11" s="2947" t="s">
        <v>2892</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2893</v>
      </c>
      <c r="P12" s="2947" t="s">
        <v>2894</v>
      </c>
      <c r="Q12" s="2947" t="s">
        <v>2895</v>
      </c>
      <c r="R12" s="2947" t="s">
        <v>2896</v>
      </c>
      <c r="S12" s="2947" t="s">
        <v>2897</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2898</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2899</v>
      </c>
      <c r="K14" s="2948" t="s">
        <v>215</v>
      </c>
      <c r="L14" s="2947" t="s">
        <v>216</v>
      </c>
      <c r="M14" s="2947" t="s">
        <v>217</v>
      </c>
      <c r="N14" s="2947" t="s">
        <v>218</v>
      </c>
      <c r="O14" s="2947" t="s">
        <v>240</v>
      </c>
      <c r="P14" s="2947" t="s">
        <v>213</v>
      </c>
      <c r="Q14" s="2947" t="s">
        <v>2900</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2901</v>
      </c>
      <c r="P15" s="2947" t="s">
        <v>2902</v>
      </c>
      <c r="Q15" s="2947" t="s">
        <v>242</v>
      </c>
      <c r="R15" s="2947" t="s">
        <v>2903</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2904</v>
      </c>
      <c r="P16" s="2947" t="s">
        <v>227</v>
      </c>
      <c r="Q16" s="2947" t="s">
        <v>250</v>
      </c>
      <c r="R16" s="2947" t="s">
        <v>207</v>
      </c>
      <c r="S16" s="2947" t="s">
        <v>2905</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2906</v>
      </c>
      <c r="P17" s="2947" t="s">
        <v>2907</v>
      </c>
      <c r="Q17" s="2947" t="s">
        <v>256</v>
      </c>
      <c r="R17" s="2947" t="s">
        <v>2908</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2909</v>
      </c>
      <c r="P18" s="2947" t="s">
        <v>241</v>
      </c>
      <c r="Q18" s="2947" t="s">
        <v>2910</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2911</v>
      </c>
      <c r="P19" s="2947" t="s">
        <v>249</v>
      </c>
      <c r="Q19" s="2947" t="s">
        <v>2912</v>
      </c>
      <c r="R19" s="2947" t="s">
        <v>265</v>
      </c>
      <c r="S19" s="2947" t="s">
        <v>2913</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2914</v>
      </c>
      <c r="P20" s="2947" t="s">
        <v>2915</v>
      </c>
      <c r="Q20" s="2947" t="s">
        <v>290</v>
      </c>
      <c r="R20" s="2947" t="s">
        <v>2916</v>
      </c>
      <c r="S20" s="2947" t="s">
        <v>277</v>
      </c>
    </row>
    <row r="21" spans="1:19" ht="14.25" customHeight="1" thickBot="1">
      <c r="A21" s="2947" t="s">
        <v>184</v>
      </c>
      <c r="B21" s="2948" t="s">
        <v>208</v>
      </c>
      <c r="C21" s="2947">
        <v>32370</v>
      </c>
      <c r="D21" s="2947">
        <v>26730</v>
      </c>
      <c r="E21" s="2947">
        <v>26640</v>
      </c>
      <c r="F21" s="2947"/>
      <c r="G21" s="2947">
        <v>19440</v>
      </c>
      <c r="J21" s="2954" t="s">
        <v>2917</v>
      </c>
      <c r="K21" s="2948" t="s">
        <v>267</v>
      </c>
      <c r="L21" s="2947" t="s">
        <v>268</v>
      </c>
      <c r="M21" s="2947" t="s">
        <v>269</v>
      </c>
      <c r="N21" s="2947" t="s">
        <v>270</v>
      </c>
      <c r="O21" s="2947" t="s">
        <v>264</v>
      </c>
      <c r="P21" s="2947" t="s">
        <v>283</v>
      </c>
      <c r="Q21" s="2947" t="s">
        <v>293</v>
      </c>
      <c r="R21" s="2947" t="s">
        <v>2918</v>
      </c>
      <c r="S21" s="2954" t="s">
        <v>2919</v>
      </c>
    </row>
    <row r="22" spans="1:19" ht="14.25" customHeight="1">
      <c r="A22" s="2947" t="s">
        <v>184</v>
      </c>
      <c r="B22" s="2948" t="s">
        <v>2899</v>
      </c>
      <c r="C22" s="2947">
        <v>29830</v>
      </c>
      <c r="D22" s="2947">
        <v>27600</v>
      </c>
      <c r="E22" s="2947">
        <v>28150</v>
      </c>
      <c r="F22" s="2947"/>
      <c r="G22" s="2947">
        <v>20080</v>
      </c>
      <c r="K22" s="2948" t="s">
        <v>2920</v>
      </c>
      <c r="L22" s="2947" t="s">
        <v>272</v>
      </c>
      <c r="M22" s="2947" t="s">
        <v>273</v>
      </c>
      <c r="N22" s="2947" t="s">
        <v>274</v>
      </c>
      <c r="O22" s="2947" t="s">
        <v>2921</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2922</v>
      </c>
      <c r="L23" s="2947" t="s">
        <v>278</v>
      </c>
      <c r="M23" s="2947" t="s">
        <v>279</v>
      </c>
      <c r="N23" s="2947" t="s">
        <v>2923</v>
      </c>
      <c r="O23" s="2947" t="s">
        <v>2924</v>
      </c>
      <c r="P23" s="2947" t="s">
        <v>289</v>
      </c>
      <c r="Q23" s="2947" t="s">
        <v>298</v>
      </c>
      <c r="R23" s="2947" t="s">
        <v>2925</v>
      </c>
    </row>
    <row r="24" spans="1:19" ht="14.25" customHeight="1">
      <c r="A24" s="2947" t="s">
        <v>184</v>
      </c>
      <c r="B24" s="2948" t="s">
        <v>230</v>
      </c>
      <c r="C24" s="2947">
        <v>27930</v>
      </c>
      <c r="D24" s="2947">
        <v>32260</v>
      </c>
      <c r="E24" s="2947">
        <v>32120</v>
      </c>
      <c r="F24" s="2947"/>
      <c r="G24" s="2947">
        <v>23470</v>
      </c>
      <c r="K24" s="2948" t="s">
        <v>2926</v>
      </c>
      <c r="L24" s="2947" t="s">
        <v>281</v>
      </c>
      <c r="M24" s="2947" t="s">
        <v>282</v>
      </c>
      <c r="N24" s="2947" t="s">
        <v>2927</v>
      </c>
      <c r="O24" s="2947" t="s">
        <v>285</v>
      </c>
      <c r="P24" s="2947" t="s">
        <v>2928</v>
      </c>
      <c r="Q24" s="2956" t="s">
        <v>2929</v>
      </c>
      <c r="R24" s="2947" t="s">
        <v>2930</v>
      </c>
    </row>
    <row r="25" spans="1:19" ht="14.25" customHeight="1">
      <c r="A25" s="2947" t="s">
        <v>184</v>
      </c>
      <c r="B25" s="2948" t="s">
        <v>235</v>
      </c>
      <c r="C25" s="2947">
        <v>32230</v>
      </c>
      <c r="D25" s="2947">
        <v>29640</v>
      </c>
      <c r="E25" s="2947">
        <v>29510</v>
      </c>
      <c r="F25" s="2947"/>
      <c r="G25" s="2947">
        <v>21560</v>
      </c>
      <c r="K25" s="2948" t="s">
        <v>2931</v>
      </c>
      <c r="L25" s="2947" t="s">
        <v>2932</v>
      </c>
      <c r="M25" s="2947" t="s">
        <v>284</v>
      </c>
      <c r="N25" s="2947" t="s">
        <v>292</v>
      </c>
      <c r="O25" s="2947" t="s">
        <v>288</v>
      </c>
      <c r="P25" s="2947" t="s">
        <v>275</v>
      </c>
      <c r="Q25" s="2956" t="s">
        <v>271</v>
      </c>
      <c r="R25" s="2947" t="s">
        <v>2933</v>
      </c>
    </row>
    <row r="26" spans="1:19" ht="14.25" customHeight="1" thickBot="1">
      <c r="A26" s="2947" t="s">
        <v>184</v>
      </c>
      <c r="B26" s="2948" t="s">
        <v>244</v>
      </c>
      <c r="C26" s="2947">
        <v>31690</v>
      </c>
      <c r="D26" s="2947">
        <v>27650</v>
      </c>
      <c r="E26" s="2947">
        <v>28200</v>
      </c>
      <c r="F26" s="2947"/>
      <c r="G26" s="2947">
        <v>20110</v>
      </c>
      <c r="K26" s="2953" t="s">
        <v>2934</v>
      </c>
      <c r="L26" s="2947" t="s">
        <v>2935</v>
      </c>
      <c r="M26" s="2947" t="s">
        <v>287</v>
      </c>
      <c r="N26" s="2947" t="s">
        <v>294</v>
      </c>
      <c r="O26" s="2947" t="s">
        <v>2936</v>
      </c>
      <c r="P26" s="2947" t="s">
        <v>2937</v>
      </c>
      <c r="Q26" s="2956" t="s">
        <v>276</v>
      </c>
      <c r="R26" s="2947" t="s">
        <v>2938</v>
      </c>
    </row>
    <row r="27" spans="1:19" ht="14.25" customHeight="1">
      <c r="A27" s="2947" t="s">
        <v>184</v>
      </c>
      <c r="B27" s="2948" t="s">
        <v>251</v>
      </c>
      <c r="C27" s="2947">
        <v>29610</v>
      </c>
      <c r="D27" s="2947">
        <v>27770</v>
      </c>
      <c r="E27" s="2947">
        <v>28300</v>
      </c>
      <c r="F27" s="2947"/>
      <c r="G27" s="2947">
        <v>20210</v>
      </c>
      <c r="L27" s="2947" t="s">
        <v>2939</v>
      </c>
      <c r="M27" s="2947" t="s">
        <v>291</v>
      </c>
      <c r="N27" s="2947" t="s">
        <v>297</v>
      </c>
      <c r="O27" s="2947" t="s">
        <v>2940</v>
      </c>
      <c r="P27" s="2947" t="s">
        <v>2941</v>
      </c>
      <c r="Q27" s="2947" t="s">
        <v>2942</v>
      </c>
      <c r="R27" s="2947" t="s">
        <v>2943</v>
      </c>
    </row>
    <row r="28" spans="1:19" ht="14.25" customHeight="1">
      <c r="A28" s="2947" t="s">
        <v>184</v>
      </c>
      <c r="B28" s="2948" t="s">
        <v>259</v>
      </c>
      <c r="C28" s="2947"/>
      <c r="D28" s="2947">
        <v>31520</v>
      </c>
      <c r="E28" s="2947">
        <v>31410</v>
      </c>
      <c r="F28" s="2947"/>
      <c r="G28" s="2947">
        <v>22940</v>
      </c>
      <c r="L28" s="2947" t="s">
        <v>2944</v>
      </c>
      <c r="M28" s="2947" t="s">
        <v>2945</v>
      </c>
      <c r="N28" s="2947" t="s">
        <v>2946</v>
      </c>
      <c r="O28" s="2947" t="s">
        <v>2947</v>
      </c>
      <c r="P28" s="2947" t="s">
        <v>2948</v>
      </c>
      <c r="Q28" s="2947" t="s">
        <v>2949</v>
      </c>
      <c r="R28" s="2947" t="s">
        <v>2950</v>
      </c>
    </row>
    <row r="29" spans="1:19" ht="14.25" customHeight="1" thickBot="1">
      <c r="A29" s="2955" t="s">
        <v>184</v>
      </c>
      <c r="B29" s="2957" t="s">
        <v>2917</v>
      </c>
      <c r="C29" s="2958"/>
      <c r="D29" s="2958">
        <v>29460</v>
      </c>
      <c r="E29" s="2958">
        <v>28640</v>
      </c>
      <c r="F29" s="2958"/>
      <c r="G29" s="2958">
        <v>21430</v>
      </c>
      <c r="L29" s="2947" t="s">
        <v>2951</v>
      </c>
      <c r="M29" s="2947" t="s">
        <v>2952</v>
      </c>
      <c r="N29" s="2947" t="s">
        <v>2953</v>
      </c>
      <c r="O29" s="2947" t="s">
        <v>2954</v>
      </c>
      <c r="P29" s="2947" t="s">
        <v>2955</v>
      </c>
      <c r="Q29" s="2947" t="s">
        <v>2956</v>
      </c>
      <c r="R29" s="2947" t="s">
        <v>280</v>
      </c>
    </row>
    <row r="30" spans="1:19" ht="14.25" customHeight="1">
      <c r="A30" s="2952" t="s">
        <v>296</v>
      </c>
      <c r="B30" s="2943" t="s">
        <v>2850</v>
      </c>
      <c r="C30" s="2943">
        <v>26890</v>
      </c>
      <c r="D30" s="2943">
        <v>26770</v>
      </c>
      <c r="E30" s="2943">
        <v>25700</v>
      </c>
      <c r="F30" s="2943">
        <v>8180</v>
      </c>
      <c r="G30" s="2959">
        <v>18740</v>
      </c>
      <c r="L30" s="2947" t="s">
        <v>2957</v>
      </c>
      <c r="M30" s="2947" t="s">
        <v>2958</v>
      </c>
      <c r="N30" s="2947" t="s">
        <v>2959</v>
      </c>
      <c r="O30" s="2947" t="s">
        <v>2960</v>
      </c>
      <c r="P30" s="2947" t="s">
        <v>2961</v>
      </c>
      <c r="Q30" s="2947" t="s">
        <v>2962</v>
      </c>
      <c r="R30" s="2947" t="s">
        <v>2963</v>
      </c>
    </row>
    <row r="31" spans="1:19" ht="14.25" customHeight="1">
      <c r="A31" s="2947" t="s">
        <v>296</v>
      </c>
      <c r="B31" s="2948" t="s">
        <v>129</v>
      </c>
      <c r="C31" s="2947">
        <v>24550</v>
      </c>
      <c r="D31" s="2947">
        <v>23990</v>
      </c>
      <c r="E31" s="2947">
        <v>22930</v>
      </c>
      <c r="F31" s="2947">
        <v>7470</v>
      </c>
      <c r="G31" s="2960">
        <v>16790</v>
      </c>
      <c r="L31" s="2947" t="s">
        <v>2964</v>
      </c>
      <c r="M31" s="2947" t="s">
        <v>2965</v>
      </c>
      <c r="N31" s="2947" t="s">
        <v>2966</v>
      </c>
      <c r="O31" s="2947" t="s">
        <v>2967</v>
      </c>
      <c r="P31" s="2947" t="s">
        <v>2968</v>
      </c>
      <c r="Q31" s="2947" t="s">
        <v>2969</v>
      </c>
      <c r="R31" s="2947" t="s">
        <v>2970</v>
      </c>
    </row>
    <row r="32" spans="1:19" ht="14.25" customHeight="1" thickBot="1">
      <c r="A32" s="2947" t="s">
        <v>296</v>
      </c>
      <c r="B32" s="2948" t="s">
        <v>138</v>
      </c>
      <c r="C32" s="2947">
        <v>27210</v>
      </c>
      <c r="D32" s="2947">
        <v>23240</v>
      </c>
      <c r="E32" s="2947">
        <v>23260</v>
      </c>
      <c r="F32" s="2947">
        <v>7130</v>
      </c>
      <c r="G32" s="2960">
        <v>16270</v>
      </c>
      <c r="L32" s="2947" t="s">
        <v>2971</v>
      </c>
      <c r="M32" s="2947" t="s">
        <v>2972</v>
      </c>
      <c r="N32" s="2947" t="s">
        <v>300</v>
      </c>
      <c r="O32" s="2947" t="s">
        <v>2973</v>
      </c>
      <c r="P32" s="2947" t="s">
        <v>299</v>
      </c>
      <c r="Q32" s="2947" t="s">
        <v>2974</v>
      </c>
      <c r="R32" s="2954" t="s">
        <v>2975</v>
      </c>
    </row>
    <row r="33" spans="1:17" ht="14.25" customHeight="1" thickBot="1">
      <c r="A33" s="2947" t="s">
        <v>296</v>
      </c>
      <c r="B33" s="2948" t="s">
        <v>147</v>
      </c>
      <c r="C33" s="2947">
        <v>27300</v>
      </c>
      <c r="D33" s="2947">
        <v>22980</v>
      </c>
      <c r="E33" s="2947">
        <v>24260</v>
      </c>
      <c r="F33" s="2947">
        <v>5860</v>
      </c>
      <c r="G33" s="2960">
        <v>16090</v>
      </c>
      <c r="L33" s="2954" t="s">
        <v>2976</v>
      </c>
      <c r="M33" s="2947" t="s">
        <v>2977</v>
      </c>
      <c r="N33" s="2947" t="s">
        <v>301</v>
      </c>
      <c r="O33" s="2947" t="s">
        <v>2978</v>
      </c>
      <c r="P33" s="2947" t="s">
        <v>2979</v>
      </c>
      <c r="Q33" s="2947" t="s">
        <v>2980</v>
      </c>
    </row>
    <row r="34" spans="1:17" ht="14.25" customHeight="1">
      <c r="A34" s="2947" t="s">
        <v>296</v>
      </c>
      <c r="B34" s="2948" t="s">
        <v>156</v>
      </c>
      <c r="C34" s="2947">
        <v>23090</v>
      </c>
      <c r="D34" s="2947">
        <v>23390</v>
      </c>
      <c r="E34" s="2947">
        <v>23510</v>
      </c>
      <c r="F34" s="2947">
        <v>6700</v>
      </c>
      <c r="G34" s="2960">
        <v>16370</v>
      </c>
      <c r="M34" s="2947" t="s">
        <v>2981</v>
      </c>
      <c r="N34" s="2947" t="s">
        <v>302</v>
      </c>
      <c r="O34" s="2947" t="s">
        <v>2982</v>
      </c>
      <c r="P34" s="2947" t="s">
        <v>2983</v>
      </c>
      <c r="Q34" s="2947" t="s">
        <v>2984</v>
      </c>
    </row>
    <row r="35" spans="1:17" ht="14.25" customHeight="1">
      <c r="A35" s="2947" t="s">
        <v>296</v>
      </c>
      <c r="B35" s="2948" t="s">
        <v>163</v>
      </c>
      <c r="C35" s="2947">
        <v>27270</v>
      </c>
      <c r="D35" s="2947">
        <v>24270</v>
      </c>
      <c r="E35" s="2947">
        <v>24950</v>
      </c>
      <c r="F35" s="2947">
        <v>6600</v>
      </c>
      <c r="G35" s="2960">
        <v>16990</v>
      </c>
      <c r="M35" s="2947" t="s">
        <v>2985</v>
      </c>
      <c r="N35" s="2947" t="s">
        <v>2986</v>
      </c>
      <c r="O35" s="2947" t="s">
        <v>2987</v>
      </c>
      <c r="P35" s="2947" t="s">
        <v>2988</v>
      </c>
      <c r="Q35" s="2947" t="s">
        <v>2989</v>
      </c>
    </row>
    <row r="36" spans="1:17" ht="14.25" customHeight="1">
      <c r="A36" s="2947" t="s">
        <v>296</v>
      </c>
      <c r="B36" s="2948" t="s">
        <v>169</v>
      </c>
      <c r="C36" s="2947">
        <v>23490</v>
      </c>
      <c r="D36" s="2947">
        <v>23020</v>
      </c>
      <c r="E36" s="2947">
        <v>25230</v>
      </c>
      <c r="F36" s="2947">
        <v>6780</v>
      </c>
      <c r="G36" s="2960">
        <v>16120</v>
      </c>
      <c r="M36" s="2947" t="s">
        <v>2990</v>
      </c>
      <c r="N36" s="2947" t="s">
        <v>2991</v>
      </c>
      <c r="O36" s="2947" t="s">
        <v>2992</v>
      </c>
      <c r="P36" s="2947" t="s">
        <v>2993</v>
      </c>
      <c r="Q36" s="2947" t="s">
        <v>2994</v>
      </c>
    </row>
    <row r="37" spans="1:17" ht="14.25" customHeight="1">
      <c r="A37" s="2947" t="s">
        <v>296</v>
      </c>
      <c r="B37" s="2948" t="s">
        <v>176</v>
      </c>
      <c r="C37" s="2947">
        <v>24380</v>
      </c>
      <c r="D37" s="2947">
        <v>22240</v>
      </c>
      <c r="E37" s="2947">
        <v>25980</v>
      </c>
      <c r="F37" s="2947">
        <v>8160</v>
      </c>
      <c r="G37" s="2960">
        <v>15570</v>
      </c>
      <c r="M37" s="2947" t="s">
        <v>2995</v>
      </c>
      <c r="N37" s="2947" t="s">
        <v>2996</v>
      </c>
      <c r="O37" s="2947" t="s">
        <v>2997</v>
      </c>
      <c r="P37" s="2947" t="s">
        <v>2998</v>
      </c>
      <c r="Q37" s="2947" t="s">
        <v>2999</v>
      </c>
    </row>
    <row r="38" spans="1:17" ht="14.25" customHeight="1">
      <c r="A38" s="2947" t="s">
        <v>296</v>
      </c>
      <c r="B38" s="2948" t="s">
        <v>186</v>
      </c>
      <c r="C38" s="2947">
        <v>23120</v>
      </c>
      <c r="D38" s="2947">
        <v>24630</v>
      </c>
      <c r="E38" s="2947">
        <v>25030</v>
      </c>
      <c r="F38" s="2947">
        <v>7710</v>
      </c>
      <c r="G38" s="2960">
        <v>17240</v>
      </c>
      <c r="M38" s="2947" t="s">
        <v>3000</v>
      </c>
      <c r="N38" s="2947" t="s">
        <v>3001</v>
      </c>
      <c r="O38" s="2947" t="s">
        <v>3002</v>
      </c>
      <c r="P38" s="2947" t="s">
        <v>3003</v>
      </c>
      <c r="Q38" s="2947" t="s">
        <v>3004</v>
      </c>
    </row>
    <row r="39" spans="1:17" ht="14.25" customHeight="1">
      <c r="A39" s="2947" t="s">
        <v>296</v>
      </c>
      <c r="B39" s="2948" t="s">
        <v>195</v>
      </c>
      <c r="C39" s="2947">
        <v>22330</v>
      </c>
      <c r="D39" s="2947">
        <v>21140</v>
      </c>
      <c r="E39" s="2947">
        <v>23970</v>
      </c>
      <c r="F39" s="2947">
        <v>7940</v>
      </c>
      <c r="G39" s="2960">
        <v>14790</v>
      </c>
      <c r="M39" s="2947" t="s">
        <v>3005</v>
      </c>
      <c r="N39" s="2947" t="s">
        <v>3006</v>
      </c>
      <c r="O39" s="2947" t="s">
        <v>3007</v>
      </c>
      <c r="P39" s="2947" t="s">
        <v>3008</v>
      </c>
      <c r="Q39" s="2947" t="s">
        <v>3009</v>
      </c>
    </row>
    <row r="40" spans="1:17" ht="14.25" customHeight="1">
      <c r="A40" s="2947" t="s">
        <v>296</v>
      </c>
      <c r="B40" s="2948" t="s">
        <v>202</v>
      </c>
      <c r="C40" s="2947">
        <v>24740</v>
      </c>
      <c r="D40" s="2947">
        <v>24690</v>
      </c>
      <c r="E40" s="2947">
        <v>22610</v>
      </c>
      <c r="F40" s="2947"/>
      <c r="G40" s="2960">
        <v>17280</v>
      </c>
      <c r="M40" s="2947" t="s">
        <v>3010</v>
      </c>
      <c r="N40" s="2947" t="s">
        <v>3011</v>
      </c>
      <c r="O40" s="2947" t="s">
        <v>3012</v>
      </c>
      <c r="P40" s="2947" t="s">
        <v>3013</v>
      </c>
      <c r="Q40" s="2947" t="s">
        <v>3014</v>
      </c>
    </row>
    <row r="41" spans="1:17" ht="14.25" customHeight="1" thickBot="1">
      <c r="A41" s="2947" t="s">
        <v>296</v>
      </c>
      <c r="B41" s="2948" t="s">
        <v>209</v>
      </c>
      <c r="C41" s="2947">
        <v>21220</v>
      </c>
      <c r="D41" s="2947">
        <v>21120</v>
      </c>
      <c r="E41" s="2947">
        <v>22590</v>
      </c>
      <c r="F41" s="2947"/>
      <c r="G41" s="2960">
        <v>14780</v>
      </c>
      <c r="M41" s="2954" t="s">
        <v>3015</v>
      </c>
      <c r="N41" s="2947" t="s">
        <v>3016</v>
      </c>
      <c r="O41" s="2947" t="s">
        <v>3017</v>
      </c>
      <c r="P41" s="2947" t="s">
        <v>3018</v>
      </c>
      <c r="Q41" s="2947" t="s">
        <v>3019</v>
      </c>
    </row>
    <row r="42" spans="1:17" ht="14.25" customHeight="1">
      <c r="A42" s="2947" t="s">
        <v>296</v>
      </c>
      <c r="B42" s="2948" t="s">
        <v>215</v>
      </c>
      <c r="C42" s="2947">
        <v>24800</v>
      </c>
      <c r="D42" s="2947">
        <v>22280</v>
      </c>
      <c r="E42" s="2947">
        <v>24350</v>
      </c>
      <c r="F42" s="2947"/>
      <c r="G42" s="2960">
        <v>15590</v>
      </c>
      <c r="N42" s="2947" t="s">
        <v>3020</v>
      </c>
      <c r="O42" s="2947" t="s">
        <v>3021</v>
      </c>
      <c r="P42" s="2947" t="s">
        <v>3022</v>
      </c>
      <c r="Q42" s="2947" t="s">
        <v>3023</v>
      </c>
    </row>
    <row r="43" spans="1:17" ht="14.25" customHeight="1">
      <c r="A43" s="2947" t="s">
        <v>3024</v>
      </c>
      <c r="B43" s="2948" t="s">
        <v>223</v>
      </c>
      <c r="C43" s="2947">
        <v>21210</v>
      </c>
      <c r="D43" s="2947">
        <v>21160</v>
      </c>
      <c r="E43" s="2947">
        <v>22650</v>
      </c>
      <c r="F43" s="2947"/>
      <c r="G43" s="2960">
        <v>14800</v>
      </c>
      <c r="N43" s="2947" t="s">
        <v>3025</v>
      </c>
      <c r="O43" s="2947" t="s">
        <v>3026</v>
      </c>
      <c r="P43" s="2947" t="s">
        <v>3027</v>
      </c>
      <c r="Q43" s="2947" t="s">
        <v>3028</v>
      </c>
    </row>
    <row r="44" spans="1:17" ht="14.25" customHeight="1" thickBot="1">
      <c r="A44" s="2947" t="s">
        <v>296</v>
      </c>
      <c r="B44" s="2948" t="s">
        <v>231</v>
      </c>
      <c r="C44" s="2947">
        <v>22370</v>
      </c>
      <c r="D44" s="2947">
        <v>23140</v>
      </c>
      <c r="E44" s="2947">
        <v>25090</v>
      </c>
      <c r="F44" s="2947"/>
      <c r="G44" s="2960">
        <v>16190</v>
      </c>
      <c r="N44" s="2947" t="s">
        <v>3029</v>
      </c>
      <c r="O44" s="2947" t="s">
        <v>3030</v>
      </c>
      <c r="P44" s="2954" t="s">
        <v>3031</v>
      </c>
      <c r="Q44" s="2947" t="s">
        <v>3032</v>
      </c>
    </row>
    <row r="45" spans="1:17" ht="14.25" customHeight="1" thickBot="1">
      <c r="A45" s="2947" t="s">
        <v>296</v>
      </c>
      <c r="B45" s="2948" t="s">
        <v>236</v>
      </c>
      <c r="C45" s="2947">
        <v>21240</v>
      </c>
      <c r="D45" s="2947">
        <v>27050</v>
      </c>
      <c r="E45" s="2947">
        <v>28000</v>
      </c>
      <c r="F45" s="2947"/>
      <c r="G45" s="2960">
        <v>18940</v>
      </c>
      <c r="N45" s="2947" t="s">
        <v>3033</v>
      </c>
      <c r="O45" s="2954" t="s">
        <v>3034</v>
      </c>
      <c r="Q45" s="2947" t="s">
        <v>3035</v>
      </c>
    </row>
    <row r="46" spans="1:17" ht="14.25" customHeight="1">
      <c r="A46" s="2947" t="s">
        <v>296</v>
      </c>
      <c r="B46" s="2948" t="s">
        <v>245</v>
      </c>
      <c r="C46" s="2947">
        <v>23240</v>
      </c>
      <c r="D46" s="2947">
        <v>23000</v>
      </c>
      <c r="E46" s="2947">
        <v>24980</v>
      </c>
      <c r="F46" s="2947"/>
      <c r="G46" s="2960">
        <v>16100</v>
      </c>
      <c r="N46" s="2947" t="s">
        <v>3036</v>
      </c>
      <c r="Q46" s="2947" t="s">
        <v>3037</v>
      </c>
    </row>
    <row r="47" spans="1:17" ht="14.25" customHeight="1">
      <c r="A47" s="2947" t="s">
        <v>296</v>
      </c>
      <c r="B47" s="2948" t="s">
        <v>252</v>
      </c>
      <c r="C47" s="2947">
        <v>27150</v>
      </c>
      <c r="D47" s="2947">
        <v>23310</v>
      </c>
      <c r="E47" s="2947">
        <v>25150</v>
      </c>
      <c r="F47" s="2947"/>
      <c r="G47" s="2960">
        <v>16310</v>
      </c>
      <c r="N47" s="2947" t="s">
        <v>3038</v>
      </c>
      <c r="Q47" s="2947" t="s">
        <v>3039</v>
      </c>
    </row>
    <row r="48" spans="1:17" ht="14.25" customHeight="1">
      <c r="A48" s="2947" t="s">
        <v>296</v>
      </c>
      <c r="B48" s="2948" t="s">
        <v>260</v>
      </c>
      <c r="C48" s="2947">
        <v>23100</v>
      </c>
      <c r="D48" s="2947">
        <v>21110</v>
      </c>
      <c r="E48" s="2947">
        <v>23080</v>
      </c>
      <c r="F48" s="2947"/>
      <c r="G48" s="2960">
        <v>14780</v>
      </c>
      <c r="N48" s="2947" t="s">
        <v>3040</v>
      </c>
      <c r="Q48" s="2947" t="s">
        <v>3041</v>
      </c>
    </row>
    <row r="49" spans="1:17" ht="14.25" customHeight="1">
      <c r="A49" s="2947" t="s">
        <v>296</v>
      </c>
      <c r="B49" s="2948" t="s">
        <v>267</v>
      </c>
      <c r="C49" s="2947">
        <v>23400</v>
      </c>
      <c r="D49" s="2947">
        <v>22920</v>
      </c>
      <c r="E49" s="2947">
        <v>24900</v>
      </c>
      <c r="F49" s="2947"/>
      <c r="G49" s="2960">
        <v>16040</v>
      </c>
      <c r="N49" s="2947" t="s">
        <v>3042</v>
      </c>
      <c r="Q49" s="2947" t="s">
        <v>3043</v>
      </c>
    </row>
    <row r="50" spans="1:17" ht="14.25" customHeight="1">
      <c r="A50" s="2947" t="s">
        <v>296</v>
      </c>
      <c r="B50" s="2948" t="s">
        <v>2920</v>
      </c>
      <c r="C50" s="2947">
        <v>21200</v>
      </c>
      <c r="D50" s="2947">
        <v>26540</v>
      </c>
      <c r="E50" s="2947">
        <v>23200</v>
      </c>
      <c r="F50" s="2947"/>
      <c r="G50" s="2960">
        <v>18580</v>
      </c>
      <c r="N50" s="2947" t="s">
        <v>3044</v>
      </c>
      <c r="Q50" s="2948" t="s">
        <v>3045</v>
      </c>
    </row>
    <row r="51" spans="1:17" ht="14.25" customHeight="1" thickBot="1">
      <c r="A51" s="2947" t="s">
        <v>296</v>
      </c>
      <c r="B51" s="2948" t="s">
        <v>2922</v>
      </c>
      <c r="C51" s="2947">
        <v>23000</v>
      </c>
      <c r="D51" s="2947">
        <v>23460</v>
      </c>
      <c r="E51" s="2947">
        <v>25290</v>
      </c>
      <c r="F51" s="2947"/>
      <c r="G51" s="2960">
        <v>16420</v>
      </c>
      <c r="N51" s="2947" t="s">
        <v>3046</v>
      </c>
      <c r="Q51" s="2954" t="s">
        <v>3047</v>
      </c>
    </row>
    <row r="52" spans="1:17" ht="14.25" customHeight="1">
      <c r="A52" s="2947" t="s">
        <v>296</v>
      </c>
      <c r="B52" s="2948" t="s">
        <v>2926</v>
      </c>
      <c r="C52" s="2947">
        <v>26660</v>
      </c>
      <c r="D52" s="2947">
        <v>22350</v>
      </c>
      <c r="E52" s="2947">
        <v>22920</v>
      </c>
      <c r="F52" s="2947"/>
      <c r="G52" s="2960">
        <v>15640</v>
      </c>
      <c r="N52" s="2947" t="s">
        <v>3048</v>
      </c>
    </row>
    <row r="53" spans="1:17" ht="14.25" customHeight="1">
      <c r="A53" s="2947" t="s">
        <v>296</v>
      </c>
      <c r="B53" s="2948" t="s">
        <v>2931</v>
      </c>
      <c r="C53" s="2947">
        <v>23580</v>
      </c>
      <c r="D53" s="2947"/>
      <c r="E53" s="2947">
        <v>24280</v>
      </c>
      <c r="F53" s="2947"/>
      <c r="G53" s="2960"/>
      <c r="N53" s="2947" t="s">
        <v>3049</v>
      </c>
    </row>
    <row r="54" spans="1:17" ht="14.25" customHeight="1" thickBot="1">
      <c r="A54" s="2961" t="s">
        <v>296</v>
      </c>
      <c r="B54" s="2953" t="s">
        <v>2934</v>
      </c>
      <c r="C54" s="2954">
        <v>22460</v>
      </c>
      <c r="D54" s="2954"/>
      <c r="E54" s="2954"/>
      <c r="F54" s="2954"/>
      <c r="G54" s="2962"/>
      <c r="N54" s="2947" t="s">
        <v>3050</v>
      </c>
    </row>
    <row r="55" spans="1:17" ht="14.25" customHeight="1">
      <c r="A55" s="2952" t="s">
        <v>110</v>
      </c>
      <c r="B55" s="2943" t="s">
        <v>3051</v>
      </c>
      <c r="C55" s="2947">
        <v>21970</v>
      </c>
      <c r="D55" s="2947">
        <v>20370</v>
      </c>
      <c r="E55" s="2947">
        <v>20180</v>
      </c>
      <c r="F55" s="2947">
        <v>5730</v>
      </c>
      <c r="G55" s="2947">
        <v>13820</v>
      </c>
      <c r="N55" s="2947" t="s">
        <v>3052</v>
      </c>
    </row>
    <row r="56" spans="1:17" ht="14.25" customHeight="1">
      <c r="A56" s="2947" t="s">
        <v>110</v>
      </c>
      <c r="B56" s="2947" t="s">
        <v>130</v>
      </c>
      <c r="C56" s="2947">
        <v>20470</v>
      </c>
      <c r="D56" s="2947">
        <v>20700</v>
      </c>
      <c r="E56" s="2947">
        <v>20380</v>
      </c>
      <c r="F56" s="2947">
        <v>4760</v>
      </c>
      <c r="G56" s="2947">
        <v>14050</v>
      </c>
      <c r="N56" s="2947" t="s">
        <v>3053</v>
      </c>
    </row>
    <row r="57" spans="1:17" ht="14.25" customHeight="1">
      <c r="A57" s="2947" t="s">
        <v>110</v>
      </c>
      <c r="B57" s="2947" t="s">
        <v>139</v>
      </c>
      <c r="C57" s="2947">
        <v>20790</v>
      </c>
      <c r="D57" s="2947">
        <v>21370</v>
      </c>
      <c r="E57" s="2947">
        <v>20890</v>
      </c>
      <c r="F57" s="2947">
        <v>4910</v>
      </c>
      <c r="G57" s="2947">
        <v>14510</v>
      </c>
      <c r="N57" s="2947" t="s">
        <v>3054</v>
      </c>
    </row>
    <row r="58" spans="1:17" ht="14.25" customHeight="1">
      <c r="A58" s="2947" t="s">
        <v>110</v>
      </c>
      <c r="B58" s="2947" t="s">
        <v>148</v>
      </c>
      <c r="C58" s="2947">
        <v>21460</v>
      </c>
      <c r="D58" s="2947">
        <v>20920</v>
      </c>
      <c r="E58" s="2947">
        <v>23410</v>
      </c>
      <c r="F58" s="2947">
        <v>5100</v>
      </c>
      <c r="G58" s="2947">
        <v>14200</v>
      </c>
      <c r="N58" s="2947" t="s">
        <v>3055</v>
      </c>
    </row>
    <row r="59" spans="1:17" ht="14.25" customHeight="1">
      <c r="A59" s="2947" t="s">
        <v>110</v>
      </c>
      <c r="B59" s="2947" t="s">
        <v>157</v>
      </c>
      <c r="C59" s="2947">
        <v>21000</v>
      </c>
      <c r="D59" s="2947">
        <v>21550</v>
      </c>
      <c r="E59" s="2947">
        <v>21150</v>
      </c>
      <c r="F59" s="2947">
        <v>5250</v>
      </c>
      <c r="G59" s="2947">
        <v>14630</v>
      </c>
      <c r="N59" s="2947" t="s">
        <v>3056</v>
      </c>
    </row>
    <row r="60" spans="1:17" ht="14.25" customHeight="1">
      <c r="A60" s="2947" t="s">
        <v>110</v>
      </c>
      <c r="B60" s="2947" t="s">
        <v>164</v>
      </c>
      <c r="C60" s="2947">
        <v>21640</v>
      </c>
      <c r="D60" s="2947">
        <v>21260</v>
      </c>
      <c r="E60" s="2947">
        <v>24040</v>
      </c>
      <c r="F60" s="2947">
        <v>4470</v>
      </c>
      <c r="G60" s="2947">
        <v>14430</v>
      </c>
      <c r="N60" s="2947" t="s">
        <v>3057</v>
      </c>
    </row>
    <row r="61" spans="1:17" ht="14.25" customHeight="1">
      <c r="A61" s="2947" t="s">
        <v>110</v>
      </c>
      <c r="B61" s="2947" t="s">
        <v>170</v>
      </c>
      <c r="C61" s="2947">
        <v>21330</v>
      </c>
      <c r="D61" s="2947">
        <v>18640</v>
      </c>
      <c r="E61" s="2947">
        <v>21190</v>
      </c>
      <c r="F61" s="2947">
        <v>4180</v>
      </c>
      <c r="G61" s="2947">
        <v>12650</v>
      </c>
      <c r="N61" s="2947" t="s">
        <v>3058</v>
      </c>
    </row>
    <row r="62" spans="1:17" ht="14.25" customHeight="1">
      <c r="A62" s="2947" t="s">
        <v>110</v>
      </c>
      <c r="B62" s="2947" t="s">
        <v>177</v>
      </c>
      <c r="C62" s="2947">
        <v>18710</v>
      </c>
      <c r="D62" s="2947">
        <v>19400</v>
      </c>
      <c r="E62" s="2947">
        <v>23750</v>
      </c>
      <c r="F62" s="2947">
        <v>4860</v>
      </c>
      <c r="G62" s="2947">
        <v>13170</v>
      </c>
      <c r="N62" s="2947" t="s">
        <v>3059</v>
      </c>
    </row>
    <row r="63" spans="1:17" ht="14.25" customHeight="1">
      <c r="A63" s="2947" t="s">
        <v>110</v>
      </c>
      <c r="B63" s="2947" t="s">
        <v>187</v>
      </c>
      <c r="C63" s="2947">
        <v>19480</v>
      </c>
      <c r="D63" s="2947">
        <v>16830</v>
      </c>
      <c r="E63" s="2947">
        <v>21590</v>
      </c>
      <c r="F63" s="2947">
        <v>4560</v>
      </c>
      <c r="G63" s="2947">
        <v>11420</v>
      </c>
      <c r="N63" s="2947" t="s">
        <v>3060</v>
      </c>
    </row>
    <row r="64" spans="1:17" ht="14.25" customHeight="1" thickBot="1">
      <c r="A64" s="2947" t="s">
        <v>110</v>
      </c>
      <c r="B64" s="2947" t="s">
        <v>196</v>
      </c>
      <c r="C64" s="2947">
        <v>16920</v>
      </c>
      <c r="D64" s="2947">
        <v>19190</v>
      </c>
      <c r="E64" s="2947">
        <v>22200</v>
      </c>
      <c r="F64" s="2947">
        <v>4390</v>
      </c>
      <c r="G64" s="2947">
        <v>13030</v>
      </c>
      <c r="N64" s="2954" t="s">
        <v>3061</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2932</v>
      </c>
      <c r="C78" s="2947">
        <v>19820</v>
      </c>
      <c r="D78" s="2947">
        <v>19780</v>
      </c>
      <c r="E78" s="2947">
        <v>18560</v>
      </c>
      <c r="F78" s="2947"/>
      <c r="G78" s="2947">
        <v>13430</v>
      </c>
    </row>
    <row r="79" spans="1:7" s="2781" customFormat="1" ht="14.25" customHeight="1">
      <c r="A79" s="2947" t="s">
        <v>110</v>
      </c>
      <c r="B79" s="2947" t="s">
        <v>2935</v>
      </c>
      <c r="C79" s="2947">
        <v>21660</v>
      </c>
      <c r="D79" s="2947">
        <v>18000</v>
      </c>
      <c r="E79" s="2947">
        <v>22570</v>
      </c>
      <c r="F79" s="2947"/>
      <c r="G79" s="2947">
        <v>12220</v>
      </c>
    </row>
    <row r="80" spans="1:7" s="2781" customFormat="1" ht="14.25" customHeight="1">
      <c r="A80" s="2947" t="s">
        <v>110</v>
      </c>
      <c r="B80" s="2947" t="s">
        <v>2939</v>
      </c>
      <c r="C80" s="2947">
        <v>19850</v>
      </c>
      <c r="D80" s="2947"/>
      <c r="E80" s="2947">
        <v>21700</v>
      </c>
      <c r="F80" s="2947"/>
      <c r="G80" s="2947"/>
    </row>
    <row r="81" spans="1:7" s="2781" customFormat="1" ht="14.25" customHeight="1">
      <c r="A81" s="2947" t="s">
        <v>110</v>
      </c>
      <c r="B81" s="2947" t="s">
        <v>2944</v>
      </c>
      <c r="C81" s="2947">
        <v>18080</v>
      </c>
      <c r="D81" s="2947"/>
      <c r="E81" s="2947">
        <v>20900</v>
      </c>
      <c r="F81" s="2947"/>
      <c r="G81" s="2947"/>
    </row>
    <row r="82" spans="1:7" s="2781" customFormat="1" ht="14.25" customHeight="1">
      <c r="A82" s="2947" t="s">
        <v>110</v>
      </c>
      <c r="B82" s="2947" t="s">
        <v>2951</v>
      </c>
      <c r="C82" s="2947"/>
      <c r="D82" s="2947"/>
      <c r="E82" s="2947">
        <v>20840</v>
      </c>
      <c r="F82" s="2947"/>
      <c r="G82" s="2947"/>
    </row>
    <row r="83" spans="1:7" s="2781" customFormat="1" ht="14.25" customHeight="1">
      <c r="A83" s="2947" t="s">
        <v>110</v>
      </c>
      <c r="B83" s="2947" t="s">
        <v>3062</v>
      </c>
      <c r="C83" s="2947"/>
      <c r="D83" s="2947"/>
      <c r="E83" s="2947"/>
      <c r="F83" s="2947">
        <v>4770</v>
      </c>
      <c r="G83" s="2947"/>
    </row>
    <row r="84" spans="1:7" s="2781" customFormat="1" ht="14.25" customHeight="1">
      <c r="A84" s="2947" t="s">
        <v>110</v>
      </c>
      <c r="B84" s="2947" t="s">
        <v>3063</v>
      </c>
      <c r="C84" s="2947"/>
      <c r="D84" s="2947"/>
      <c r="E84" s="2947"/>
      <c r="F84" s="2947">
        <v>4600</v>
      </c>
      <c r="G84" s="2947"/>
    </row>
    <row r="85" spans="1:7" s="2781" customFormat="1" ht="14.25" customHeight="1">
      <c r="A85" s="2947" t="s">
        <v>110</v>
      </c>
      <c r="B85" s="2947" t="s">
        <v>3064</v>
      </c>
      <c r="C85" s="2947"/>
      <c r="D85" s="2947"/>
      <c r="E85" s="2947"/>
      <c r="F85" s="2947">
        <v>4680</v>
      </c>
      <c r="G85" s="2947"/>
    </row>
    <row r="86" spans="1:7" s="2781" customFormat="1" ht="14.25" customHeight="1" thickBot="1">
      <c r="A86" s="2955" t="s">
        <v>110</v>
      </c>
      <c r="B86" s="2957" t="s">
        <v>3065</v>
      </c>
      <c r="C86" s="2958">
        <v>16610</v>
      </c>
      <c r="D86" s="2958">
        <v>16540</v>
      </c>
      <c r="E86" s="2958">
        <v>18850</v>
      </c>
      <c r="F86" s="2958"/>
      <c r="G86" s="2958">
        <v>11220</v>
      </c>
    </row>
    <row r="87" spans="1:7" s="2781" customFormat="1" ht="14.25" customHeight="1">
      <c r="A87" s="2952" t="s">
        <v>303</v>
      </c>
      <c r="B87" s="2943" t="s">
        <v>3066</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2945</v>
      </c>
      <c r="C113" s="2947">
        <v>15520</v>
      </c>
      <c r="D113" s="2947">
        <v>15450</v>
      </c>
      <c r="E113" s="2947"/>
      <c r="F113" s="2947"/>
      <c r="G113" s="2960">
        <v>10210</v>
      </c>
    </row>
    <row r="114" spans="1:7" s="2781" customFormat="1" ht="14.25" customHeight="1">
      <c r="A114" s="2947" t="s">
        <v>303</v>
      </c>
      <c r="B114" s="2947" t="s">
        <v>2952</v>
      </c>
      <c r="C114" s="2947">
        <v>13110</v>
      </c>
      <c r="D114" s="2947">
        <v>13050</v>
      </c>
      <c r="E114" s="2947"/>
      <c r="F114" s="2947"/>
      <c r="G114" s="2960">
        <v>8620</v>
      </c>
    </row>
    <row r="115" spans="1:7" s="2781" customFormat="1" ht="14.25" customHeight="1">
      <c r="A115" s="2947" t="s">
        <v>303</v>
      </c>
      <c r="B115" s="2947" t="s">
        <v>2958</v>
      </c>
      <c r="C115" s="2947">
        <v>12460</v>
      </c>
      <c r="D115" s="2947">
        <v>12390</v>
      </c>
      <c r="E115" s="2947"/>
      <c r="F115" s="2947"/>
      <c r="G115" s="2960">
        <v>8190</v>
      </c>
    </row>
    <row r="116" spans="1:7" s="2781" customFormat="1" ht="14.25" customHeight="1">
      <c r="A116" s="2947" t="s">
        <v>303</v>
      </c>
      <c r="B116" s="2947" t="s">
        <v>2965</v>
      </c>
      <c r="C116" s="2947">
        <v>13580</v>
      </c>
      <c r="D116" s="2947">
        <v>13520</v>
      </c>
      <c r="E116" s="2947"/>
      <c r="F116" s="2947"/>
      <c r="G116" s="2960">
        <v>8930</v>
      </c>
    </row>
    <row r="117" spans="1:7" s="2781" customFormat="1" ht="14.25" customHeight="1">
      <c r="A117" s="2947" t="s">
        <v>303</v>
      </c>
      <c r="B117" s="2947" t="s">
        <v>2972</v>
      </c>
      <c r="C117" s="2947">
        <v>17120</v>
      </c>
      <c r="D117" s="2947">
        <v>17040</v>
      </c>
      <c r="E117" s="2947"/>
      <c r="F117" s="2947"/>
      <c r="G117" s="2960">
        <v>11260</v>
      </c>
    </row>
    <row r="118" spans="1:7" s="2781" customFormat="1" ht="14.25" customHeight="1">
      <c r="A118" s="2947" t="s">
        <v>303</v>
      </c>
      <c r="B118" s="2947" t="s">
        <v>2977</v>
      </c>
      <c r="C118" s="2947">
        <v>14860</v>
      </c>
      <c r="D118" s="2947">
        <v>14790</v>
      </c>
      <c r="E118" s="2947"/>
      <c r="F118" s="2947"/>
      <c r="G118" s="2960">
        <v>9780</v>
      </c>
    </row>
    <row r="119" spans="1:7" s="2781" customFormat="1" ht="14.25" customHeight="1">
      <c r="A119" s="2947" t="s">
        <v>303</v>
      </c>
      <c r="B119" s="2947" t="s">
        <v>2981</v>
      </c>
      <c r="C119" s="2947">
        <v>16470</v>
      </c>
      <c r="D119" s="2947">
        <v>16400</v>
      </c>
      <c r="E119" s="2947"/>
      <c r="F119" s="2947"/>
      <c r="G119" s="2960">
        <v>10840</v>
      </c>
    </row>
    <row r="120" spans="1:7" s="2781" customFormat="1" ht="14.25" customHeight="1">
      <c r="A120" s="2947" t="s">
        <v>303</v>
      </c>
      <c r="B120" s="2947" t="s">
        <v>3067</v>
      </c>
      <c r="C120" s="2947"/>
      <c r="D120" s="2947"/>
      <c r="E120" s="2947"/>
      <c r="F120" s="2947">
        <v>4160</v>
      </c>
      <c r="G120" s="2960"/>
    </row>
    <row r="121" spans="1:7" s="2781" customFormat="1" ht="14.25" customHeight="1">
      <c r="A121" s="2947" t="s">
        <v>303</v>
      </c>
      <c r="B121" s="2947" t="s">
        <v>3068</v>
      </c>
      <c r="C121" s="2947"/>
      <c r="D121" s="2947"/>
      <c r="E121" s="2947"/>
      <c r="F121" s="2947">
        <v>3880</v>
      </c>
      <c r="G121" s="2960"/>
    </row>
    <row r="122" spans="1:7" s="2781" customFormat="1" ht="14.25" customHeight="1">
      <c r="A122" s="2947" t="s">
        <v>303</v>
      </c>
      <c r="B122" s="2947" t="s">
        <v>3069</v>
      </c>
      <c r="C122" s="2947">
        <v>13750</v>
      </c>
      <c r="D122" s="2947">
        <v>13680</v>
      </c>
      <c r="E122" s="2947">
        <v>16460</v>
      </c>
      <c r="F122" s="2947">
        <v>2880</v>
      </c>
      <c r="G122" s="2960">
        <v>9040</v>
      </c>
    </row>
    <row r="123" spans="1:7" s="2781" customFormat="1" ht="14.25" customHeight="1">
      <c r="A123" s="2947" t="s">
        <v>303</v>
      </c>
      <c r="B123" s="2947" t="s">
        <v>3000</v>
      </c>
      <c r="C123" s="2947">
        <v>13590</v>
      </c>
      <c r="D123" s="2947">
        <v>13520</v>
      </c>
      <c r="E123" s="2947">
        <v>16290</v>
      </c>
      <c r="F123" s="2947">
        <v>2790</v>
      </c>
      <c r="G123" s="2960">
        <v>8930</v>
      </c>
    </row>
    <row r="124" spans="1:7" s="2781" customFormat="1" ht="14.25" customHeight="1">
      <c r="A124" s="2947" t="s">
        <v>303</v>
      </c>
      <c r="B124" s="2947" t="s">
        <v>3005</v>
      </c>
      <c r="C124" s="2947">
        <v>13400</v>
      </c>
      <c r="D124" s="2947">
        <v>13320</v>
      </c>
      <c r="E124" s="2947">
        <v>16100</v>
      </c>
      <c r="F124" s="2947">
        <v>2320</v>
      </c>
      <c r="G124" s="2960">
        <v>8800</v>
      </c>
    </row>
    <row r="125" spans="1:7" s="2781" customFormat="1" ht="14.25" customHeight="1">
      <c r="A125" s="2947" t="s">
        <v>303</v>
      </c>
      <c r="B125" s="2947" t="s">
        <v>3010</v>
      </c>
      <c r="C125" s="2947">
        <v>12860</v>
      </c>
      <c r="D125" s="2947">
        <v>12790</v>
      </c>
      <c r="E125" s="2947">
        <v>15370</v>
      </c>
      <c r="F125" s="2947">
        <v>2280</v>
      </c>
      <c r="G125" s="2960">
        <v>8450</v>
      </c>
    </row>
    <row r="126" spans="1:7" s="2781" customFormat="1" ht="14.25" customHeight="1" thickBot="1">
      <c r="A126" s="2961" t="s">
        <v>303</v>
      </c>
      <c r="B126" s="2954" t="s">
        <v>3015</v>
      </c>
      <c r="C126" s="2954">
        <v>12960</v>
      </c>
      <c r="D126" s="2954">
        <v>12890</v>
      </c>
      <c r="E126" s="2954">
        <v>15530</v>
      </c>
      <c r="F126" s="2954">
        <v>2910</v>
      </c>
      <c r="G126" s="2962">
        <v>8520</v>
      </c>
    </row>
    <row r="127" spans="1:7" s="2781" customFormat="1" ht="14.25" customHeight="1">
      <c r="A127" s="2952" t="s">
        <v>29</v>
      </c>
      <c r="B127" s="2943" t="s">
        <v>3070</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3071</v>
      </c>
      <c r="C148" s="2947">
        <v>10370</v>
      </c>
      <c r="D148" s="2947">
        <v>10310</v>
      </c>
      <c r="E148" s="2947">
        <v>12970</v>
      </c>
      <c r="F148" s="2947"/>
      <c r="G148" s="2947">
        <v>6630</v>
      </c>
    </row>
    <row r="149" spans="1:7" s="2781" customFormat="1" ht="14.25" customHeight="1">
      <c r="A149" s="2947" t="s">
        <v>29</v>
      </c>
      <c r="B149" s="2947" t="s">
        <v>3072</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2946</v>
      </c>
      <c r="C153" s="2947">
        <v>10880</v>
      </c>
      <c r="D153" s="2947">
        <v>10820</v>
      </c>
      <c r="E153" s="2947">
        <v>13660</v>
      </c>
      <c r="F153" s="2947">
        <v>2260</v>
      </c>
      <c r="G153" s="2947">
        <v>6970</v>
      </c>
    </row>
    <row r="154" spans="1:7" s="2781" customFormat="1" ht="14.25" customHeight="1">
      <c r="A154" s="2947" t="s">
        <v>29</v>
      </c>
      <c r="B154" s="2947" t="s">
        <v>3073</v>
      </c>
      <c r="C154" s="2947">
        <v>11220</v>
      </c>
      <c r="D154" s="2947">
        <v>11160</v>
      </c>
      <c r="E154" s="2947">
        <v>14130</v>
      </c>
      <c r="F154" s="2947">
        <v>2230</v>
      </c>
      <c r="G154" s="2947">
        <v>7180</v>
      </c>
    </row>
    <row r="155" spans="1:7" s="2781" customFormat="1" ht="14.25" customHeight="1">
      <c r="A155" s="2947" t="s">
        <v>29</v>
      </c>
      <c r="B155" s="2947" t="s">
        <v>2959</v>
      </c>
      <c r="C155" s="2947">
        <v>10430</v>
      </c>
      <c r="D155" s="2947">
        <v>10380</v>
      </c>
      <c r="E155" s="2947">
        <v>13140</v>
      </c>
      <c r="F155" s="2947">
        <v>2080</v>
      </c>
      <c r="G155" s="2947">
        <v>6650</v>
      </c>
    </row>
    <row r="156" spans="1:7" s="2781" customFormat="1" ht="14.25" customHeight="1">
      <c r="A156" s="2947" t="s">
        <v>29</v>
      </c>
      <c r="B156" s="2947" t="s">
        <v>3074</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3075</v>
      </c>
      <c r="C160" s="2947">
        <v>11180</v>
      </c>
      <c r="D160" s="2947">
        <v>11140</v>
      </c>
      <c r="E160" s="2947">
        <v>14050</v>
      </c>
      <c r="F160" s="2947">
        <v>2270</v>
      </c>
      <c r="G160" s="2947">
        <v>7170</v>
      </c>
    </row>
    <row r="161" spans="1:7" s="2781" customFormat="1" ht="14.25" customHeight="1">
      <c r="A161" s="2947" t="s">
        <v>29</v>
      </c>
      <c r="B161" s="2947" t="s">
        <v>2991</v>
      </c>
      <c r="C161" s="2947">
        <v>11160</v>
      </c>
      <c r="D161" s="2947">
        <v>11120</v>
      </c>
      <c r="E161" s="2947">
        <v>14020</v>
      </c>
      <c r="F161" s="2947">
        <v>2150</v>
      </c>
      <c r="G161" s="2947">
        <v>7160</v>
      </c>
    </row>
    <row r="162" spans="1:7" s="2781" customFormat="1" ht="14.25" customHeight="1">
      <c r="A162" s="2947" t="s">
        <v>29</v>
      </c>
      <c r="B162" s="2947" t="s">
        <v>2996</v>
      </c>
      <c r="C162" s="2947">
        <v>9620</v>
      </c>
      <c r="D162" s="2947">
        <v>9570</v>
      </c>
      <c r="E162" s="2947">
        <v>12320</v>
      </c>
      <c r="F162" s="2947">
        <v>2010</v>
      </c>
      <c r="G162" s="2947">
        <v>6160</v>
      </c>
    </row>
    <row r="163" spans="1:7" s="2781" customFormat="1" ht="14.25" customHeight="1">
      <c r="A163" s="2947" t="s">
        <v>29</v>
      </c>
      <c r="B163" s="2947" t="s">
        <v>3001</v>
      </c>
      <c r="C163" s="2947">
        <v>9320</v>
      </c>
      <c r="D163" s="2947">
        <v>9270</v>
      </c>
      <c r="E163" s="2947">
        <v>11790</v>
      </c>
      <c r="F163" s="2947">
        <v>1920</v>
      </c>
      <c r="G163" s="2947">
        <v>5960</v>
      </c>
    </row>
    <row r="164" spans="1:7" s="2781" customFormat="1" ht="14.25" customHeight="1">
      <c r="A164" s="2947" t="s">
        <v>29</v>
      </c>
      <c r="B164" s="2947" t="s">
        <v>3006</v>
      </c>
      <c r="C164" s="2947"/>
      <c r="D164" s="2947"/>
      <c r="E164" s="2947"/>
      <c r="F164" s="2947">
        <v>1980</v>
      </c>
      <c r="G164" s="2947"/>
    </row>
    <row r="165" spans="1:7" s="2781" customFormat="1" ht="14.25" customHeight="1">
      <c r="A165" s="2947" t="s">
        <v>29</v>
      </c>
      <c r="B165" s="2947" t="s">
        <v>3076</v>
      </c>
      <c r="C165" s="2947">
        <v>11060</v>
      </c>
      <c r="D165" s="2947">
        <v>11030</v>
      </c>
      <c r="E165" s="2947">
        <v>13850</v>
      </c>
      <c r="F165" s="2947">
        <v>2170</v>
      </c>
      <c r="G165" s="2947">
        <v>7090</v>
      </c>
    </row>
    <row r="166" spans="1:7" s="2781" customFormat="1" ht="14.25" customHeight="1">
      <c r="A166" s="2947" t="s">
        <v>29</v>
      </c>
      <c r="B166" s="2947" t="s">
        <v>3016</v>
      </c>
      <c r="C166" s="2947">
        <v>11050</v>
      </c>
      <c r="D166" s="2947">
        <v>11010</v>
      </c>
      <c r="E166" s="2947">
        <v>13920</v>
      </c>
      <c r="F166" s="2947">
        <v>2140</v>
      </c>
      <c r="G166" s="2947">
        <v>7080</v>
      </c>
    </row>
    <row r="167" spans="1:7" s="2781" customFormat="1" ht="14.25" customHeight="1">
      <c r="A167" s="2947" t="s">
        <v>29</v>
      </c>
      <c r="B167" s="2947" t="s">
        <v>3020</v>
      </c>
      <c r="C167" s="2947">
        <v>10930</v>
      </c>
      <c r="D167" s="2947">
        <v>10890</v>
      </c>
      <c r="E167" s="2947">
        <v>13790</v>
      </c>
      <c r="F167" s="2947">
        <v>2010</v>
      </c>
      <c r="G167" s="2947">
        <v>7000</v>
      </c>
    </row>
    <row r="168" spans="1:7" s="2781" customFormat="1" ht="14.25" customHeight="1">
      <c r="A168" s="2947" t="s">
        <v>29</v>
      </c>
      <c r="B168" s="2947" t="s">
        <v>3025</v>
      </c>
      <c r="C168" s="2947">
        <v>9420</v>
      </c>
      <c r="D168" s="2947">
        <v>9380</v>
      </c>
      <c r="E168" s="2947">
        <v>11970</v>
      </c>
      <c r="F168" s="2947"/>
      <c r="G168" s="2947">
        <v>6040</v>
      </c>
    </row>
    <row r="169" spans="1:7" s="2781" customFormat="1" ht="14.25" customHeight="1">
      <c r="A169" s="2947" t="s">
        <v>29</v>
      </c>
      <c r="B169" s="2947" t="s">
        <v>3077</v>
      </c>
      <c r="C169" s="2947"/>
      <c r="D169" s="2947"/>
      <c r="E169" s="2947"/>
      <c r="F169" s="2947">
        <v>2880</v>
      </c>
      <c r="G169" s="2947"/>
    </row>
    <row r="170" spans="1:7" s="2781" customFormat="1" ht="14.25" customHeight="1">
      <c r="A170" s="2947" t="s">
        <v>29</v>
      </c>
      <c r="B170" s="2947" t="s">
        <v>3033</v>
      </c>
      <c r="C170" s="2947"/>
      <c r="D170" s="2947"/>
      <c r="E170" s="2947"/>
      <c r="F170" s="2947">
        <v>2880</v>
      </c>
      <c r="G170" s="2947"/>
    </row>
    <row r="171" spans="1:7" s="2781" customFormat="1" ht="14.25" customHeight="1">
      <c r="A171" s="2947" t="s">
        <v>29</v>
      </c>
      <c r="B171" s="2947" t="s">
        <v>3036</v>
      </c>
      <c r="C171" s="2947"/>
      <c r="D171" s="2947"/>
      <c r="E171" s="2947"/>
      <c r="F171" s="2947">
        <v>2880</v>
      </c>
      <c r="G171" s="2947"/>
    </row>
    <row r="172" spans="1:7" s="2781" customFormat="1" ht="14.25" customHeight="1">
      <c r="A172" s="2947" t="s">
        <v>29</v>
      </c>
      <c r="B172" s="2947" t="s">
        <v>3038</v>
      </c>
      <c r="C172" s="2947"/>
      <c r="D172" s="2947"/>
      <c r="E172" s="2947"/>
      <c r="F172" s="2947">
        <v>2880</v>
      </c>
      <c r="G172" s="2947"/>
    </row>
    <row r="173" spans="1:7" s="2781" customFormat="1" ht="14.25" customHeight="1">
      <c r="A173" s="2947" t="s">
        <v>29</v>
      </c>
      <c r="B173" s="2947" t="s">
        <v>3040</v>
      </c>
      <c r="C173" s="2947"/>
      <c r="D173" s="2947"/>
      <c r="E173" s="2947"/>
      <c r="F173" s="2947">
        <v>2150</v>
      </c>
      <c r="G173" s="2947"/>
    </row>
    <row r="174" spans="1:7" s="2781" customFormat="1" ht="14.25" customHeight="1">
      <c r="A174" s="2947" t="s">
        <v>29</v>
      </c>
      <c r="B174" s="2947" t="s">
        <v>3042</v>
      </c>
      <c r="C174" s="2947"/>
      <c r="D174" s="2947"/>
      <c r="E174" s="2947"/>
      <c r="F174" s="2947">
        <v>2030</v>
      </c>
      <c r="G174" s="2947"/>
    </row>
    <row r="175" spans="1:7" s="2781" customFormat="1" ht="14.25" customHeight="1">
      <c r="A175" s="2947" t="s">
        <v>29</v>
      </c>
      <c r="B175" s="2947" t="s">
        <v>3044</v>
      </c>
      <c r="C175" s="2947"/>
      <c r="D175" s="2947"/>
      <c r="E175" s="2947"/>
      <c r="F175" s="2947">
        <v>2780</v>
      </c>
      <c r="G175" s="2947"/>
    </row>
    <row r="176" spans="1:7" s="2781" customFormat="1" ht="14.25" customHeight="1">
      <c r="A176" s="2947" t="s">
        <v>29</v>
      </c>
      <c r="B176" s="2947" t="s">
        <v>3046</v>
      </c>
      <c r="C176" s="2947"/>
      <c r="D176" s="2947"/>
      <c r="E176" s="2947"/>
      <c r="F176" s="2947">
        <v>2780</v>
      </c>
      <c r="G176" s="2947"/>
    </row>
    <row r="177" spans="1:7" s="2781" customFormat="1" ht="14.25" customHeight="1">
      <c r="A177" s="2947" t="s">
        <v>29</v>
      </c>
      <c r="B177" s="2947" t="s">
        <v>3078</v>
      </c>
      <c r="C177" s="2947"/>
      <c r="D177" s="2947"/>
      <c r="E177" s="2947"/>
      <c r="F177" s="2947">
        <v>2780</v>
      </c>
      <c r="G177" s="2947"/>
    </row>
    <row r="178" spans="1:7" s="2781" customFormat="1" ht="14.25" customHeight="1">
      <c r="A178" s="2947" t="s">
        <v>29</v>
      </c>
      <c r="B178" s="2947" t="s">
        <v>3079</v>
      </c>
      <c r="C178" s="2947"/>
      <c r="D178" s="2947"/>
      <c r="E178" s="2947"/>
      <c r="F178" s="2947">
        <v>2060</v>
      </c>
      <c r="G178" s="2947"/>
    </row>
    <row r="179" spans="1:7" s="2781" customFormat="1" ht="14.25" customHeight="1">
      <c r="A179" s="2947" t="s">
        <v>29</v>
      </c>
      <c r="B179" s="2947" t="s">
        <v>3080</v>
      </c>
      <c r="C179" s="2947"/>
      <c r="D179" s="2947"/>
      <c r="E179" s="2947"/>
      <c r="F179" s="2947">
        <v>2120</v>
      </c>
      <c r="G179" s="2947"/>
    </row>
    <row r="180" spans="1:7" s="2781" customFormat="1" ht="14.25" customHeight="1">
      <c r="A180" s="2947" t="s">
        <v>29</v>
      </c>
      <c r="B180" s="2947" t="s">
        <v>3052</v>
      </c>
      <c r="C180" s="2947"/>
      <c r="D180" s="2947"/>
      <c r="E180" s="2947"/>
      <c r="F180" s="2947">
        <v>2340</v>
      </c>
      <c r="G180" s="2947"/>
    </row>
    <row r="181" spans="1:7" s="2781" customFormat="1" ht="14.25" customHeight="1">
      <c r="A181" s="2947" t="s">
        <v>29</v>
      </c>
      <c r="B181" s="2947" t="s">
        <v>3053</v>
      </c>
      <c r="C181" s="2947"/>
      <c r="D181" s="2947"/>
      <c r="E181" s="2947"/>
      <c r="F181" s="2947">
        <v>2340</v>
      </c>
      <c r="G181" s="2947"/>
    </row>
    <row r="182" spans="1:7" s="2781" customFormat="1" ht="14.25" customHeight="1">
      <c r="A182" s="2947" t="s">
        <v>29</v>
      </c>
      <c r="B182" s="2947" t="s">
        <v>3054</v>
      </c>
      <c r="C182" s="2947"/>
      <c r="D182" s="2947"/>
      <c r="E182" s="2947"/>
      <c r="F182" s="2947">
        <v>2340</v>
      </c>
      <c r="G182" s="2947"/>
    </row>
    <row r="183" spans="1:7" s="2781" customFormat="1" ht="14.25" customHeight="1">
      <c r="A183" s="2947" t="s">
        <v>29</v>
      </c>
      <c r="B183" s="2947" t="s">
        <v>3055</v>
      </c>
      <c r="C183" s="2947"/>
      <c r="D183" s="2947"/>
      <c r="E183" s="2947"/>
      <c r="F183" s="2947">
        <v>2340</v>
      </c>
      <c r="G183" s="2947"/>
    </row>
    <row r="184" spans="1:7" s="2781" customFormat="1" ht="14.25" customHeight="1">
      <c r="A184" s="2947" t="s">
        <v>29</v>
      </c>
      <c r="B184" s="2947" t="s">
        <v>3056</v>
      </c>
      <c r="C184" s="2947"/>
      <c r="D184" s="2947"/>
      <c r="E184" s="2947"/>
      <c r="F184" s="2947">
        <v>2340</v>
      </c>
      <c r="G184" s="2947"/>
    </row>
    <row r="185" spans="1:7" s="2781" customFormat="1" ht="14.25" customHeight="1">
      <c r="A185" s="2947" t="s">
        <v>29</v>
      </c>
      <c r="B185" s="2947" t="s">
        <v>3057</v>
      </c>
      <c r="C185" s="2947"/>
      <c r="D185" s="2947"/>
      <c r="E185" s="2947"/>
      <c r="F185" s="2947">
        <v>2530</v>
      </c>
      <c r="G185" s="2947"/>
    </row>
    <row r="186" spans="1:7" s="2781" customFormat="1" ht="14.25" customHeight="1">
      <c r="A186" s="2947" t="s">
        <v>29</v>
      </c>
      <c r="B186" s="2947" t="s">
        <v>3058</v>
      </c>
      <c r="C186" s="2947"/>
      <c r="D186" s="2947"/>
      <c r="E186" s="2947"/>
      <c r="F186" s="2947">
        <v>2550</v>
      </c>
      <c r="G186" s="2947"/>
    </row>
    <row r="187" spans="1:7" s="2781" customFormat="1" ht="14.25" customHeight="1">
      <c r="A187" s="2947" t="s">
        <v>29</v>
      </c>
      <c r="B187" s="2947" t="s">
        <v>3059</v>
      </c>
      <c r="C187" s="2947"/>
      <c r="D187" s="2947"/>
      <c r="E187" s="2947"/>
      <c r="F187" s="2947">
        <v>2070</v>
      </c>
      <c r="G187" s="2947"/>
    </row>
    <row r="188" spans="1:7" s="2781" customFormat="1" ht="14.25" customHeight="1">
      <c r="A188" s="2947" t="s">
        <v>29</v>
      </c>
      <c r="B188" s="2947" t="s">
        <v>3060</v>
      </c>
      <c r="C188" s="2947"/>
      <c r="D188" s="2947"/>
      <c r="E188" s="2947"/>
      <c r="F188" s="2947">
        <v>2340</v>
      </c>
      <c r="G188" s="2947"/>
    </row>
    <row r="189" spans="1:7" s="2781" customFormat="1" ht="14.25" customHeight="1" thickBot="1">
      <c r="A189" s="2955" t="s">
        <v>29</v>
      </c>
      <c r="B189" s="2958" t="s">
        <v>3061</v>
      </c>
      <c r="C189" s="2958"/>
      <c r="D189" s="2958"/>
      <c r="E189" s="2958"/>
      <c r="F189" s="2958">
        <v>2050</v>
      </c>
      <c r="G189" s="2958"/>
    </row>
    <row r="190" spans="1:7" s="2781" customFormat="1" ht="14.25" customHeight="1">
      <c r="A190" s="2952" t="s">
        <v>304</v>
      </c>
      <c r="B190" s="2943" t="s">
        <v>3081</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3082</v>
      </c>
      <c r="C199" s="2947">
        <v>8690</v>
      </c>
      <c r="D199" s="2947">
        <v>8630</v>
      </c>
      <c r="E199" s="2947">
        <v>11350</v>
      </c>
      <c r="F199" s="2947">
        <v>1600</v>
      </c>
      <c r="G199" s="2960">
        <v>5450</v>
      </c>
    </row>
    <row r="200" spans="1:7" s="2781" customFormat="1" ht="14.25" customHeight="1">
      <c r="A200" s="2947" t="s">
        <v>304</v>
      </c>
      <c r="B200" s="2947" t="s">
        <v>2893</v>
      </c>
      <c r="C200" s="2947"/>
      <c r="D200" s="2947"/>
      <c r="E200" s="2947"/>
      <c r="F200" s="2947">
        <v>1510</v>
      </c>
      <c r="G200" s="2960"/>
    </row>
    <row r="201" spans="1:7" s="2781" customFormat="1" ht="14.25" customHeight="1">
      <c r="A201" s="2947" t="s">
        <v>304</v>
      </c>
      <c r="B201" s="2947" t="s">
        <v>3083</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3084</v>
      </c>
      <c r="C203" s="2947">
        <v>8130</v>
      </c>
      <c r="D203" s="2947">
        <v>8070</v>
      </c>
      <c r="E203" s="2947">
        <v>10820</v>
      </c>
      <c r="F203" s="2947">
        <v>1690</v>
      </c>
      <c r="G203" s="2960">
        <v>5100</v>
      </c>
    </row>
    <row r="204" spans="1:7" s="2781" customFormat="1" ht="14.25" customHeight="1">
      <c r="A204" s="2947" t="s">
        <v>304</v>
      </c>
      <c r="B204" s="2947" t="s">
        <v>2904</v>
      </c>
      <c r="C204" s="2947">
        <v>8350</v>
      </c>
      <c r="D204" s="2947">
        <v>8290</v>
      </c>
      <c r="E204" s="2947">
        <v>11080</v>
      </c>
      <c r="F204" s="2947">
        <v>1450</v>
      </c>
      <c r="G204" s="2960">
        <v>5240</v>
      </c>
    </row>
    <row r="205" spans="1:7" s="2781" customFormat="1" ht="14.25" customHeight="1">
      <c r="A205" s="2947" t="s">
        <v>304</v>
      </c>
      <c r="B205" s="2947" t="s">
        <v>2906</v>
      </c>
      <c r="C205" s="2947">
        <v>7190</v>
      </c>
      <c r="D205" s="2947">
        <v>7130</v>
      </c>
      <c r="E205" s="2947">
        <v>9490</v>
      </c>
      <c r="F205" s="2947">
        <v>1470</v>
      </c>
      <c r="G205" s="2960">
        <v>4510</v>
      </c>
    </row>
    <row r="206" spans="1:7" s="2781" customFormat="1" ht="14.25" customHeight="1">
      <c r="A206" s="2947" t="s">
        <v>304</v>
      </c>
      <c r="B206" s="2947" t="s">
        <v>2909</v>
      </c>
      <c r="C206" s="2947">
        <v>7000</v>
      </c>
      <c r="D206" s="2947">
        <v>6950</v>
      </c>
      <c r="E206" s="2947">
        <v>9170</v>
      </c>
      <c r="F206" s="2947">
        <v>1400</v>
      </c>
      <c r="G206" s="2960">
        <v>4380</v>
      </c>
    </row>
    <row r="207" spans="1:7" s="2781" customFormat="1" ht="14.25" customHeight="1">
      <c r="A207" s="2947" t="s">
        <v>304</v>
      </c>
      <c r="B207" s="2947" t="s">
        <v>2911</v>
      </c>
      <c r="C207" s="2947">
        <v>6950</v>
      </c>
      <c r="D207" s="2947">
        <v>6900</v>
      </c>
      <c r="E207" s="2947">
        <v>9110</v>
      </c>
      <c r="F207" s="2947">
        <v>1790</v>
      </c>
      <c r="G207" s="2960">
        <v>4360</v>
      </c>
    </row>
    <row r="208" spans="1:7" s="2781" customFormat="1" ht="14.25" customHeight="1">
      <c r="A208" s="2947" t="s">
        <v>304</v>
      </c>
      <c r="B208" s="2947" t="s">
        <v>3085</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2921</v>
      </c>
      <c r="C210" s="2947">
        <v>8710</v>
      </c>
      <c r="D210" s="2947">
        <v>8660</v>
      </c>
      <c r="E210" s="2947">
        <v>11440</v>
      </c>
      <c r="F210" s="2947">
        <v>1740</v>
      </c>
      <c r="G210" s="2960">
        <v>5470</v>
      </c>
    </row>
    <row r="211" spans="1:7" s="2781" customFormat="1" ht="14.25" customHeight="1">
      <c r="A211" s="2947" t="s">
        <v>304</v>
      </c>
      <c r="B211" s="2947" t="s">
        <v>3086</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3087</v>
      </c>
      <c r="C214" s="2947">
        <v>8090</v>
      </c>
      <c r="D214" s="2947">
        <v>8030</v>
      </c>
      <c r="E214" s="2947">
        <v>10780</v>
      </c>
      <c r="F214" s="2947">
        <v>1570</v>
      </c>
      <c r="G214" s="2960">
        <v>5070</v>
      </c>
    </row>
    <row r="215" spans="1:7" s="2781" customFormat="1" ht="14.25" customHeight="1">
      <c r="A215" s="2947" t="s">
        <v>304</v>
      </c>
      <c r="B215" s="2947" t="s">
        <v>3088</v>
      </c>
      <c r="C215" s="2947">
        <v>7950</v>
      </c>
      <c r="D215" s="2947">
        <v>7900</v>
      </c>
      <c r="E215" s="2947">
        <v>10560</v>
      </c>
      <c r="F215" s="2947">
        <v>1630</v>
      </c>
      <c r="G215" s="2960">
        <v>4990</v>
      </c>
    </row>
    <row r="216" spans="1:7" s="2781" customFormat="1" ht="14.25" customHeight="1">
      <c r="A216" s="2947" t="s">
        <v>304</v>
      </c>
      <c r="B216" s="2947" t="s">
        <v>3089</v>
      </c>
      <c r="C216" s="2947">
        <v>8490</v>
      </c>
      <c r="D216" s="2947">
        <v>8440</v>
      </c>
      <c r="E216" s="2947">
        <v>11260</v>
      </c>
      <c r="F216" s="2947">
        <v>1690</v>
      </c>
      <c r="G216" s="2960">
        <v>5330</v>
      </c>
    </row>
    <row r="217" spans="1:7" s="2781" customFormat="1" ht="14.25" customHeight="1">
      <c r="A217" s="2947" t="s">
        <v>304</v>
      </c>
      <c r="B217" s="2947" t="s">
        <v>2954</v>
      </c>
      <c r="C217" s="2947">
        <v>8200</v>
      </c>
      <c r="D217" s="2947">
        <v>8150</v>
      </c>
      <c r="E217" s="2947">
        <v>10910</v>
      </c>
      <c r="F217" s="2947">
        <v>1670</v>
      </c>
      <c r="G217" s="2960">
        <v>5150</v>
      </c>
    </row>
    <row r="218" spans="1:7" s="2781" customFormat="1" ht="14.25" customHeight="1">
      <c r="A218" s="2947" t="s">
        <v>304</v>
      </c>
      <c r="B218" s="2947" t="s">
        <v>3090</v>
      </c>
      <c r="C218" s="2947"/>
      <c r="D218" s="2947"/>
      <c r="E218" s="2947"/>
      <c r="F218" s="2947">
        <v>2040</v>
      </c>
      <c r="G218" s="2960"/>
    </row>
    <row r="219" spans="1:7" s="2781" customFormat="1" ht="14.25" customHeight="1">
      <c r="A219" s="2947" t="s">
        <v>304</v>
      </c>
      <c r="B219" s="2947" t="s">
        <v>3091</v>
      </c>
      <c r="C219" s="2947"/>
      <c r="D219" s="2947"/>
      <c r="E219" s="2947"/>
      <c r="F219" s="2947">
        <v>2040</v>
      </c>
      <c r="G219" s="2960"/>
    </row>
    <row r="220" spans="1:7" s="2781" customFormat="1" ht="14.25" customHeight="1">
      <c r="A220" s="2947" t="s">
        <v>304</v>
      </c>
      <c r="B220" s="2947" t="s">
        <v>3092</v>
      </c>
      <c r="C220" s="2947"/>
      <c r="D220" s="2947"/>
      <c r="E220" s="2947"/>
      <c r="F220" s="2947">
        <v>2040</v>
      </c>
      <c r="G220" s="2960"/>
    </row>
    <row r="221" spans="1:7" s="2781" customFormat="1" ht="14.25" customHeight="1">
      <c r="A221" s="2947" t="s">
        <v>304</v>
      </c>
      <c r="B221" s="2947" t="s">
        <v>3093</v>
      </c>
      <c r="C221" s="2947"/>
      <c r="D221" s="2947"/>
      <c r="E221" s="2947"/>
      <c r="F221" s="2947">
        <v>2040</v>
      </c>
      <c r="G221" s="2960"/>
    </row>
    <row r="222" spans="1:7" s="2781" customFormat="1" ht="14.25" customHeight="1">
      <c r="A222" s="2947" t="s">
        <v>304</v>
      </c>
      <c r="B222" s="2947" t="s">
        <v>3094</v>
      </c>
      <c r="C222" s="2947"/>
      <c r="D222" s="2947"/>
      <c r="E222" s="2947"/>
      <c r="F222" s="2947">
        <v>2040</v>
      </c>
      <c r="G222" s="2960"/>
    </row>
    <row r="223" spans="1:7" s="2781" customFormat="1" ht="14.25" customHeight="1">
      <c r="A223" s="2947" t="s">
        <v>304</v>
      </c>
      <c r="B223" s="2947" t="s">
        <v>3095</v>
      </c>
      <c r="C223" s="2947"/>
      <c r="D223" s="2947"/>
      <c r="E223" s="2947"/>
      <c r="F223" s="2947">
        <v>1930</v>
      </c>
      <c r="G223" s="2960"/>
    </row>
    <row r="224" spans="1:7" s="2781" customFormat="1" ht="14.25" customHeight="1">
      <c r="A224" s="2947" t="s">
        <v>304</v>
      </c>
      <c r="B224" s="2947" t="s">
        <v>3096</v>
      </c>
      <c r="C224" s="2947"/>
      <c r="D224" s="2947"/>
      <c r="E224" s="2947"/>
      <c r="F224" s="2947">
        <v>1930</v>
      </c>
      <c r="G224" s="2960"/>
    </row>
    <row r="225" spans="1:7" s="2781" customFormat="1" ht="14.25" customHeight="1">
      <c r="A225" s="2947" t="s">
        <v>304</v>
      </c>
      <c r="B225" s="2947" t="s">
        <v>3097</v>
      </c>
      <c r="C225" s="2947"/>
      <c r="D225" s="2947"/>
      <c r="E225" s="2947"/>
      <c r="F225" s="2947">
        <v>1930</v>
      </c>
      <c r="G225" s="2960"/>
    </row>
    <row r="226" spans="1:7" s="2781" customFormat="1" ht="14.25" customHeight="1">
      <c r="A226" s="2947" t="s">
        <v>304</v>
      </c>
      <c r="B226" s="2947" t="s">
        <v>3098</v>
      </c>
      <c r="C226" s="2947"/>
      <c r="D226" s="2947"/>
      <c r="E226" s="2947"/>
      <c r="F226" s="2947">
        <v>1700</v>
      </c>
      <c r="G226" s="2960"/>
    </row>
    <row r="227" spans="1:7" s="2781" customFormat="1" ht="14.25" customHeight="1">
      <c r="A227" s="2947" t="s">
        <v>304</v>
      </c>
      <c r="B227" s="2947" t="s">
        <v>3099</v>
      </c>
      <c r="C227" s="2947"/>
      <c r="D227" s="2947"/>
      <c r="E227" s="2947"/>
      <c r="F227" s="2947">
        <v>1520</v>
      </c>
      <c r="G227" s="2960"/>
    </row>
    <row r="228" spans="1:7" s="2781" customFormat="1" ht="14.25" customHeight="1">
      <c r="A228" s="2947" t="s">
        <v>304</v>
      </c>
      <c r="B228" s="2947" t="s">
        <v>3100</v>
      </c>
      <c r="C228" s="2947"/>
      <c r="D228" s="2947"/>
      <c r="E228" s="2947"/>
      <c r="F228" s="2947">
        <v>1520</v>
      </c>
      <c r="G228" s="2960"/>
    </row>
    <row r="229" spans="1:7" s="2781" customFormat="1" ht="14.25" customHeight="1">
      <c r="A229" s="2947" t="s">
        <v>304</v>
      </c>
      <c r="B229" s="2947" t="s">
        <v>3017</v>
      </c>
      <c r="C229" s="2947"/>
      <c r="D229" s="2947"/>
      <c r="E229" s="2947"/>
      <c r="F229" s="2947">
        <v>1520</v>
      </c>
      <c r="G229" s="2960"/>
    </row>
    <row r="230" spans="1:7" s="2781" customFormat="1" ht="14.25" customHeight="1">
      <c r="A230" s="2947" t="s">
        <v>304</v>
      </c>
      <c r="B230" s="2947" t="s">
        <v>3101</v>
      </c>
      <c r="C230" s="2947"/>
      <c r="D230" s="2947"/>
      <c r="E230" s="2947"/>
      <c r="F230" s="2947">
        <v>1820</v>
      </c>
      <c r="G230" s="2960"/>
    </row>
    <row r="231" spans="1:7" s="2781" customFormat="1" ht="14.25" customHeight="1">
      <c r="A231" s="2947" t="s">
        <v>304</v>
      </c>
      <c r="B231" s="2947" t="s">
        <v>3102</v>
      </c>
      <c r="C231" s="2947"/>
      <c r="D231" s="2947"/>
      <c r="E231" s="2947"/>
      <c r="F231" s="2947">
        <v>1760</v>
      </c>
      <c r="G231" s="2960"/>
    </row>
    <row r="232" spans="1:7" s="2781" customFormat="1" ht="14.25" customHeight="1">
      <c r="A232" s="2947" t="s">
        <v>304</v>
      </c>
      <c r="B232" s="2947" t="s">
        <v>3103</v>
      </c>
      <c r="C232" s="2947"/>
      <c r="D232" s="2947"/>
      <c r="E232" s="2947"/>
      <c r="F232" s="2947">
        <v>1840</v>
      </c>
      <c r="G232" s="2960"/>
    </row>
    <row r="233" spans="1:7" s="2781" customFormat="1" ht="14.25" customHeight="1" thickBot="1">
      <c r="A233" s="2961" t="s">
        <v>304</v>
      </c>
      <c r="B233" s="2954" t="s">
        <v>3034</v>
      </c>
      <c r="C233" s="2954"/>
      <c r="D233" s="2954"/>
      <c r="E233" s="2954"/>
      <c r="F233" s="2954">
        <v>1770</v>
      </c>
      <c r="G233" s="2962"/>
    </row>
    <row r="234" spans="1:7" s="2781" customFormat="1" ht="14.25" customHeight="1">
      <c r="A234" s="2952" t="s">
        <v>305</v>
      </c>
      <c r="B234" s="2943" t="s">
        <v>3104</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2875</v>
      </c>
      <c r="C238" s="2947">
        <v>6920</v>
      </c>
      <c r="D238" s="2947">
        <v>6890</v>
      </c>
      <c r="E238" s="2947">
        <v>8640</v>
      </c>
      <c r="F238" s="2947">
        <v>1310</v>
      </c>
      <c r="G238" s="2947">
        <v>4230</v>
      </c>
    </row>
    <row r="239" spans="1:7" s="2781" customFormat="1" ht="14.25" customHeight="1">
      <c r="A239" s="2947" t="s">
        <v>305</v>
      </c>
      <c r="B239" s="2947" t="s">
        <v>3105</v>
      </c>
      <c r="C239" s="2947">
        <v>6780</v>
      </c>
      <c r="D239" s="2947">
        <v>6750</v>
      </c>
      <c r="E239" s="2947">
        <v>8440</v>
      </c>
      <c r="F239" s="2947">
        <v>1160</v>
      </c>
      <c r="G239" s="2947">
        <v>4140</v>
      </c>
    </row>
    <row r="240" spans="1:7" s="2781" customFormat="1" ht="14.25" customHeight="1">
      <c r="A240" s="2947" t="s">
        <v>305</v>
      </c>
      <c r="B240" s="2947" t="s">
        <v>3106</v>
      </c>
      <c r="C240" s="2947">
        <v>5420</v>
      </c>
      <c r="D240" s="2947">
        <v>5380</v>
      </c>
      <c r="E240" s="2947">
        <v>6640</v>
      </c>
      <c r="F240" s="2947">
        <v>1020</v>
      </c>
      <c r="G240" s="2947">
        <v>3300</v>
      </c>
    </row>
    <row r="241" spans="1:7" s="2781" customFormat="1" ht="14.25" customHeight="1">
      <c r="A241" s="2947" t="s">
        <v>305</v>
      </c>
      <c r="B241" s="2947" t="s">
        <v>3107</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3108</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3109</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3110</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3111</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3112</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2937</v>
      </c>
      <c r="C258" s="2947">
        <v>6190</v>
      </c>
      <c r="D258" s="2947">
        <v>6160</v>
      </c>
      <c r="E258" s="2947">
        <v>7680</v>
      </c>
      <c r="F258" s="2947">
        <v>1170</v>
      </c>
      <c r="G258" s="2947">
        <v>3780</v>
      </c>
    </row>
    <row r="259" spans="1:7" s="2781" customFormat="1" ht="14.25" customHeight="1">
      <c r="A259" s="2947" t="s">
        <v>305</v>
      </c>
      <c r="B259" s="2947" t="s">
        <v>3113</v>
      </c>
      <c r="C259" s="2947">
        <v>7610</v>
      </c>
      <c r="D259" s="2947">
        <v>7570</v>
      </c>
      <c r="E259" s="2947">
        <v>9350</v>
      </c>
      <c r="F259" s="2947">
        <v>1350</v>
      </c>
      <c r="G259" s="2947">
        <v>4650</v>
      </c>
    </row>
    <row r="260" spans="1:7" s="2781" customFormat="1" ht="14.25" customHeight="1">
      <c r="A260" s="2947" t="s">
        <v>305</v>
      </c>
      <c r="B260" s="2947" t="s">
        <v>3114</v>
      </c>
      <c r="C260" s="2947">
        <v>6920</v>
      </c>
      <c r="D260" s="2947">
        <v>6880</v>
      </c>
      <c r="E260" s="2947">
        <v>8380</v>
      </c>
      <c r="F260" s="2947">
        <v>1160</v>
      </c>
      <c r="G260" s="2947">
        <v>4220</v>
      </c>
    </row>
    <row r="261" spans="1:7" s="2781" customFormat="1" ht="14.25" customHeight="1">
      <c r="A261" s="2947" t="s">
        <v>305</v>
      </c>
      <c r="B261" s="2947" t="s">
        <v>3115</v>
      </c>
      <c r="C261" s="2947">
        <v>6850</v>
      </c>
      <c r="D261" s="2947">
        <v>6810</v>
      </c>
      <c r="E261" s="2947">
        <v>8290</v>
      </c>
      <c r="F261" s="2947">
        <v>1130</v>
      </c>
      <c r="G261" s="2947">
        <v>4180</v>
      </c>
    </row>
    <row r="262" spans="1:7" s="2781" customFormat="1" ht="14.25" customHeight="1">
      <c r="A262" s="2947" t="s">
        <v>305</v>
      </c>
      <c r="B262" s="2947" t="s">
        <v>3116</v>
      </c>
      <c r="C262" s="2947">
        <v>5860</v>
      </c>
      <c r="D262" s="2947">
        <v>5820</v>
      </c>
      <c r="E262" s="2947">
        <v>7640</v>
      </c>
      <c r="F262" s="2947">
        <v>1070</v>
      </c>
      <c r="G262" s="2947">
        <v>3570</v>
      </c>
    </row>
    <row r="263" spans="1:7" s="2781" customFormat="1" ht="14.25" customHeight="1">
      <c r="A263" s="2947" t="s">
        <v>305</v>
      </c>
      <c r="B263" s="2947" t="s">
        <v>3117</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3118</v>
      </c>
      <c r="C265" s="2947"/>
      <c r="D265" s="2947"/>
      <c r="E265" s="2947"/>
      <c r="F265" s="2947">
        <v>1500</v>
      </c>
      <c r="G265" s="2947"/>
    </row>
    <row r="266" spans="1:7" s="2781" customFormat="1" ht="14.25" customHeight="1">
      <c r="A266" s="2947" t="s">
        <v>305</v>
      </c>
      <c r="B266" s="2947" t="s">
        <v>3119</v>
      </c>
      <c r="C266" s="2947"/>
      <c r="D266" s="2947"/>
      <c r="E266" s="2947"/>
      <c r="F266" s="2947">
        <v>1500</v>
      </c>
      <c r="G266" s="2947"/>
    </row>
    <row r="267" spans="1:7" s="2781" customFormat="1" ht="14.25" customHeight="1">
      <c r="A267" s="2947" t="s">
        <v>305</v>
      </c>
      <c r="B267" s="2947" t="s">
        <v>3120</v>
      </c>
      <c r="C267" s="2947"/>
      <c r="D267" s="2947"/>
      <c r="E267" s="2947"/>
      <c r="F267" s="2947">
        <v>1500</v>
      </c>
      <c r="G267" s="2947"/>
    </row>
    <row r="268" spans="1:7" s="2781" customFormat="1" ht="14.25" customHeight="1">
      <c r="A268" s="2947" t="s">
        <v>305</v>
      </c>
      <c r="B268" s="2947" t="s">
        <v>3121</v>
      </c>
      <c r="C268" s="2947"/>
      <c r="D268" s="2947"/>
      <c r="E268" s="2947"/>
      <c r="F268" s="2947">
        <v>1290</v>
      </c>
      <c r="G268" s="2947"/>
    </row>
    <row r="269" spans="1:7" s="2781" customFormat="1" ht="14.25" customHeight="1">
      <c r="A269" s="2947" t="s">
        <v>305</v>
      </c>
      <c r="B269" s="2947" t="s">
        <v>3122</v>
      </c>
      <c r="C269" s="2947"/>
      <c r="D269" s="2947"/>
      <c r="E269" s="2947"/>
      <c r="F269" s="2947">
        <v>1150</v>
      </c>
      <c r="G269" s="2947"/>
    </row>
    <row r="270" spans="1:7" s="2781" customFormat="1" ht="14.25" customHeight="1">
      <c r="A270" s="2947" t="s">
        <v>305</v>
      </c>
      <c r="B270" s="2947" t="s">
        <v>3123</v>
      </c>
      <c r="C270" s="2947"/>
      <c r="D270" s="2947"/>
      <c r="E270" s="2947"/>
      <c r="F270" s="2947">
        <v>1380</v>
      </c>
      <c r="G270" s="2947"/>
    </row>
    <row r="271" spans="1:7" s="2781" customFormat="1" ht="14.25" customHeight="1">
      <c r="A271" s="2947" t="s">
        <v>305</v>
      </c>
      <c r="B271" s="2947" t="s">
        <v>3124</v>
      </c>
      <c r="C271" s="2947"/>
      <c r="D271" s="2947"/>
      <c r="E271" s="2947"/>
      <c r="F271" s="2947">
        <v>1460</v>
      </c>
      <c r="G271" s="2947"/>
    </row>
    <row r="272" spans="1:7" s="2781" customFormat="1" ht="14.25" customHeight="1">
      <c r="A272" s="2947" t="s">
        <v>305</v>
      </c>
      <c r="B272" s="2947" t="s">
        <v>3125</v>
      </c>
      <c r="C272" s="2947"/>
      <c r="D272" s="2947"/>
      <c r="E272" s="2947"/>
      <c r="F272" s="2947">
        <v>1460</v>
      </c>
      <c r="G272" s="2947"/>
    </row>
    <row r="273" spans="1:7" s="2781" customFormat="1" ht="14.25" customHeight="1">
      <c r="A273" s="2947" t="s">
        <v>305</v>
      </c>
      <c r="B273" s="2947" t="s">
        <v>3018</v>
      </c>
      <c r="C273" s="2947"/>
      <c r="D273" s="2947"/>
      <c r="E273" s="2947"/>
      <c r="F273" s="2947">
        <v>1490</v>
      </c>
      <c r="G273" s="2947"/>
    </row>
    <row r="274" spans="1:7" s="2781" customFormat="1" ht="14.25" customHeight="1">
      <c r="A274" s="2947" t="s">
        <v>305</v>
      </c>
      <c r="B274" s="2947" t="s">
        <v>3126</v>
      </c>
      <c r="C274" s="2947"/>
      <c r="D274" s="2947"/>
      <c r="E274" s="2947"/>
      <c r="F274" s="2947">
        <v>1490</v>
      </c>
      <c r="G274" s="2947"/>
    </row>
    <row r="275" spans="1:7" s="2781" customFormat="1" ht="14.25" customHeight="1">
      <c r="A275" s="2947" t="s">
        <v>305</v>
      </c>
      <c r="B275" s="2947" t="s">
        <v>3127</v>
      </c>
      <c r="C275" s="2947"/>
      <c r="D275" s="2947"/>
      <c r="E275" s="2947"/>
      <c r="F275" s="2947">
        <v>1220</v>
      </c>
      <c r="G275" s="2947"/>
    </row>
    <row r="276" spans="1:7" s="2781" customFormat="1" ht="14.25" customHeight="1" thickBot="1">
      <c r="A276" s="2955" t="s">
        <v>305</v>
      </c>
      <c r="B276" s="2957" t="s">
        <v>3128</v>
      </c>
      <c r="C276" s="2958"/>
      <c r="D276" s="2958"/>
      <c r="E276" s="2958"/>
      <c r="F276" s="2958">
        <v>1380</v>
      </c>
      <c r="G276" s="2958"/>
    </row>
    <row r="277" spans="1:7" s="2781" customFormat="1" ht="14.25" customHeight="1">
      <c r="A277" s="2952" t="s">
        <v>306</v>
      </c>
      <c r="B277" s="2943" t="s">
        <v>3129</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3130</v>
      </c>
      <c r="C279" s="2947">
        <v>4760</v>
      </c>
      <c r="D279" s="2947">
        <v>4720</v>
      </c>
      <c r="E279" s="2947">
        <v>5540</v>
      </c>
      <c r="F279" s="2947">
        <v>810</v>
      </c>
      <c r="G279" s="2960">
        <v>2850</v>
      </c>
    </row>
    <row r="280" spans="1:7" s="2781" customFormat="1" ht="14.25" customHeight="1">
      <c r="A280" s="2947" t="s">
        <v>306</v>
      </c>
      <c r="B280" s="2947" t="s">
        <v>3131</v>
      </c>
      <c r="C280" s="2947">
        <v>4010</v>
      </c>
      <c r="D280" s="2947">
        <v>3950</v>
      </c>
      <c r="E280" s="2947">
        <v>4710</v>
      </c>
      <c r="F280" s="2947">
        <v>800</v>
      </c>
      <c r="G280" s="2960">
        <v>2390</v>
      </c>
    </row>
    <row r="281" spans="1:7" s="2781" customFormat="1" ht="14.25" customHeight="1">
      <c r="A281" s="2947" t="s">
        <v>306</v>
      </c>
      <c r="B281" s="2947" t="s">
        <v>3132</v>
      </c>
      <c r="C281" s="2947">
        <v>4480</v>
      </c>
      <c r="D281" s="2947">
        <v>4420</v>
      </c>
      <c r="E281" s="2947">
        <v>5230</v>
      </c>
      <c r="F281" s="2947">
        <v>870</v>
      </c>
      <c r="G281" s="2960">
        <v>2660</v>
      </c>
    </row>
    <row r="282" spans="1:7" s="2781" customFormat="1" ht="14.25" customHeight="1">
      <c r="A282" s="2947" t="s">
        <v>306</v>
      </c>
      <c r="B282" s="2947" t="s">
        <v>3133</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3134</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3135</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2910</v>
      </c>
      <c r="C293" s="2947">
        <v>5320</v>
      </c>
      <c r="D293" s="2947">
        <v>5270</v>
      </c>
      <c r="E293" s="2947">
        <v>6160</v>
      </c>
      <c r="F293" s="2947">
        <v>990</v>
      </c>
      <c r="G293" s="2960">
        <v>3170</v>
      </c>
    </row>
    <row r="294" spans="1:7" s="2781" customFormat="1" ht="14.25" customHeight="1">
      <c r="A294" s="2947" t="s">
        <v>306</v>
      </c>
      <c r="B294" s="2947" t="s">
        <v>3136</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2929</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3137</v>
      </c>
      <c r="C302" s="2947">
        <v>5520</v>
      </c>
      <c r="D302" s="2947">
        <v>5470</v>
      </c>
      <c r="E302" s="2947">
        <v>6410</v>
      </c>
      <c r="F302" s="2947">
        <v>950</v>
      </c>
      <c r="G302" s="2960">
        <v>3300</v>
      </c>
    </row>
    <row r="303" spans="1:7" s="2781" customFormat="1" ht="14.25" customHeight="1">
      <c r="A303" s="2947" t="s">
        <v>306</v>
      </c>
      <c r="B303" s="2947" t="s">
        <v>2949</v>
      </c>
      <c r="C303" s="2947">
        <v>5630</v>
      </c>
      <c r="D303" s="2947">
        <v>5590</v>
      </c>
      <c r="E303" s="2947">
        <v>6550</v>
      </c>
      <c r="F303" s="2947">
        <v>1010</v>
      </c>
      <c r="G303" s="2960">
        <v>3370</v>
      </c>
    </row>
    <row r="304" spans="1:7" s="2781" customFormat="1" ht="14.25" customHeight="1">
      <c r="A304" s="2947" t="s">
        <v>306</v>
      </c>
      <c r="B304" s="2947" t="s">
        <v>2956</v>
      </c>
      <c r="C304" s="2947">
        <v>5680</v>
      </c>
      <c r="D304" s="2947">
        <v>5620</v>
      </c>
      <c r="E304" s="2947">
        <v>6620</v>
      </c>
      <c r="F304" s="2947">
        <v>1050</v>
      </c>
      <c r="G304" s="2960">
        <v>3390</v>
      </c>
    </row>
    <row r="305" spans="1:7" s="2781" customFormat="1" ht="14.25" customHeight="1">
      <c r="A305" s="2947" t="s">
        <v>306</v>
      </c>
      <c r="B305" s="2947" t="s">
        <v>2962</v>
      </c>
      <c r="C305" s="2947">
        <v>5590</v>
      </c>
      <c r="D305" s="2947">
        <v>5530</v>
      </c>
      <c r="E305" s="2947">
        <v>6460</v>
      </c>
      <c r="F305" s="2947">
        <v>900</v>
      </c>
      <c r="G305" s="2960">
        <v>3340</v>
      </c>
    </row>
    <row r="306" spans="1:7" s="2781" customFormat="1" ht="14.25" customHeight="1">
      <c r="A306" s="2947" t="s">
        <v>306</v>
      </c>
      <c r="B306" s="2947" t="s">
        <v>3138</v>
      </c>
      <c r="C306" s="2947">
        <v>5560</v>
      </c>
      <c r="D306" s="2947">
        <v>5510</v>
      </c>
      <c r="E306" s="2947">
        <v>6440</v>
      </c>
      <c r="F306" s="2947">
        <v>900</v>
      </c>
      <c r="G306" s="2960">
        <v>3320</v>
      </c>
    </row>
    <row r="307" spans="1:7" s="2781" customFormat="1" ht="14.25" customHeight="1">
      <c r="A307" s="2947" t="s">
        <v>306</v>
      </c>
      <c r="B307" s="2947" t="s">
        <v>2974</v>
      </c>
      <c r="C307" s="2947">
        <v>5650</v>
      </c>
      <c r="D307" s="2947">
        <v>5600</v>
      </c>
      <c r="E307" s="2947">
        <v>6590</v>
      </c>
      <c r="F307" s="2947">
        <v>930</v>
      </c>
      <c r="G307" s="2960">
        <v>3380</v>
      </c>
    </row>
    <row r="308" spans="1:7" s="2781" customFormat="1" ht="14.25" customHeight="1">
      <c r="A308" s="2947" t="s">
        <v>306</v>
      </c>
      <c r="B308" s="2947" t="s">
        <v>3139</v>
      </c>
      <c r="C308" s="2947">
        <v>5620</v>
      </c>
      <c r="D308" s="2947">
        <v>5580</v>
      </c>
      <c r="E308" s="2947">
        <v>6540</v>
      </c>
      <c r="F308" s="2947">
        <v>910</v>
      </c>
      <c r="G308" s="2960">
        <v>3370</v>
      </c>
    </row>
    <row r="309" spans="1:7" s="2781" customFormat="1" ht="14.25" customHeight="1">
      <c r="A309" s="2947" t="s">
        <v>306</v>
      </c>
      <c r="B309" s="2947" t="s">
        <v>3140</v>
      </c>
      <c r="C309" s="2947">
        <v>5060</v>
      </c>
      <c r="D309" s="2947">
        <v>5020</v>
      </c>
      <c r="E309" s="2947">
        <v>6370</v>
      </c>
      <c r="F309" s="2947">
        <v>800</v>
      </c>
      <c r="G309" s="2960">
        <v>3020</v>
      </c>
    </row>
    <row r="310" spans="1:7" s="2781" customFormat="1" ht="14.25" customHeight="1">
      <c r="A310" s="2947" t="s">
        <v>306</v>
      </c>
      <c r="B310" s="2947" t="s">
        <v>2989</v>
      </c>
      <c r="C310" s="2947">
        <v>5150</v>
      </c>
      <c r="D310" s="2947">
        <v>5110</v>
      </c>
      <c r="E310" s="2947">
        <v>6500</v>
      </c>
      <c r="F310" s="2947">
        <v>880</v>
      </c>
      <c r="G310" s="2960">
        <v>3080</v>
      </c>
    </row>
    <row r="311" spans="1:7" s="2781" customFormat="1" ht="14.25" customHeight="1">
      <c r="A311" s="2947" t="s">
        <v>306</v>
      </c>
      <c r="B311" s="2947" t="s">
        <v>3141</v>
      </c>
      <c r="C311" s="2947">
        <v>4750</v>
      </c>
      <c r="D311" s="2947">
        <v>4710</v>
      </c>
      <c r="E311" s="2947">
        <v>5510</v>
      </c>
      <c r="F311" s="2947">
        <v>880</v>
      </c>
      <c r="G311" s="2960">
        <v>2840</v>
      </c>
    </row>
    <row r="312" spans="1:7" s="2781" customFormat="1" ht="14.25" customHeight="1">
      <c r="A312" s="2947" t="s">
        <v>306</v>
      </c>
      <c r="B312" s="2947" t="s">
        <v>2999</v>
      </c>
      <c r="C312" s="2947">
        <v>4690</v>
      </c>
      <c r="D312" s="2947">
        <v>4640</v>
      </c>
      <c r="E312" s="2947">
        <v>5420</v>
      </c>
      <c r="F312" s="2947">
        <v>800</v>
      </c>
      <c r="G312" s="2960">
        <v>2800</v>
      </c>
    </row>
    <row r="313" spans="1:7" s="2781" customFormat="1" ht="14.25" customHeight="1">
      <c r="A313" s="2947" t="s">
        <v>306</v>
      </c>
      <c r="B313" s="2947" t="s">
        <v>3004</v>
      </c>
      <c r="C313" s="2947">
        <v>4810</v>
      </c>
      <c r="D313" s="2947">
        <v>4760</v>
      </c>
      <c r="E313" s="2947">
        <v>5550</v>
      </c>
      <c r="F313" s="2947">
        <v>920</v>
      </c>
      <c r="G313" s="2960">
        <v>2870</v>
      </c>
    </row>
    <row r="314" spans="1:7" s="2781" customFormat="1" ht="14.25" customHeight="1">
      <c r="A314" s="2947" t="s">
        <v>306</v>
      </c>
      <c r="B314" s="2947" t="s">
        <v>3142</v>
      </c>
      <c r="C314" s="2947"/>
      <c r="D314" s="2947"/>
      <c r="E314" s="2947"/>
      <c r="F314" s="2947">
        <v>1020</v>
      </c>
      <c r="G314" s="2960"/>
    </row>
    <row r="315" spans="1:7" s="2781" customFormat="1" ht="14.25" customHeight="1">
      <c r="A315" s="2947" t="s">
        <v>306</v>
      </c>
      <c r="B315" s="2947" t="s">
        <v>3143</v>
      </c>
      <c r="C315" s="2947"/>
      <c r="D315" s="2947"/>
      <c r="E315" s="2947"/>
      <c r="F315" s="2947">
        <v>1050</v>
      </c>
      <c r="G315" s="2960"/>
    </row>
    <row r="316" spans="1:7" s="2781" customFormat="1" ht="14.25" customHeight="1">
      <c r="A316" s="2947" t="s">
        <v>306</v>
      </c>
      <c r="B316" s="2947" t="s">
        <v>3019</v>
      </c>
      <c r="C316" s="2947"/>
      <c r="D316" s="2947"/>
      <c r="E316" s="2947"/>
      <c r="F316" s="2947">
        <v>900</v>
      </c>
      <c r="G316" s="2960"/>
    </row>
    <row r="317" spans="1:7" s="2781" customFormat="1" ht="14.25" customHeight="1">
      <c r="A317" s="2947" t="s">
        <v>306</v>
      </c>
      <c r="B317" s="2947" t="s">
        <v>3144</v>
      </c>
      <c r="C317" s="2947"/>
      <c r="D317" s="2947"/>
      <c r="E317" s="2947"/>
      <c r="F317" s="2947">
        <v>920</v>
      </c>
      <c r="G317" s="2960"/>
    </row>
    <row r="318" spans="1:7" s="2781" customFormat="1" ht="14.25" customHeight="1">
      <c r="A318" s="2947" t="s">
        <v>306</v>
      </c>
      <c r="B318" s="2947" t="s">
        <v>3145</v>
      </c>
      <c r="C318" s="2947"/>
      <c r="D318" s="2947"/>
      <c r="E318" s="2947"/>
      <c r="F318" s="2947">
        <v>1080</v>
      </c>
      <c r="G318" s="2960"/>
    </row>
    <row r="319" spans="1:7" s="2781" customFormat="1" ht="14.25" customHeight="1">
      <c r="A319" s="2947" t="s">
        <v>306</v>
      </c>
      <c r="B319" s="2947" t="s">
        <v>3032</v>
      </c>
      <c r="C319" s="2947"/>
      <c r="D319" s="2947"/>
      <c r="E319" s="2947"/>
      <c r="F319" s="2947">
        <v>1020</v>
      </c>
      <c r="G319" s="2960"/>
    </row>
    <row r="320" spans="1:7" s="2781" customFormat="1" ht="14.25" customHeight="1">
      <c r="A320" s="2947" t="s">
        <v>306</v>
      </c>
      <c r="B320" s="2947" t="s">
        <v>3035</v>
      </c>
      <c r="C320" s="2947"/>
      <c r="D320" s="2947"/>
      <c r="E320" s="2947"/>
      <c r="F320" s="2947">
        <v>1050</v>
      </c>
      <c r="G320" s="2960"/>
    </row>
    <row r="321" spans="1:7" s="2781" customFormat="1" ht="14.25" customHeight="1">
      <c r="A321" s="2947" t="s">
        <v>306</v>
      </c>
      <c r="B321" s="2947" t="s">
        <v>3037</v>
      </c>
      <c r="C321" s="2947"/>
      <c r="D321" s="2947"/>
      <c r="E321" s="2947"/>
      <c r="F321" s="2947">
        <v>960</v>
      </c>
      <c r="G321" s="2960"/>
    </row>
    <row r="322" spans="1:7" s="2781" customFormat="1" ht="14.25" customHeight="1">
      <c r="A322" s="2947" t="s">
        <v>306</v>
      </c>
      <c r="B322" s="2947" t="s">
        <v>3039</v>
      </c>
      <c r="C322" s="2947"/>
      <c r="D322" s="2947"/>
      <c r="E322" s="2947"/>
      <c r="F322" s="2947">
        <v>960</v>
      </c>
      <c r="G322" s="2960"/>
    </row>
    <row r="323" spans="1:7" s="2781" customFormat="1" ht="14.25" customHeight="1">
      <c r="A323" s="2947" t="s">
        <v>306</v>
      </c>
      <c r="B323" s="2947" t="s">
        <v>3041</v>
      </c>
      <c r="C323" s="2947"/>
      <c r="D323" s="2947"/>
      <c r="E323" s="2947"/>
      <c r="F323" s="2947">
        <v>880</v>
      </c>
      <c r="G323" s="2960"/>
    </row>
    <row r="324" spans="1:7" s="2781" customFormat="1" ht="14.25" customHeight="1">
      <c r="A324" s="2947" t="s">
        <v>306</v>
      </c>
      <c r="B324" s="2947" t="s">
        <v>3043</v>
      </c>
      <c r="C324" s="2947"/>
      <c r="D324" s="2947"/>
      <c r="E324" s="2947"/>
      <c r="F324" s="2947">
        <v>930</v>
      </c>
      <c r="G324" s="2960"/>
    </row>
    <row r="325" spans="1:7" s="2781" customFormat="1" ht="14.25" customHeight="1">
      <c r="A325" s="2947" t="s">
        <v>306</v>
      </c>
      <c r="B325" s="2948" t="s">
        <v>3045</v>
      </c>
      <c r="C325" s="2947"/>
      <c r="D325" s="2947"/>
      <c r="E325" s="2947"/>
      <c r="F325" s="2947">
        <v>900</v>
      </c>
      <c r="G325" s="2960"/>
    </row>
    <row r="326" spans="1:7" s="2781" customFormat="1" ht="14.25" customHeight="1" thickBot="1">
      <c r="A326" s="2961" t="s">
        <v>306</v>
      </c>
      <c r="B326" s="2954" t="s">
        <v>3047</v>
      </c>
      <c r="C326" s="2954"/>
      <c r="D326" s="2954"/>
      <c r="E326" s="2954"/>
      <c r="F326" s="2954">
        <v>790</v>
      </c>
      <c r="G326" s="2962"/>
    </row>
    <row r="327" spans="1:7" s="2781" customFormat="1" ht="14.25" customHeight="1">
      <c r="A327" s="2952" t="s">
        <v>307</v>
      </c>
      <c r="B327" s="2943" t="s">
        <v>3146</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3147</v>
      </c>
      <c r="C329" s="2947">
        <v>2730</v>
      </c>
      <c r="D329" s="2947">
        <v>2690</v>
      </c>
      <c r="E329" s="2947">
        <v>3100</v>
      </c>
      <c r="F329" s="2947">
        <v>660</v>
      </c>
      <c r="G329" s="2947">
        <v>1610</v>
      </c>
    </row>
    <row r="330" spans="1:7" s="2781" customFormat="1" ht="14.25" customHeight="1">
      <c r="A330" s="2947" t="s">
        <v>307</v>
      </c>
      <c r="B330" s="2947" t="s">
        <v>3148</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2881</v>
      </c>
      <c r="C332" s="2947">
        <v>3520</v>
      </c>
      <c r="D332" s="2947">
        <v>3480</v>
      </c>
      <c r="E332" s="2947">
        <v>3830</v>
      </c>
      <c r="F332" s="2947">
        <v>720</v>
      </c>
      <c r="G332" s="2947">
        <v>2090</v>
      </c>
    </row>
    <row r="333" spans="1:7" s="2781" customFormat="1" ht="14.25" customHeight="1">
      <c r="A333" s="2947" t="s">
        <v>307</v>
      </c>
      <c r="B333" s="2947" t="s">
        <v>3149</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2891</v>
      </c>
      <c r="C336" s="2947">
        <v>3570</v>
      </c>
      <c r="D336" s="2947">
        <v>3530</v>
      </c>
      <c r="E336" s="2947">
        <v>3880</v>
      </c>
      <c r="F336" s="2947">
        <v>770</v>
      </c>
      <c r="G336" s="2947">
        <v>2110</v>
      </c>
    </row>
    <row r="337" spans="1:10" s="2781" customFormat="1" ht="14.25" customHeight="1">
      <c r="A337" s="2947" t="s">
        <v>307</v>
      </c>
      <c r="B337" s="2947" t="s">
        <v>3150</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3151</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3152</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2916</v>
      </c>
      <c r="C345" s="2947">
        <v>3190</v>
      </c>
      <c r="D345" s="2947">
        <v>3140</v>
      </c>
      <c r="E345" s="2947">
        <v>3450</v>
      </c>
      <c r="F345" s="2947">
        <v>720</v>
      </c>
      <c r="G345" s="2947">
        <v>1880</v>
      </c>
      <c r="J345" s="2781"/>
    </row>
    <row r="346" spans="1:10">
      <c r="A346" s="2947" t="s">
        <v>307</v>
      </c>
      <c r="B346" s="2947" t="s">
        <v>3153</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2925</v>
      </c>
      <c r="C348" s="2947">
        <v>4000</v>
      </c>
      <c r="D348" s="2947">
        <v>3950</v>
      </c>
      <c r="E348" s="2947">
        <v>4430</v>
      </c>
      <c r="F348" s="2947">
        <v>760</v>
      </c>
      <c r="G348" s="2947">
        <v>2360</v>
      </c>
      <c r="J348" s="2781"/>
    </row>
    <row r="349" spans="1:10">
      <c r="A349" s="2947" t="s">
        <v>307</v>
      </c>
      <c r="B349" s="2947" t="s">
        <v>2930</v>
      </c>
      <c r="C349" s="2947">
        <v>3820</v>
      </c>
      <c r="D349" s="2947">
        <v>3780</v>
      </c>
      <c r="E349" s="2947">
        <v>4170</v>
      </c>
      <c r="F349" s="2947">
        <v>710</v>
      </c>
      <c r="G349" s="2947">
        <v>2260</v>
      </c>
      <c r="J349" s="2781"/>
    </row>
    <row r="350" spans="1:10">
      <c r="A350" s="2947" t="s">
        <v>307</v>
      </c>
      <c r="B350" s="2947" t="s">
        <v>3154</v>
      </c>
      <c r="C350" s="2947">
        <v>3760</v>
      </c>
      <c r="D350" s="2947">
        <v>3730</v>
      </c>
      <c r="E350" s="2947">
        <v>4100</v>
      </c>
      <c r="F350" s="2947">
        <v>800</v>
      </c>
      <c r="G350" s="2947">
        <v>2230</v>
      </c>
      <c r="J350" s="2781"/>
    </row>
    <row r="351" spans="1:10">
      <c r="A351" s="2947" t="s">
        <v>307</v>
      </c>
      <c r="B351" s="2947" t="s">
        <v>2938</v>
      </c>
      <c r="C351" s="2947">
        <v>3610</v>
      </c>
      <c r="D351" s="2947">
        <v>3580</v>
      </c>
      <c r="E351" s="2947">
        <v>3930</v>
      </c>
      <c r="F351" s="2947">
        <v>700</v>
      </c>
      <c r="G351" s="2947">
        <v>2140</v>
      </c>
      <c r="J351" s="2781"/>
    </row>
    <row r="352" spans="1:10">
      <c r="A352" s="2947" t="s">
        <v>307</v>
      </c>
      <c r="B352" s="2947" t="s">
        <v>2943</v>
      </c>
      <c r="C352" s="2947">
        <v>3670</v>
      </c>
      <c r="D352" s="2947">
        <v>3630</v>
      </c>
      <c r="E352" s="2947">
        <v>4000</v>
      </c>
      <c r="F352" s="2947">
        <v>750</v>
      </c>
      <c r="G352" s="2947">
        <v>2180</v>
      </c>
    </row>
    <row r="353" spans="1:7" s="2782" customFormat="1">
      <c r="A353" s="2947" t="s">
        <v>307</v>
      </c>
      <c r="B353" s="2947" t="s">
        <v>3155</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2963</v>
      </c>
      <c r="C355" s="2947">
        <v>3650</v>
      </c>
      <c r="D355" s="2947">
        <v>3610</v>
      </c>
      <c r="E355" s="2947">
        <v>4200</v>
      </c>
      <c r="F355" s="2947">
        <v>640</v>
      </c>
      <c r="G355" s="2947">
        <v>2160</v>
      </c>
    </row>
    <row r="356" spans="1:7" s="2782" customFormat="1">
      <c r="A356" s="2947" t="s">
        <v>307</v>
      </c>
      <c r="B356" s="2947" t="s">
        <v>2970</v>
      </c>
      <c r="C356" s="2947">
        <v>3260</v>
      </c>
      <c r="D356" s="2947">
        <v>3230</v>
      </c>
      <c r="E356" s="2947">
        <v>3740</v>
      </c>
      <c r="F356" s="2947">
        <v>600</v>
      </c>
      <c r="G356" s="2947">
        <v>1930</v>
      </c>
    </row>
    <row r="357" spans="1:7" s="2782" customFormat="1" ht="12" thickBot="1">
      <c r="A357" s="2955" t="s">
        <v>307</v>
      </c>
      <c r="B357" s="2958" t="s">
        <v>3156</v>
      </c>
      <c r="C357" s="2958">
        <v>3690</v>
      </c>
      <c r="D357" s="2958">
        <v>3650</v>
      </c>
      <c r="E357" s="2958">
        <v>4020</v>
      </c>
      <c r="F357" s="2958">
        <v>700</v>
      </c>
      <c r="G357" s="2958">
        <v>2190</v>
      </c>
    </row>
    <row r="358" spans="1:7" s="2782" customFormat="1">
      <c r="A358" s="2952" t="s">
        <v>3157</v>
      </c>
      <c r="B358" s="2943" t="s">
        <v>3158</v>
      </c>
      <c r="C358" s="2943">
        <v>2080</v>
      </c>
      <c r="D358" s="2943">
        <v>2040</v>
      </c>
      <c r="E358" s="2943">
        <v>2010</v>
      </c>
      <c r="F358" s="2943">
        <v>530</v>
      </c>
      <c r="G358" s="2959">
        <v>1230</v>
      </c>
    </row>
    <row r="359" spans="1:7" s="2782" customFormat="1">
      <c r="A359" s="2947" t="s">
        <v>3157</v>
      </c>
      <c r="B359" s="2947" t="s">
        <v>3159</v>
      </c>
      <c r="C359" s="2947">
        <v>1850</v>
      </c>
      <c r="D359" s="2947">
        <v>1820</v>
      </c>
      <c r="E359" s="2947">
        <v>1780</v>
      </c>
      <c r="F359" s="2947">
        <v>520</v>
      </c>
      <c r="G359" s="2960">
        <v>1100</v>
      </c>
    </row>
    <row r="360" spans="1:7" s="2782" customFormat="1">
      <c r="A360" s="2947" t="s">
        <v>3157</v>
      </c>
      <c r="B360" s="2947" t="s">
        <v>3160</v>
      </c>
      <c r="C360" s="2947">
        <v>2020</v>
      </c>
      <c r="D360" s="2947">
        <v>1990</v>
      </c>
      <c r="E360" s="2947">
        <v>1950</v>
      </c>
      <c r="F360" s="2947">
        <v>500</v>
      </c>
      <c r="G360" s="2960">
        <v>1200</v>
      </c>
    </row>
    <row r="361" spans="1:7" s="2782" customFormat="1">
      <c r="A361" s="2947" t="s">
        <v>3157</v>
      </c>
      <c r="B361" s="2947" t="s">
        <v>153</v>
      </c>
      <c r="C361" s="2947">
        <v>2260</v>
      </c>
      <c r="D361" s="2947">
        <v>2220</v>
      </c>
      <c r="E361" s="2947">
        <v>2180</v>
      </c>
      <c r="F361" s="2947">
        <v>580</v>
      </c>
      <c r="G361" s="2960">
        <v>1340</v>
      </c>
    </row>
    <row r="362" spans="1:7" s="2782" customFormat="1">
      <c r="A362" s="2947" t="s">
        <v>3157</v>
      </c>
      <c r="B362" s="2947" t="s">
        <v>3161</v>
      </c>
      <c r="C362" s="2947">
        <v>2650</v>
      </c>
      <c r="D362" s="2947">
        <v>2610</v>
      </c>
      <c r="E362" s="2947">
        <v>2570</v>
      </c>
      <c r="F362" s="2947">
        <v>630</v>
      </c>
      <c r="G362" s="2960">
        <v>1570</v>
      </c>
    </row>
    <row r="363" spans="1:7" s="2782" customFormat="1">
      <c r="A363" s="2947" t="s">
        <v>3157</v>
      </c>
      <c r="B363" s="2947" t="s">
        <v>2882</v>
      </c>
      <c r="C363" s="2947">
        <v>2390</v>
      </c>
      <c r="D363" s="2947">
        <v>2360</v>
      </c>
      <c r="E363" s="2947">
        <v>2320</v>
      </c>
      <c r="F363" s="2947">
        <v>600</v>
      </c>
      <c r="G363" s="2960">
        <v>1420</v>
      </c>
    </row>
    <row r="364" spans="1:7" s="2782" customFormat="1">
      <c r="A364" s="2947" t="s">
        <v>3157</v>
      </c>
      <c r="B364" s="2947" t="s">
        <v>3162</v>
      </c>
      <c r="C364" s="2947">
        <v>2050</v>
      </c>
      <c r="D364" s="2947">
        <v>2030</v>
      </c>
      <c r="E364" s="2947">
        <v>1990</v>
      </c>
      <c r="F364" s="2947">
        <v>550</v>
      </c>
      <c r="G364" s="2960">
        <v>1220</v>
      </c>
    </row>
    <row r="365" spans="1:7" s="2782" customFormat="1">
      <c r="A365" s="2947" t="s">
        <v>3157</v>
      </c>
      <c r="B365" s="2947" t="s">
        <v>200</v>
      </c>
      <c r="C365" s="2947">
        <v>2140</v>
      </c>
      <c r="D365" s="2947">
        <v>2100</v>
      </c>
      <c r="E365" s="2947">
        <v>2060</v>
      </c>
      <c r="F365" s="2947">
        <v>540</v>
      </c>
      <c r="G365" s="2960">
        <v>1270</v>
      </c>
    </row>
    <row r="366" spans="1:7" s="2782" customFormat="1">
      <c r="A366" s="2947" t="s">
        <v>3157</v>
      </c>
      <c r="B366" s="2947" t="s">
        <v>2889</v>
      </c>
      <c r="C366" s="2947">
        <v>2410</v>
      </c>
      <c r="D366" s="2947">
        <v>2370</v>
      </c>
      <c r="E366" s="2947">
        <v>2330</v>
      </c>
      <c r="F366" s="2947">
        <v>570</v>
      </c>
      <c r="G366" s="2960">
        <v>1440</v>
      </c>
    </row>
    <row r="367" spans="1:7" s="2782" customFormat="1">
      <c r="A367" s="2947" t="s">
        <v>3157</v>
      </c>
      <c r="B367" s="2947" t="s">
        <v>3163</v>
      </c>
      <c r="C367" s="2947">
        <v>2300</v>
      </c>
      <c r="D367" s="2947">
        <v>2260</v>
      </c>
      <c r="E367" s="2947">
        <v>2220</v>
      </c>
      <c r="F367" s="2947">
        <v>560</v>
      </c>
      <c r="G367" s="2960">
        <v>1370</v>
      </c>
    </row>
    <row r="368" spans="1:7" s="2782" customFormat="1">
      <c r="A368" s="2947" t="s">
        <v>3157</v>
      </c>
      <c r="B368" s="2947" t="s">
        <v>3164</v>
      </c>
      <c r="C368" s="2947">
        <v>2430</v>
      </c>
      <c r="D368" s="2947">
        <v>2390</v>
      </c>
      <c r="E368" s="2947">
        <v>2350</v>
      </c>
      <c r="F368" s="2947">
        <v>570</v>
      </c>
      <c r="G368" s="2960">
        <v>1450</v>
      </c>
    </row>
    <row r="369" spans="1:7" s="2782" customFormat="1">
      <c r="A369" s="2947" t="s">
        <v>3157</v>
      </c>
      <c r="B369" s="2947" t="s">
        <v>214</v>
      </c>
      <c r="C369" s="2947">
        <v>2320</v>
      </c>
      <c r="D369" s="2947">
        <v>2290</v>
      </c>
      <c r="E369" s="2947">
        <v>2250</v>
      </c>
      <c r="F369" s="2947">
        <v>550</v>
      </c>
      <c r="G369" s="2960">
        <v>1380</v>
      </c>
    </row>
    <row r="370" spans="1:7" s="2782" customFormat="1">
      <c r="A370" s="2947" t="s">
        <v>3157</v>
      </c>
      <c r="B370" s="2947" t="s">
        <v>221</v>
      </c>
      <c r="C370" s="2947">
        <v>2190</v>
      </c>
      <c r="D370" s="2947">
        <v>2170</v>
      </c>
      <c r="E370" s="2947">
        <v>2130</v>
      </c>
      <c r="F370" s="2947">
        <v>530</v>
      </c>
      <c r="G370" s="2960">
        <v>1310</v>
      </c>
    </row>
    <row r="371" spans="1:7" s="2782" customFormat="1">
      <c r="A371" s="2947" t="s">
        <v>3157</v>
      </c>
      <c r="B371" s="2947" t="s">
        <v>229</v>
      </c>
      <c r="C371" s="2947">
        <v>2460</v>
      </c>
      <c r="D371" s="2947">
        <v>2420</v>
      </c>
      <c r="E371" s="2947">
        <v>2370</v>
      </c>
      <c r="F371" s="2947">
        <v>560</v>
      </c>
      <c r="G371" s="2960">
        <v>1470</v>
      </c>
    </row>
    <row r="372" spans="1:7" s="2782" customFormat="1">
      <c r="A372" s="2947" t="s">
        <v>3157</v>
      </c>
      <c r="B372" s="2947" t="s">
        <v>3165</v>
      </c>
      <c r="C372" s="2947">
        <v>2250</v>
      </c>
      <c r="D372" s="2947">
        <v>2210</v>
      </c>
      <c r="E372" s="2947">
        <v>2180</v>
      </c>
      <c r="F372" s="2947">
        <v>550</v>
      </c>
      <c r="G372" s="2960">
        <v>1340</v>
      </c>
    </row>
    <row r="373" spans="1:7" s="2782" customFormat="1">
      <c r="A373" s="2947" t="s">
        <v>3157</v>
      </c>
      <c r="B373" s="2947" t="s">
        <v>258</v>
      </c>
      <c r="C373" s="2947">
        <v>2210</v>
      </c>
      <c r="D373" s="2947">
        <v>2190</v>
      </c>
      <c r="E373" s="2947">
        <v>2150</v>
      </c>
      <c r="F373" s="2947">
        <v>530</v>
      </c>
      <c r="G373" s="2960">
        <v>1320</v>
      </c>
    </row>
    <row r="374" spans="1:7" s="2782" customFormat="1">
      <c r="A374" s="2947" t="s">
        <v>3157</v>
      </c>
      <c r="B374" s="2947" t="s">
        <v>266</v>
      </c>
      <c r="C374" s="2947">
        <v>2320</v>
      </c>
      <c r="D374" s="2947">
        <v>2280</v>
      </c>
      <c r="E374" s="2947">
        <v>2230</v>
      </c>
      <c r="F374" s="2947">
        <v>580</v>
      </c>
      <c r="G374" s="2960">
        <v>1380</v>
      </c>
    </row>
    <row r="375" spans="1:7" s="2782" customFormat="1">
      <c r="A375" s="2947" t="s">
        <v>3157</v>
      </c>
      <c r="B375" s="2947" t="s">
        <v>3166</v>
      </c>
      <c r="C375" s="2947">
        <v>2090</v>
      </c>
      <c r="D375" s="2947">
        <v>2050</v>
      </c>
      <c r="E375" s="2947">
        <v>2020</v>
      </c>
      <c r="F375" s="2947">
        <v>520</v>
      </c>
      <c r="G375" s="2960">
        <v>1240</v>
      </c>
    </row>
    <row r="376" spans="1:7" s="2782" customFormat="1">
      <c r="A376" s="2947" t="s">
        <v>3157</v>
      </c>
      <c r="B376" s="2947" t="s">
        <v>277</v>
      </c>
      <c r="C376" s="2947">
        <v>2010</v>
      </c>
      <c r="D376" s="2947">
        <v>1980</v>
      </c>
      <c r="E376" s="2947">
        <v>1940</v>
      </c>
      <c r="F376" s="2947">
        <v>540</v>
      </c>
      <c r="G376" s="2960">
        <v>1190</v>
      </c>
    </row>
    <row r="377" spans="1:7" s="2782" customFormat="1" ht="12" thickBot="1">
      <c r="A377" s="2955" t="s">
        <v>3157</v>
      </c>
      <c r="B377" s="2958" t="s">
        <v>2919</v>
      </c>
      <c r="C377" s="2958">
        <v>1930</v>
      </c>
      <c r="D377" s="2958">
        <v>1890</v>
      </c>
      <c r="E377" s="2958">
        <v>1860</v>
      </c>
      <c r="F377" s="2958">
        <v>530</v>
      </c>
      <c r="G377" s="2963">
        <v>1150</v>
      </c>
    </row>
    <row r="378" spans="1:7" s="2782" customFormat="1">
      <c r="A378" s="2964" t="s">
        <v>3167</v>
      </c>
      <c r="B378" s="2943" t="s">
        <v>3168</v>
      </c>
      <c r="C378" s="2943">
        <v>1520</v>
      </c>
      <c r="D378" s="2943">
        <v>1490</v>
      </c>
      <c r="E378" s="2943">
        <v>1460</v>
      </c>
      <c r="F378" s="2943">
        <v>460</v>
      </c>
      <c r="G378" s="2959">
        <v>940</v>
      </c>
    </row>
    <row r="379" spans="1:7" s="2782" customFormat="1">
      <c r="A379" s="2965" t="s">
        <v>3167</v>
      </c>
      <c r="B379" s="2947" t="s">
        <v>3169</v>
      </c>
      <c r="C379" s="2947">
        <v>1500</v>
      </c>
      <c r="D379" s="2947">
        <v>1470</v>
      </c>
      <c r="E379" s="2947">
        <v>1430</v>
      </c>
      <c r="F379" s="2947">
        <v>460</v>
      </c>
      <c r="G379" s="2960">
        <v>920</v>
      </c>
    </row>
    <row r="380" spans="1:7" s="2782" customFormat="1">
      <c r="A380" s="2965" t="s">
        <v>3167</v>
      </c>
      <c r="B380" s="2947" t="s">
        <v>3170</v>
      </c>
      <c r="C380" s="2947">
        <v>1620</v>
      </c>
      <c r="D380" s="2947">
        <v>1590</v>
      </c>
      <c r="E380" s="2947">
        <v>1560</v>
      </c>
      <c r="F380" s="2947">
        <v>480</v>
      </c>
      <c r="G380" s="2960">
        <v>1000</v>
      </c>
    </row>
    <row r="381" spans="1:7" s="2782" customFormat="1">
      <c r="A381" s="2965" t="s">
        <v>3167</v>
      </c>
      <c r="B381" s="2947" t="s">
        <v>3171</v>
      </c>
      <c r="C381" s="2947">
        <v>1460</v>
      </c>
      <c r="D381" s="2947">
        <v>1430</v>
      </c>
      <c r="E381" s="2947">
        <v>1390</v>
      </c>
      <c r="F381" s="2947">
        <v>450</v>
      </c>
      <c r="G381" s="2960">
        <v>900</v>
      </c>
    </row>
    <row r="382" spans="1:7" s="2782" customFormat="1">
      <c r="A382" s="2965" t="s">
        <v>3167</v>
      </c>
      <c r="B382" s="2947" t="s">
        <v>3172</v>
      </c>
      <c r="C382" s="2947">
        <v>1310</v>
      </c>
      <c r="D382" s="2947">
        <v>1280</v>
      </c>
      <c r="E382" s="2947">
        <v>1250</v>
      </c>
      <c r="F382" s="2947">
        <v>440</v>
      </c>
      <c r="G382" s="2960">
        <v>800</v>
      </c>
    </row>
    <row r="383" spans="1:7" s="2782" customFormat="1">
      <c r="A383" s="2965" t="s">
        <v>3167</v>
      </c>
      <c r="B383" s="2947" t="s">
        <v>3173</v>
      </c>
      <c r="C383" s="2947">
        <v>1260</v>
      </c>
      <c r="D383" s="2947">
        <v>1230</v>
      </c>
      <c r="E383" s="2947">
        <v>1200</v>
      </c>
      <c r="F383" s="2947">
        <v>420</v>
      </c>
      <c r="G383" s="2960">
        <v>770</v>
      </c>
    </row>
    <row r="384" spans="1:7" s="2782" customFormat="1" ht="12" thickBot="1">
      <c r="A384" s="2966" t="s">
        <v>3167</v>
      </c>
      <c r="B384" s="2954" t="s">
        <v>3174</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2303</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924</v>
      </c>
      <c r="B2" s="3199" t="s">
        <v>925</v>
      </c>
      <c r="C2" s="3199" t="s">
        <v>926</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921</v>
      </c>
      <c r="E3" s="801" t="s">
        <v>927</v>
      </c>
      <c r="F3" s="801" t="s">
        <v>921</v>
      </c>
      <c r="G3" s="801" t="s">
        <v>922</v>
      </c>
      <c r="H3" s="801" t="s">
        <v>921</v>
      </c>
      <c r="I3" s="801" t="s">
        <v>922</v>
      </c>
    </row>
    <row r="4" spans="1:9" ht="60">
      <c r="A4" s="1403" t="str">
        <f>项目基本情况!S2</f>
        <v>北京市大兴区马朱路长子营段16号院17号楼1层101、2层201、202、203工业用房房地产</v>
      </c>
      <c r="B4" s="801">
        <f>项目基本情况!C17</f>
        <v>491.32</v>
      </c>
      <c r="C4" s="801">
        <f>项目基本情况!C18</f>
        <v>0</v>
      </c>
      <c r="D4" s="801">
        <f ca="1">结果表!D118</f>
        <v>140</v>
      </c>
      <c r="E4" s="801">
        <f ca="1">结果表!E118</f>
        <v>2858</v>
      </c>
      <c r="F4" s="801">
        <f ca="1">结果表!F118</f>
        <v>412</v>
      </c>
      <c r="G4" s="801">
        <f ca="1">结果表!G118</f>
        <v>8394</v>
      </c>
      <c r="H4" s="801">
        <f ca="1">结果表!H118</f>
        <v>553</v>
      </c>
      <c r="I4" s="801">
        <f ca="1">结果表!I118</f>
        <v>11252</v>
      </c>
    </row>
    <row r="5" spans="1:9" ht="30" customHeight="1">
      <c r="A5" s="3194" t="s">
        <v>923</v>
      </c>
      <c r="B5" s="3194"/>
      <c r="C5" s="3194"/>
      <c r="D5" s="3194" t="str">
        <f ca="1">结果表!D119</f>
        <v>壹佰肆拾万元整</v>
      </c>
      <c r="E5" s="3194"/>
      <c r="F5" s="3194" t="str">
        <f ca="1">结果表!F119</f>
        <v>肆佰壹拾贰万元整</v>
      </c>
      <c r="G5" s="3194"/>
      <c r="H5" s="3194" t="str">
        <f ca="1">结果表!H119</f>
        <v>伍佰伍拾叁万元整</v>
      </c>
      <c r="I5" s="3194"/>
    </row>
    <row r="6" spans="1:9" ht="15.75">
      <c r="A6" s="3193" t="str">
        <f>结果表!A120</f>
        <v>估价师知悉的法定优先受偿款</v>
      </c>
      <c r="B6" s="3193"/>
      <c r="C6" s="3193"/>
      <c r="D6" s="3193">
        <f>结果表!D120</f>
        <v>0</v>
      </c>
      <c r="E6" s="3193"/>
      <c r="F6" s="3193"/>
      <c r="G6" s="3193"/>
      <c r="H6" s="3193"/>
      <c r="I6" s="3193"/>
    </row>
    <row r="7" spans="1:9" ht="15">
      <c r="A7" s="3194" t="s">
        <v>923</v>
      </c>
      <c r="B7" s="3194"/>
      <c r="C7" s="3194"/>
      <c r="D7" s="3195" t="str">
        <f>结果表!D121</f>
        <v>零元整</v>
      </c>
      <c r="E7" s="3196"/>
      <c r="F7" s="3196"/>
      <c r="G7" s="3196"/>
      <c r="H7" s="3196"/>
      <c r="I7" s="3197"/>
    </row>
    <row r="8" spans="1:9" ht="15.75">
      <c r="A8" s="3193" t="str">
        <f>结果表!A122</f>
        <v>房地产抵押价值</v>
      </c>
      <c r="B8" s="3193"/>
      <c r="C8" s="3193"/>
      <c r="D8" s="3193">
        <f ca="1">结果表!D122</f>
        <v>553</v>
      </c>
      <c r="E8" s="3193"/>
      <c r="F8" s="3193"/>
      <c r="G8" s="3193"/>
      <c r="H8" s="3193"/>
      <c r="I8" s="3193"/>
    </row>
    <row r="9" spans="1:9" ht="15">
      <c r="A9" s="3194" t="s">
        <v>923</v>
      </c>
      <c r="B9" s="3194"/>
      <c r="C9" s="3194"/>
      <c r="D9" s="3194" t="str">
        <f ca="1">结果表!D123</f>
        <v>伍佰伍拾叁万元整</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923</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923</v>
      </c>
      <c r="B13" s="3191"/>
      <c r="C13" s="3191"/>
      <c r="D13" s="3191" t="e">
        <f>结果表!D127</f>
        <v>#VALUE!</v>
      </c>
      <c r="E13" s="3191"/>
      <c r="F13" s="3191"/>
      <c r="G13" s="3191"/>
      <c r="H13" s="3191"/>
      <c r="I13" s="3191"/>
    </row>
    <row r="14" spans="1:9" ht="15" thickTop="1">
      <c r="A14" s="3192" t="s">
        <v>928</v>
      </c>
      <c r="B14" s="3192"/>
      <c r="C14" s="3192"/>
      <c r="D14" s="3192"/>
      <c r="E14" s="3192"/>
      <c r="F14" s="3192"/>
      <c r="G14" s="3192"/>
      <c r="H14" s="3192"/>
      <c r="I14" s="3192"/>
    </row>
    <row r="16" spans="1:9" ht="18.75">
      <c r="A16" s="1404"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945</v>
      </c>
      <c r="B1" s="3206"/>
      <c r="C1" s="3206"/>
      <c r="D1" s="3206"/>
    </row>
    <row r="2" spans="1:4" ht="18">
      <c r="A2" s="3207" t="s">
        <v>929</v>
      </c>
      <c r="B2" s="3207"/>
      <c r="C2" s="3207"/>
      <c r="D2" s="3207"/>
    </row>
    <row r="3" spans="1:4" ht="18.75">
      <c r="A3" s="1407" t="s">
        <v>930</v>
      </c>
      <c r="B3" s="1407" t="s">
        <v>931</v>
      </c>
      <c r="C3" s="1407" t="s">
        <v>932</v>
      </c>
      <c r="D3" s="1407" t="s">
        <v>933</v>
      </c>
    </row>
    <row r="4" spans="1:4" ht="56.25" customHeight="1">
      <c r="A4" s="1408" t="str">
        <f>项目基本情况!B4</f>
        <v>郑燚</v>
      </c>
      <c r="B4" s="1409">
        <f ca="1">项目基本情况!C4</f>
        <v>1120070131</v>
      </c>
      <c r="C4" s="1410"/>
      <c r="D4" s="1411" t="s">
        <v>934</v>
      </c>
    </row>
    <row r="5" spans="1:4" ht="56.25" customHeight="1">
      <c r="A5" s="1408">
        <f>项目基本情况!D4</f>
        <v>0</v>
      </c>
      <c r="B5" s="1409">
        <f>项目基本情况!E4</f>
        <v>0</v>
      </c>
      <c r="C5" s="1412"/>
      <c r="D5" s="1411" t="s">
        <v>934</v>
      </c>
    </row>
    <row r="6" spans="1:4" ht="18">
      <c r="A6" s="3207" t="s">
        <v>935</v>
      </c>
      <c r="B6" s="3207"/>
      <c r="C6" s="3207"/>
      <c r="D6" s="3207"/>
    </row>
    <row r="7" spans="1:4" ht="18.75">
      <c r="A7" s="1407" t="s">
        <v>930</v>
      </c>
      <c r="B7" s="1409" t="s">
        <v>936</v>
      </c>
      <c r="C7" s="1407" t="s">
        <v>932</v>
      </c>
      <c r="D7" s="1407" t="s">
        <v>933</v>
      </c>
    </row>
    <row r="8" spans="1:4" ht="56.25" customHeight="1">
      <c r="A8" s="1413" t="s">
        <v>390</v>
      </c>
      <c r="B8" s="1413" t="s">
        <v>0</v>
      </c>
      <c r="C8" s="1410"/>
      <c r="D8" s="1411" t="s">
        <v>934</v>
      </c>
    </row>
    <row r="10" spans="1:4" ht="18.75">
      <c r="A10" s="1414" t="s">
        <v>937</v>
      </c>
    </row>
    <row r="11" spans="1:4" ht="30" customHeight="1">
      <c r="A11" s="3208" t="s">
        <v>938</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939</v>
      </c>
      <c r="B16" s="3202"/>
      <c r="C16" s="3202"/>
      <c r="D16" s="3202"/>
    </row>
    <row r="17" spans="1:4" ht="144" customHeight="1">
      <c r="A17" s="3202" t="s">
        <v>940</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941</v>
      </c>
      <c r="B22" s="3204"/>
      <c r="C22" s="3204"/>
      <c r="D22" s="3204"/>
    </row>
    <row r="23" spans="1:4">
      <c r="A23" s="1415"/>
      <c r="B23" s="459"/>
      <c r="C23" s="459"/>
      <c r="D23" s="459"/>
    </row>
    <row r="24" spans="1:4">
      <c r="A24" s="1415"/>
      <c r="B24" s="459"/>
      <c r="C24" s="459"/>
      <c r="D24" s="459"/>
    </row>
    <row r="25" spans="1:4" ht="18.75">
      <c r="A25" s="1416" t="s">
        <v>942</v>
      </c>
    </row>
    <row r="26" spans="1:4" ht="18">
      <c r="A26" s="1387"/>
    </row>
    <row r="27" spans="1:4" ht="18.75">
      <c r="A27" s="1387" t="s">
        <v>943</v>
      </c>
    </row>
    <row r="30" spans="1:4" ht="18.75">
      <c r="D30" s="1416" t="s">
        <v>944</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946</v>
      </c>
    </row>
    <row r="3" spans="1:7">
      <c r="A3" s="1420" t="s">
        <v>55</v>
      </c>
      <c r="B3" s="1405" t="s">
        <v>947</v>
      </c>
      <c r="G3" s="1421"/>
    </row>
    <row r="4" spans="1:7">
      <c r="G4" s="1421"/>
    </row>
    <row r="5" spans="1:7">
      <c r="A5" s="1423" t="s">
        <v>46</v>
      </c>
      <c r="B5" s="1405" t="s">
        <v>948</v>
      </c>
      <c r="G5" s="1421"/>
    </row>
    <row r="6" spans="1:7">
      <c r="G6" s="1421"/>
    </row>
    <row r="7" spans="1:7">
      <c r="A7" s="1424" t="s">
        <v>108</v>
      </c>
      <c r="B7" s="1405" t="s">
        <v>949</v>
      </c>
      <c r="G7" s="1421"/>
    </row>
    <row r="8" spans="1:7">
      <c r="G8" s="1421"/>
    </row>
    <row r="9" spans="1:7">
      <c r="A9" s="1425" t="s">
        <v>47</v>
      </c>
      <c r="B9" s="1405" t="s">
        <v>950</v>
      </c>
    </row>
    <row r="11" spans="1:7">
      <c r="A11" s="1426" t="s">
        <v>48</v>
      </c>
      <c r="B11" s="1427" t="s">
        <v>45</v>
      </c>
    </row>
    <row r="13" spans="1:7">
      <c r="A13" s="1428" t="s">
        <v>951</v>
      </c>
    </row>
    <row r="15" spans="1:7" ht="13.5">
      <c r="A15" s="3214" t="s">
        <v>952</v>
      </c>
      <c r="B15" s="3209" t="s">
        <v>109</v>
      </c>
      <c r="C15" s="3210"/>
    </row>
    <row r="16" spans="1:7" ht="13.5">
      <c r="A16" s="3215"/>
      <c r="B16" s="3209" t="s">
        <v>42</v>
      </c>
      <c r="C16" s="3210"/>
    </row>
    <row r="17" spans="1:3" ht="13.5">
      <c r="A17" s="3215"/>
      <c r="B17" s="3212" t="s">
        <v>953</v>
      </c>
      <c r="C17" s="1429" t="s">
        <v>952</v>
      </c>
    </row>
    <row r="18" spans="1:3" ht="13.5">
      <c r="A18" s="3215"/>
      <c r="B18" s="3212"/>
      <c r="C18" s="1429" t="s">
        <v>954</v>
      </c>
    </row>
    <row r="19" spans="1:3" ht="13.5">
      <c r="A19" s="3215"/>
      <c r="B19" s="3212"/>
      <c r="C19" s="1429" t="s">
        <v>955</v>
      </c>
    </row>
    <row r="20" spans="1:3" ht="13.5">
      <c r="A20" s="3216"/>
      <c r="B20" s="3211" t="s">
        <v>956</v>
      </c>
      <c r="C20" s="3210"/>
    </row>
    <row r="21" spans="1:3" ht="13.5">
      <c r="A21" s="1430" t="s">
        <v>957</v>
      </c>
      <c r="B21" s="1431"/>
      <c r="C21" s="1432"/>
    </row>
    <row r="22" spans="1:3" ht="13.5">
      <c r="A22" s="3213" t="s">
        <v>958</v>
      </c>
      <c r="B22" s="3211" t="s">
        <v>959</v>
      </c>
      <c r="C22" s="3210"/>
    </row>
    <row r="23" spans="1:3" ht="13.5">
      <c r="A23" s="3213"/>
      <c r="B23" s="3211" t="s">
        <v>960</v>
      </c>
      <c r="C23" s="3210"/>
    </row>
    <row r="24" spans="1:3" ht="13.5">
      <c r="A24" s="3213"/>
      <c r="B24" s="3211" t="s">
        <v>961</v>
      </c>
      <c r="C24" s="3210"/>
    </row>
    <row r="25" spans="1:3" ht="13.5">
      <c r="A25" s="3213"/>
      <c r="B25" s="3212" t="s">
        <v>962</v>
      </c>
      <c r="C25" s="1429" t="s">
        <v>963</v>
      </c>
    </row>
    <row r="26" spans="1:3" ht="13.5">
      <c r="A26" s="3213"/>
      <c r="B26" s="3212"/>
      <c r="C26" s="1429" t="s">
        <v>964</v>
      </c>
    </row>
    <row r="27" spans="1:3" ht="13.5">
      <c r="A27" s="3213"/>
      <c r="B27" s="3212"/>
      <c r="C27" s="1429" t="s">
        <v>965</v>
      </c>
    </row>
    <row r="28" spans="1:3" ht="13.5">
      <c r="A28" s="3213"/>
      <c r="B28" s="3212"/>
      <c r="C28" s="1429" t="s">
        <v>966</v>
      </c>
    </row>
    <row r="29" spans="1:3" ht="13.5">
      <c r="A29" s="3213"/>
      <c r="B29" s="3212"/>
      <c r="C29" s="1429" t="s">
        <v>967</v>
      </c>
    </row>
    <row r="30" spans="1:3" ht="13.5">
      <c r="A30" s="3213"/>
      <c r="B30" s="3212"/>
      <c r="C30" s="1429" t="s">
        <v>968</v>
      </c>
    </row>
    <row r="31" spans="1:3" ht="13.5">
      <c r="A31" s="3213"/>
      <c r="B31" s="3212"/>
      <c r="C31" s="1429" t="s">
        <v>969</v>
      </c>
    </row>
    <row r="32" spans="1:3" ht="13.5">
      <c r="A32" s="3213"/>
      <c r="B32" s="3212"/>
      <c r="C32" s="1429" t="s">
        <v>970</v>
      </c>
    </row>
    <row r="33" spans="1:3" ht="13.5">
      <c r="A33" s="3213"/>
      <c r="B33" s="3212"/>
      <c r="C33" s="1429" t="s">
        <v>971</v>
      </c>
    </row>
    <row r="34" spans="1:3">
      <c r="A34" s="1433" t="s">
        <v>49</v>
      </c>
    </row>
    <row r="37" spans="1:3">
      <c r="A37" s="1433" t="s">
        <v>972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2133</v>
      </c>
      <c r="B2" s="2157">
        <f ca="1">TODAY()</f>
        <v>45790</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f ca="1">IF(C4&lt;B2,"已过期",1119970066)</f>
        <v>1119970066</v>
      </c>
      <c r="C4" s="2162">
        <v>45937</v>
      </c>
      <c r="D4" s="2163" t="str">
        <f ca="1">A4&amp;"（注册号："&amp;B4&amp;"）"</f>
        <v>梁津（注册号：1119970066）</v>
      </c>
      <c r="E4" s="2164" t="s">
        <v>2142</v>
      </c>
      <c r="F4" s="1219">
        <f ca="1">IF(G4&lt;B2,"已过期",96010014)</f>
        <v>96010014</v>
      </c>
      <c r="G4" s="2165">
        <v>47118</v>
      </c>
      <c r="H4" s="2166" t="str">
        <f ca="1">E4&amp;"（注册号："&amp;F4&amp;"）"</f>
        <v>梁津（注册号：96010014）</v>
      </c>
    </row>
    <row r="5" spans="1:8" ht="24" customHeight="1">
      <c r="A5" s="1219" t="s">
        <v>2143</v>
      </c>
      <c r="B5" s="1219">
        <f ca="1">IF(C5&lt;B2,"已过期",1119970111)</f>
        <v>1119970111</v>
      </c>
      <c r="C5" s="2162">
        <v>45937</v>
      </c>
      <c r="D5" s="2163" t="str">
        <f t="shared" ref="D5:D15" ca="1" si="0">A5&amp;"（注册号："&amp;B5&amp;"）"</f>
        <v>叶凌（注册号：1119970111）</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f ca="1">IF(C7&lt;B2,"已过期",1120000080)</f>
        <v>1120000080</v>
      </c>
      <c r="C7" s="2162">
        <v>45937</v>
      </c>
      <c r="D7" s="2163" t="str">
        <f t="shared" ca="1" si="0"/>
        <v>欧红伟（注册号：1120000080）</v>
      </c>
      <c r="E7" s="2164" t="s">
        <v>2145</v>
      </c>
      <c r="F7" s="1219">
        <f ca="1">IF(G7&lt;B2,"已过期",2000110082)</f>
        <v>2000110082</v>
      </c>
      <c r="G7" s="2165">
        <v>46387</v>
      </c>
      <c r="H7" s="2166" t="str">
        <f t="shared" ca="1" si="1"/>
        <v>欧红伟（注册号：2000110082）</v>
      </c>
    </row>
    <row r="8" spans="1:8" ht="24" customHeight="1">
      <c r="A8" s="1219" t="s">
        <v>2146</v>
      </c>
      <c r="B8" s="1219">
        <f ca="1">IF(C8&lt;B2,"已过期",1419970001)</f>
        <v>1419970001</v>
      </c>
      <c r="C8" s="2162">
        <v>45937</v>
      </c>
      <c r="D8" s="2163" t="str">
        <f t="shared" ca="1" si="0"/>
        <v>吴薇（注册号：1419970001）</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f ca="1">IF(C11&lt;B2,"已过期",1120070131)</f>
        <v>1120070131</v>
      </c>
      <c r="C11" s="2162">
        <v>45937</v>
      </c>
      <c r="D11" s="2163" t="str">
        <f t="shared" ca="1" si="0"/>
        <v>郑燚（注册号：1120070131）</v>
      </c>
      <c r="E11" s="2164" t="s">
        <v>2149</v>
      </c>
      <c r="F11" s="1219">
        <f ca="1">IF(G11&lt;B2,"已过期",2014110011)</f>
        <v>2014110011</v>
      </c>
      <c r="G11" s="2165">
        <v>49302</v>
      </c>
      <c r="H11" s="2166" t="str">
        <f t="shared" ca="1" si="1"/>
        <v>郑燚（注册号：2014110011）</v>
      </c>
    </row>
    <row r="12" spans="1:8" ht="24" customHeight="1">
      <c r="A12" s="1219" t="s">
        <v>2150</v>
      </c>
      <c r="B12" s="1219">
        <f ca="1">IF(C12&lt;B2,"已过期",1120040230)</f>
        <v>1120040230</v>
      </c>
      <c r="C12" s="2167">
        <v>45937</v>
      </c>
      <c r="D12" s="2163" t="str">
        <f t="shared" ca="1" si="0"/>
        <v>苏海（注册号：1120040230）</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2431</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2154</v>
      </c>
      <c r="B17" s="3217"/>
      <c r="C17" s="3217"/>
      <c r="D17" s="3217"/>
      <c r="E17" s="3217"/>
      <c r="F17" s="3217"/>
      <c r="G17" s="3217"/>
      <c r="H17" s="3217"/>
    </row>
    <row r="18" spans="1:8" ht="24" customHeight="1">
      <c r="A18" s="3218" t="s">
        <v>2155</v>
      </c>
      <c r="B18" s="3218"/>
      <c r="C18" s="3218"/>
      <c r="D18" s="2160"/>
      <c r="E18" s="3219" t="s">
        <v>2156</v>
      </c>
      <c r="F18" s="3218"/>
      <c r="G18" s="3218"/>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2432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假设开发法</vt:lpstr>
      <vt:lpstr>收益法</vt:lpstr>
      <vt:lpstr>基准地价修正</vt:lpstr>
      <vt:lpstr>市调</vt:lpstr>
      <vt:lpstr>中指成交</vt:lpstr>
      <vt:lpstr>Sheet3</vt:lpstr>
      <vt:lpstr>租赁合同</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2025-05-13T02:07:11Z</dcterms:modified>
</cp:coreProperties>
</file>