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2"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state="hidden" r:id="rId22"/>
    <sheet name="地价" sheetId="71" state="hidden" r:id="rId23"/>
    <sheet name="土地比较法-住宅、综合" sheetId="39"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各层面积" sheetId="78"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AH6" i="1"/>
  <c r="B7" i="4"/>
  <c r="I5" i="33"/>
  <c r="N14" i="1"/>
  <c r="AT13" i="3"/>
  <c r="H25" i="78"/>
  <c r="K13" i="3"/>
  <c r="Y6" i="1"/>
  <c r="E57" i="39"/>
  <c r="D39" i="43"/>
  <c r="D33" i="43"/>
  <c r="P74" i="80"/>
  <c r="Q72" i="80"/>
  <c r="Q59" i="80"/>
  <c r="K59" i="80"/>
  <c r="P61" i="80"/>
  <c r="F59" i="80"/>
  <c r="Q58" i="80"/>
  <c r="Q51" i="80"/>
  <c r="J50" i="80"/>
  <c r="M47" i="80"/>
  <c r="D46" i="80"/>
  <c r="F33" i="80"/>
  <c r="F61" i="80"/>
  <c r="F31" i="80"/>
  <c r="F23" i="80"/>
  <c r="D24" i="80"/>
  <c r="D23" i="80"/>
  <c r="D22" i="80"/>
  <c r="F21" i="80"/>
  <c r="F20" i="80"/>
  <c r="M19" i="80"/>
  <c r="F18" i="80"/>
  <c r="M17" i="80"/>
  <c r="F17" i="80"/>
  <c r="F15" i="80"/>
  <c r="G19" i="6"/>
  <c r="D6" i="78"/>
  <c r="C33" i="33"/>
  <c r="D5" i="78"/>
  <c r="D4" i="78"/>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L12" i="78"/>
  <c r="L13" i="78"/>
  <c r="G6" i="78"/>
  <c r="G4" i="78"/>
  <c r="F5" i="78"/>
  <c r="G5" i="78"/>
  <c r="F8" i="78"/>
  <c r="F9" i="78"/>
  <c r="G9" i="78"/>
  <c r="F10" i="78"/>
  <c r="F11" i="78"/>
  <c r="G11" i="78"/>
  <c r="F12" i="78"/>
  <c r="F13" i="78"/>
  <c r="G13" i="78"/>
  <c r="F7" i="78"/>
  <c r="C14" i="78"/>
  <c r="B14" i="78"/>
  <c r="D7" i="78"/>
  <c r="D8" i="78"/>
  <c r="D14" i="78"/>
  <c r="D9" i="78"/>
  <c r="D10" i="78"/>
  <c r="D11" i="78"/>
  <c r="D12" i="78"/>
  <c r="D13" i="78"/>
  <c r="J6" i="78"/>
  <c r="K6" i="78"/>
  <c r="J5" i="78"/>
  <c r="J7" i="78"/>
  <c r="G7" i="78"/>
  <c r="G12" i="78"/>
  <c r="G10" i="78"/>
  <c r="G8" i="78"/>
  <c r="G14" i="78"/>
  <c r="H14" i="78"/>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AB27" i="71"/>
  <c r="Q27" i="71"/>
  <c r="P27" i="71"/>
  <c r="O27" i="71"/>
  <c r="Y27" i="71"/>
  <c r="Z27" i="71"/>
  <c r="N27" i="71"/>
  <c r="X27" i="71"/>
  <c r="Q26" i="71"/>
  <c r="AB26" i="71"/>
  <c r="P26" i="71"/>
  <c r="O26" i="71"/>
  <c r="N26" i="71"/>
  <c r="F28" i="71"/>
  <c r="Q25" i="71"/>
  <c r="F26" i="71"/>
  <c r="F27"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Z21" i="34"/>
  <c r="Q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S36" i="31"/>
  <c r="R37" i="31"/>
  <c r="R38" i="31"/>
  <c r="S38" i="31"/>
  <c r="R39" i="31"/>
  <c r="S39" i="31"/>
  <c r="R40" i="31"/>
  <c r="S40" i="31"/>
  <c r="R41" i="31"/>
  <c r="S41" i="31"/>
  <c r="R42" i="31"/>
  <c r="S42" i="31"/>
  <c r="R43" i="31"/>
  <c r="S43" i="31"/>
  <c r="R44" i="31"/>
  <c r="S44" i="31"/>
  <c r="R45" i="31"/>
  <c r="R46" i="31"/>
  <c r="S46" i="31"/>
  <c r="R47" i="31"/>
  <c r="S47" i="31"/>
  <c r="R48" i="31"/>
  <c r="S48" i="31"/>
  <c r="R49" i="31"/>
  <c r="S49" i="31"/>
  <c r="R50" i="31"/>
  <c r="S50" i="31"/>
  <c r="R51" i="31"/>
  <c r="S51" i="31"/>
  <c r="R52" i="31"/>
  <c r="S52" i="31"/>
  <c r="R53" i="31"/>
  <c r="R54" i="31"/>
  <c r="S54" i="31"/>
  <c r="R55" i="31"/>
  <c r="R56" i="31"/>
  <c r="S56" i="31"/>
  <c r="R57" i="31"/>
  <c r="S57" i="31"/>
  <c r="R58" i="31"/>
  <c r="S58" i="31"/>
  <c r="R59" i="31"/>
  <c r="S59" i="31"/>
  <c r="R60" i="31"/>
  <c r="S60" i="31"/>
  <c r="R61" i="31"/>
  <c r="S61" i="31"/>
  <c r="R62" i="31"/>
  <c r="S62" i="31"/>
  <c r="R63" i="31"/>
  <c r="R64" i="31"/>
  <c r="S64" i="31"/>
  <c r="R65" i="31"/>
  <c r="S65" i="31"/>
  <c r="R66" i="31"/>
  <c r="S66" i="31"/>
  <c r="R67" i="31"/>
  <c r="S67" i="31"/>
  <c r="R68" i="31"/>
  <c r="S68" i="31"/>
  <c r="R69" i="31"/>
  <c r="S69" i="31"/>
  <c r="R70" i="31"/>
  <c r="S70" i="31"/>
  <c r="R71" i="31"/>
  <c r="R72" i="31"/>
  <c r="S72" i="31"/>
  <c r="R73" i="31"/>
  <c r="S73" i="31"/>
  <c r="R74" i="31"/>
  <c r="S74" i="31"/>
  <c r="R75" i="31"/>
  <c r="S75" i="31"/>
  <c r="R76" i="31"/>
  <c r="S76" i="31"/>
  <c r="R77" i="31"/>
  <c r="S77" i="31"/>
  <c r="R78" i="31"/>
  <c r="S78" i="31"/>
  <c r="R79" i="31"/>
  <c r="S79" i="31"/>
  <c r="R80" i="31"/>
  <c r="S80" i="31"/>
  <c r="R81" i="31"/>
  <c r="S81" i="31"/>
  <c r="R82" i="31"/>
  <c r="S82" i="31"/>
  <c r="R83" i="31"/>
  <c r="R84" i="31"/>
  <c r="S84" i="31"/>
  <c r="R85" i="31"/>
  <c r="S85" i="31"/>
  <c r="R86" i="31"/>
  <c r="S86" i="31"/>
  <c r="R87" i="31"/>
  <c r="S87" i="31"/>
  <c r="R88" i="31"/>
  <c r="S88" i="31"/>
  <c r="R89" i="31"/>
  <c r="S89" i="31"/>
  <c r="R90" i="31"/>
  <c r="S90" i="31"/>
  <c r="R91" i="31"/>
  <c r="R92" i="31"/>
  <c r="S92" i="31"/>
  <c r="R93" i="31"/>
  <c r="S93" i="31"/>
  <c r="R94" i="31"/>
  <c r="S94" i="31"/>
  <c r="R95" i="31"/>
  <c r="S95" i="31"/>
  <c r="R96" i="31"/>
  <c r="S96" i="31"/>
  <c r="R97" i="31"/>
  <c r="S97" i="31"/>
  <c r="R98" i="31"/>
  <c r="S98" i="31"/>
  <c r="R99" i="31"/>
  <c r="S99" i="31"/>
  <c r="R100" i="31"/>
  <c r="S100" i="31"/>
  <c r="R101" i="31"/>
  <c r="R102" i="31"/>
  <c r="S102" i="31"/>
  <c r="R103" i="31"/>
  <c r="S103" i="31"/>
  <c r="R104" i="31"/>
  <c r="S104" i="31"/>
  <c r="R105" i="31"/>
  <c r="S105" i="31"/>
  <c r="R106" i="31"/>
  <c r="S106" i="31"/>
  <c r="R107" i="31"/>
  <c r="S107" i="31"/>
  <c r="R108" i="31"/>
  <c r="S108" i="31"/>
  <c r="R109" i="31"/>
  <c r="R110" i="31"/>
  <c r="S110" i="31"/>
  <c r="R111" i="31"/>
  <c r="S111" i="31"/>
  <c r="R112" i="31"/>
  <c r="S112" i="31"/>
  <c r="R113" i="31"/>
  <c r="S113" i="31"/>
  <c r="R114" i="31"/>
  <c r="S114" i="31"/>
  <c r="R115" i="31"/>
  <c r="S115" i="31"/>
  <c r="R116" i="31"/>
  <c r="S116" i="31"/>
  <c r="R117" i="31"/>
  <c r="R118" i="31"/>
  <c r="S118" i="31"/>
  <c r="R119" i="31"/>
  <c r="S119" i="31"/>
  <c r="R120" i="31"/>
  <c r="S120" i="31"/>
  <c r="R121" i="31"/>
  <c r="S121" i="31"/>
  <c r="R122" i="31"/>
  <c r="S122" i="31"/>
  <c r="R123" i="31"/>
  <c r="S123" i="31"/>
  <c r="R124" i="31"/>
  <c r="S124" i="31"/>
  <c r="R125" i="31"/>
  <c r="S125" i="31"/>
  <c r="R126" i="31"/>
  <c r="S126" i="31"/>
  <c r="R127" i="31"/>
  <c r="R128" i="31"/>
  <c r="S128" i="31"/>
  <c r="R129" i="31"/>
  <c r="S129" i="31"/>
  <c r="R130" i="31"/>
  <c r="S130" i="31"/>
  <c r="R131" i="31"/>
  <c r="S131" i="31"/>
  <c r="R132" i="31"/>
  <c r="S132" i="31"/>
  <c r="R133" i="31"/>
  <c r="S133" i="31"/>
  <c r="R134" i="31"/>
  <c r="S134" i="31"/>
  <c r="R135" i="31"/>
  <c r="R136" i="31"/>
  <c r="S136" i="31"/>
  <c r="R137" i="31"/>
  <c r="S137" i="31"/>
  <c r="R138" i="31"/>
  <c r="S138" i="31"/>
  <c r="R139" i="31"/>
  <c r="S139" i="31"/>
  <c r="R140" i="31"/>
  <c r="S140" i="31"/>
  <c r="R141" i="31"/>
  <c r="S141" i="31"/>
  <c r="R142" i="31"/>
  <c r="S142" i="31"/>
  <c r="R143" i="31"/>
  <c r="R144" i="31"/>
  <c r="S144" i="31"/>
  <c r="R145" i="31"/>
  <c r="S145" i="31"/>
  <c r="R146" i="31"/>
  <c r="S146" i="31"/>
  <c r="R147" i="31"/>
  <c r="S147" i="31"/>
  <c r="R148" i="31"/>
  <c r="S148" i="31"/>
  <c r="R149" i="31"/>
  <c r="S149" i="31"/>
  <c r="R150" i="31"/>
  <c r="S150" i="31"/>
  <c r="R151" i="31"/>
  <c r="R152" i="31"/>
  <c r="S152" i="31"/>
  <c r="R153" i="31"/>
  <c r="S153" i="31"/>
  <c r="R154" i="31"/>
  <c r="S154" i="31"/>
  <c r="R155" i="31"/>
  <c r="S155" i="31"/>
  <c r="R156" i="31"/>
  <c r="S156" i="31"/>
  <c r="R157" i="31"/>
  <c r="S157" i="31"/>
  <c r="R158" i="31"/>
  <c r="S158" i="31"/>
  <c r="R159" i="31"/>
  <c r="R160" i="31"/>
  <c r="S160" i="31"/>
  <c r="R161" i="31"/>
  <c r="S161" i="31"/>
  <c r="R162" i="31"/>
  <c r="S162" i="31"/>
  <c r="R163" i="31"/>
  <c r="S163" i="31"/>
  <c r="R164" i="31"/>
  <c r="S164" i="31"/>
  <c r="R165" i="31"/>
  <c r="S165" i="31"/>
  <c r="R166" i="31"/>
  <c r="S166" i="31"/>
  <c r="R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R34" i="31"/>
  <c r="S34" i="31"/>
  <c r="C35" i="31"/>
  <c r="R35" i="31"/>
  <c r="S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34" i="31"/>
  <c r="S310" i="31"/>
  <c r="S292" i="31"/>
  <c r="S270" i="31"/>
  <c r="S245" i="31"/>
  <c r="S229" i="31"/>
  <c r="S215" i="31"/>
  <c r="S199" i="31"/>
  <c r="S183" i="31"/>
  <c r="S167" i="31"/>
  <c r="S159" i="31"/>
  <c r="S151" i="31"/>
  <c r="S143" i="31"/>
  <c r="S135" i="31"/>
  <c r="S127" i="31"/>
  <c r="S493" i="31"/>
  <c r="S437" i="31"/>
  <c r="S117" i="31"/>
  <c r="S463" i="31"/>
  <c r="S53" i="31"/>
  <c r="S45" i="31"/>
  <c r="S37" i="31"/>
  <c r="S71" i="31"/>
  <c r="S63" i="31"/>
  <c r="S55" i="31"/>
  <c r="S91" i="31"/>
  <c r="S83" i="31"/>
  <c r="S101" i="31"/>
  <c r="S10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K22" i="1"/>
  <c r="M22" i="1"/>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4"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s="1"/>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AZ305" i="3"/>
  <c r="BL305" i="3"/>
  <c r="G306" i="3"/>
  <c r="G309" i="3"/>
  <c r="BL310" i="3"/>
  <c r="AZ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A310"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BL380"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s="1"/>
  <c r="T47" i="39" s="1"/>
  <c r="G47" i="39" s="1"/>
  <c r="G51" i="39" s="1"/>
  <c r="H51" i="39" s="1"/>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I66" i="33"/>
  <c r="J10" i="33"/>
  <c r="AC10" i="33"/>
  <c r="H10" i="33"/>
  <c r="U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c r="C70" i="39"/>
  <c r="C7" i="35"/>
  <c r="C48" i="35"/>
  <c r="C7" i="33"/>
  <c r="C58" i="33"/>
  <c r="C7" i="21"/>
  <c r="C58" i="21"/>
  <c r="C7" i="40"/>
  <c r="C63" i="40"/>
  <c r="D63" i="40"/>
  <c r="E63" i="40"/>
  <c r="F63" i="40"/>
  <c r="M47" i="9"/>
  <c r="G19" i="43"/>
  <c r="O19" i="43"/>
  <c r="C46" i="36"/>
  <c r="C59" i="34"/>
  <c r="D59" i="34"/>
  <c r="E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J25" i="33"/>
  <c r="AC25"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AZ586" i="3"/>
  <c r="BL585" i="3"/>
  <c r="F9" i="33"/>
  <c r="F12" i="35"/>
  <c r="H12" i="35"/>
  <c r="J36" i="35"/>
  <c r="BL548" i="3"/>
  <c r="AZ548" i="3"/>
  <c r="G20" i="6"/>
  <c r="K23" i="1"/>
  <c r="M23" i="1"/>
  <c r="BL586" i="3"/>
  <c r="G570" i="3"/>
  <c r="D29" i="43"/>
  <c r="D1" i="43"/>
  <c r="K21" i="1"/>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K24" i="1"/>
  <c r="M24" i="1"/>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AZ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F25" i="33"/>
  <c r="S25" i="33"/>
  <c r="H25" i="33"/>
  <c r="H23" i="33"/>
  <c r="J23" i="33"/>
  <c r="S41" i="33"/>
  <c r="W41" i="33"/>
  <c r="AC35" i="33"/>
  <c r="W32" i="33"/>
  <c r="W27" i="33"/>
  <c r="S23" i="33"/>
  <c r="AA19" i="33"/>
  <c r="AC17" i="33"/>
  <c r="AB17" i="33"/>
  <c r="S42" i="33"/>
  <c r="AB10" i="33"/>
  <c r="W25" i="33"/>
  <c r="U32" i="33"/>
  <c r="W10" i="33"/>
  <c r="AA36" i="33"/>
  <c r="U36" i="33"/>
  <c r="E15" i="49"/>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E68" i="39"/>
  <c r="E70" i="39"/>
  <c r="L27" i="6"/>
  <c r="G14" i="3"/>
  <c r="E65" i="40"/>
  <c r="G63" i="40"/>
  <c r="F65" i="40"/>
  <c r="P23" i="43"/>
  <c r="D65" i="40"/>
  <c r="C65" i="40"/>
  <c r="C40" i="69"/>
  <c r="B9" i="49"/>
  <c r="F30" i="11"/>
  <c r="C48" i="11"/>
  <c r="B8" i="49"/>
  <c r="B11" i="49"/>
  <c r="B10" i="49"/>
  <c r="H74" i="43"/>
  <c r="H61" i="43"/>
  <c r="B22" i="49"/>
  <c r="B16" i="49"/>
  <c r="E21" i="49"/>
  <c r="E8" i="49"/>
  <c r="E16" i="49"/>
  <c r="B13" i="49"/>
  <c r="B6" i="49"/>
  <c r="E7" i="49"/>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E9" i="49"/>
  <c r="E13" i="49"/>
  <c r="B14" i="49"/>
  <c r="E4" i="49"/>
  <c r="B5" i="49"/>
  <c r="E5" i="49"/>
  <c r="E6" i="49"/>
  <c r="E11" i="49"/>
  <c r="E22" i="49"/>
  <c r="B4" i="49"/>
  <c r="E14" i="49"/>
  <c r="E10" i="49"/>
  <c r="B15" i="49"/>
  <c r="B7" i="49"/>
  <c r="C4" i="4" s="1"/>
  <c r="B4" i="62" s="1"/>
  <c r="B71" i="72" s="1"/>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F59" i="34"/>
  <c r="G59" i="34"/>
  <c r="H59" i="34"/>
  <c r="I59" i="34"/>
  <c r="J59" i="34"/>
  <c r="K59" i="34"/>
  <c r="L59" i="34"/>
  <c r="M59" i="34"/>
  <c r="N59" i="34"/>
  <c r="O59" i="34"/>
  <c r="D46" i="36"/>
  <c r="D58" i="21"/>
  <c r="D48" i="35"/>
  <c r="D52" i="37"/>
  <c r="D58" i="33"/>
  <c r="E58" i="33"/>
  <c r="F58" i="33"/>
  <c r="G58" i="33"/>
  <c r="H58" i="33"/>
  <c r="I58" i="33"/>
  <c r="J58" i="33"/>
  <c r="K58" i="33"/>
  <c r="L58" i="33"/>
  <c r="M58" i="33"/>
  <c r="N58" i="33"/>
  <c r="O58" i="33"/>
  <c r="C28" i="15"/>
  <c r="K1" i="73"/>
  <c r="F59" i="15"/>
  <c r="F59" i="67"/>
  <c r="M17" i="15"/>
  <c r="M17" i="67"/>
  <c r="D9" i="68"/>
  <c r="C9" i="68" s="1"/>
  <c r="C19" i="43"/>
  <c r="U8" i="71"/>
  <c r="AA25" i="33"/>
  <c r="E14" i="6"/>
  <c r="AZ469" i="3"/>
  <c r="E20" i="6"/>
  <c r="K7" i="1"/>
  <c r="G27" i="6"/>
  <c r="AC36" i="35"/>
  <c r="W36" i="35"/>
  <c r="S12" i="35"/>
  <c r="AA12" i="35"/>
  <c r="U27" i="39"/>
  <c r="AB27" i="39"/>
  <c r="C7" i="71"/>
  <c r="T8" i="71"/>
  <c r="D47" i="71"/>
  <c r="C48" i="71"/>
  <c r="K25" i="1"/>
  <c r="M21" i="1"/>
  <c r="M25" i="1"/>
  <c r="L25" i="1"/>
  <c r="U12" i="35"/>
  <c r="AB12" i="35"/>
  <c r="E4" i="4"/>
  <c r="B5" i="62" s="1"/>
  <c r="B73" i="72" s="1"/>
  <c r="B71" i="39"/>
  <c r="D70" i="39"/>
  <c r="F68" i="39"/>
  <c r="F70"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AB25" i="33"/>
  <c r="U25" i="33"/>
  <c r="AC23" i="33"/>
  <c r="W23" i="33"/>
  <c r="AB23" i="33"/>
  <c r="U23" i="33"/>
  <c r="E247" i="3"/>
  <c r="E431" i="3"/>
  <c r="E579" i="3"/>
  <c r="E509" i="3"/>
  <c r="E445" i="3"/>
  <c r="E237" i="3"/>
  <c r="J7" i="34"/>
  <c r="W7" i="34"/>
  <c r="E278" i="3"/>
  <c r="E239" i="3"/>
  <c r="E550" i="3"/>
  <c r="E260" i="3"/>
  <c r="E395" i="3"/>
  <c r="E415" i="3"/>
  <c r="E114" i="3"/>
  <c r="G68" i="39"/>
  <c r="C48" i="69"/>
  <c r="G65" i="40"/>
  <c r="H63" i="40"/>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F7" i="33"/>
  <c r="E46" i="36"/>
  <c r="AC7" i="34"/>
  <c r="V49" i="34"/>
  <c r="I49" i="34"/>
  <c r="H7" i="33"/>
  <c r="J7" i="33"/>
  <c r="E52" i="37"/>
  <c r="E48" i="35"/>
  <c r="E58" i="21"/>
  <c r="H7" i="34"/>
  <c r="F7" i="34"/>
  <c r="D7" i="71"/>
  <c r="C6" i="71"/>
  <c r="H16" i="1"/>
  <c r="G16" i="1"/>
  <c r="Q16" i="1"/>
  <c r="E64" i="39"/>
  <c r="E59" i="40"/>
  <c r="L7" i="1"/>
  <c r="L14" i="1"/>
  <c r="M6" i="1"/>
  <c r="D48" i="71"/>
  <c r="T48" i="71"/>
  <c r="E58" i="40"/>
  <c r="E66" i="39"/>
  <c r="H68" i="39"/>
  <c r="G70" i="39"/>
  <c r="H65" i="40"/>
  <c r="I63" i="40"/>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s="1"/>
  <c r="E6" i="3"/>
  <c r="O14" i="1"/>
  <c r="P14" i="1"/>
  <c r="P16" i="1"/>
  <c r="C11" i="12"/>
  <c r="C12" i="12" s="1"/>
  <c r="U7" i="34"/>
  <c r="AB7" i="34"/>
  <c r="T49" i="34"/>
  <c r="G49" i="34"/>
  <c r="F48" i="35"/>
  <c r="F52" i="37"/>
  <c r="AC7" i="33"/>
  <c r="V48" i="33"/>
  <c r="I48" i="33"/>
  <c r="W7" i="33"/>
  <c r="I53" i="34"/>
  <c r="J53" i="34"/>
  <c r="AA7" i="33"/>
  <c r="R48" i="33"/>
  <c r="S7" i="33"/>
  <c r="S7" i="34"/>
  <c r="AA7" i="34"/>
  <c r="R49" i="34"/>
  <c r="F58" i="21"/>
  <c r="G58" i="21"/>
  <c r="H58" i="21"/>
  <c r="I58" i="21"/>
  <c r="J58" i="21"/>
  <c r="K58" i="21"/>
  <c r="L58" i="21"/>
  <c r="M58" i="21"/>
  <c r="N58" i="21"/>
  <c r="O58" i="21"/>
  <c r="F7" i="21"/>
  <c r="AB7" i="33"/>
  <c r="T48" i="33"/>
  <c r="G48" i="33"/>
  <c r="U7" i="33"/>
  <c r="F46" i="36"/>
  <c r="AQ12" i="1"/>
  <c r="AR10" i="1"/>
  <c r="AR13" i="1"/>
  <c r="AR8" i="1"/>
  <c r="AQ8" i="1"/>
  <c r="AQ13" i="1"/>
  <c r="AR9" i="1"/>
  <c r="AQ11" i="1"/>
  <c r="AR11" i="1"/>
  <c r="T10" i="1"/>
  <c r="T12" i="1"/>
  <c r="T13" i="1"/>
  <c r="T9" i="1"/>
  <c r="T11" i="1"/>
  <c r="AQ10" i="1"/>
  <c r="AR12" i="1"/>
  <c r="T8" i="1"/>
  <c r="AQ9" i="1"/>
  <c r="F10" i="40"/>
  <c r="H10" i="40"/>
  <c r="J10" i="40"/>
  <c r="J10" i="39"/>
  <c r="H10" i="39"/>
  <c r="F10" i="39"/>
  <c r="M7" i="1"/>
  <c r="O6" i="1"/>
  <c r="F27" i="69"/>
  <c r="F27" i="11"/>
  <c r="F28" i="12"/>
  <c r="C29" i="12" s="1"/>
  <c r="D28" i="12" s="1"/>
  <c r="F27" i="68"/>
  <c r="C47" i="68" s="1"/>
  <c r="D45" i="68" s="1"/>
  <c r="C5" i="71"/>
  <c r="D6" i="71"/>
  <c r="M20" i="6"/>
  <c r="I20" i="6"/>
  <c r="S20" i="6"/>
  <c r="S7" i="1"/>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c r="D3" i="34"/>
  <c r="D14" i="12"/>
  <c r="D37" i="11"/>
  <c r="C37" i="11"/>
  <c r="C15" i="12"/>
  <c r="AA7" i="21"/>
  <c r="R48" i="21"/>
  <c r="S7" i="21"/>
  <c r="E48" i="33"/>
  <c r="I53" i="33"/>
  <c r="J53" i="33"/>
  <c r="R49" i="33"/>
  <c r="I52" i="33"/>
  <c r="J52" i="33"/>
  <c r="G52" i="37"/>
  <c r="H52" i="37"/>
  <c r="I52" i="37"/>
  <c r="J52" i="37"/>
  <c r="K52" i="37"/>
  <c r="L52" i="37"/>
  <c r="M52" i="37"/>
  <c r="N52" i="37"/>
  <c r="O52" i="37"/>
  <c r="H7" i="37"/>
  <c r="F7" i="37"/>
  <c r="G48" i="35"/>
  <c r="H48" i="35"/>
  <c r="I48" i="35"/>
  <c r="J48" i="35"/>
  <c r="K48" i="35"/>
  <c r="L48" i="35"/>
  <c r="M48" i="35"/>
  <c r="N48" i="35"/>
  <c r="O48" i="35"/>
  <c r="H7" i="21"/>
  <c r="G46" i="36"/>
  <c r="G52" i="33"/>
  <c r="H52" i="33"/>
  <c r="G53" i="33"/>
  <c r="H53" i="33"/>
  <c r="J7" i="21"/>
  <c r="R50" i="34"/>
  <c r="E49" i="34"/>
  <c r="J7" i="37"/>
  <c r="G53" i="34"/>
  <c r="H53" i="34"/>
  <c r="G54" i="34"/>
  <c r="H54" i="34"/>
  <c r="D10" i="68"/>
  <c r="D19" i="68" s="1"/>
  <c r="D37" i="68" s="1"/>
  <c r="C37" i="68" s="1"/>
  <c r="D5" i="71"/>
  <c r="M20" i="43"/>
  <c r="C29" i="69"/>
  <c r="D27" i="69" s="1"/>
  <c r="C47" i="69"/>
  <c r="D45" i="69" s="1"/>
  <c r="AB10" i="39"/>
  <c r="U10" i="39"/>
  <c r="W10" i="40"/>
  <c r="AC10" i="40"/>
  <c r="AA10" i="40"/>
  <c r="S10" i="40"/>
  <c r="C29" i="11"/>
  <c r="D27" i="11"/>
  <c r="C47" i="11"/>
  <c r="D45" i="11"/>
  <c r="AA10" i="39"/>
  <c r="S10" i="39"/>
  <c r="W10" i="39"/>
  <c r="AC10" i="39"/>
  <c r="U10" i="40"/>
  <c r="AB10" i="40"/>
  <c r="E7" i="70"/>
  <c r="T7" i="1"/>
  <c r="AQ7" i="1"/>
  <c r="AR7" i="1"/>
  <c r="J68" i="39"/>
  <c r="I70" i="39"/>
  <c r="K63" i="40"/>
  <c r="J65" i="40"/>
  <c r="F7" i="35"/>
  <c r="AA7" i="35"/>
  <c r="R38" i="35"/>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17" i="12"/>
  <c r="C17" i="12" s="1"/>
  <c r="C14" i="12"/>
  <c r="D20" i="12"/>
  <c r="C20" i="12" s="1"/>
  <c r="D10" i="11"/>
  <c r="C10" i="11"/>
  <c r="D10" i="69"/>
  <c r="D19" i="69" s="1"/>
  <c r="AQ6" i="1"/>
  <c r="E6" i="70"/>
  <c r="S16" i="1"/>
  <c r="T6" i="1"/>
  <c r="AR6" i="1"/>
  <c r="W7" i="37"/>
  <c r="AC7" i="37"/>
  <c r="V42" i="37"/>
  <c r="I42" i="37"/>
  <c r="C50" i="34"/>
  <c r="C49" i="34"/>
  <c r="H46" i="36"/>
  <c r="U7" i="37"/>
  <c r="AB7" i="37"/>
  <c r="T42" i="37"/>
  <c r="G42" i="37"/>
  <c r="C49" i="33"/>
  <c r="C48" i="33"/>
  <c r="H7" i="35"/>
  <c r="E54" i="34"/>
  <c r="F54" i="34"/>
  <c r="E53" i="34"/>
  <c r="F53" i="34"/>
  <c r="I54" i="34"/>
  <c r="J54" i="34"/>
  <c r="AC7" i="21"/>
  <c r="V48" i="21"/>
  <c r="I48" i="21"/>
  <c r="W7" i="21"/>
  <c r="U7" i="21"/>
  <c r="AB7" i="21"/>
  <c r="T48" i="21"/>
  <c r="G48" i="21"/>
  <c r="J7" i="35"/>
  <c r="S7" i="37"/>
  <c r="AA7" i="37"/>
  <c r="R42" i="37"/>
  <c r="E53" i="33"/>
  <c r="F53" i="33"/>
  <c r="E52" i="33"/>
  <c r="F52" i="33"/>
  <c r="E48" i="21"/>
  <c r="R49" i="21"/>
  <c r="C34" i="68"/>
  <c r="C38" i="68" s="1"/>
  <c r="E2" i="70"/>
  <c r="R20" i="6"/>
  <c r="R7" i="1"/>
  <c r="R22" i="6"/>
  <c r="R21" i="6"/>
  <c r="B2" i="33"/>
  <c r="B3" i="33"/>
  <c r="R24" i="31"/>
  <c r="R25" i="6"/>
  <c r="D30" i="6"/>
  <c r="J70" i="39"/>
  <c r="K68" i="39"/>
  <c r="S7" i="35"/>
  <c r="K65" i="40"/>
  <c r="L63" i="40"/>
  <c r="R24" i="6"/>
  <c r="R26" i="6"/>
  <c r="R23" i="6"/>
  <c r="M19" i="9"/>
  <c r="C118" i="9"/>
  <c r="C14" i="74"/>
  <c r="B2" i="74"/>
  <c r="D8" i="74"/>
  <c r="D27" i="6"/>
  <c r="D31" i="6"/>
  <c r="C38" i="39"/>
  <c r="F38" i="39"/>
  <c r="L16" i="1"/>
  <c r="N16" i="1"/>
  <c r="C34" i="11"/>
  <c r="H19" i="6"/>
  <c r="H27" i="6"/>
  <c r="L18" i="9"/>
  <c r="S19" i="6"/>
  <c r="S27" i="6"/>
  <c r="I27" i="6"/>
  <c r="D16" i="6"/>
  <c r="A10" i="51"/>
  <c r="B9" i="72"/>
  <c r="C4" i="52"/>
  <c r="B45" i="72"/>
  <c r="A7" i="51"/>
  <c r="B7" i="72"/>
  <c r="T16" i="1"/>
  <c r="E52" i="21"/>
  <c r="F52" i="21"/>
  <c r="E53" i="21"/>
  <c r="F53" i="21"/>
  <c r="E42" i="37"/>
  <c r="R43" i="37"/>
  <c r="AC7" i="35"/>
  <c r="V38" i="35"/>
  <c r="I38" i="35"/>
  <c r="W7" i="35"/>
  <c r="G46" i="37"/>
  <c r="H46" i="37"/>
  <c r="G47" i="37"/>
  <c r="H47" i="37"/>
  <c r="I47" i="37"/>
  <c r="J47" i="37"/>
  <c r="I46" i="37"/>
  <c r="J46" i="37"/>
  <c r="C48" i="21"/>
  <c r="C49" i="21"/>
  <c r="G52" i="21"/>
  <c r="H52" i="21"/>
  <c r="G53" i="21"/>
  <c r="H53" i="21"/>
  <c r="I52" i="21"/>
  <c r="J52" i="21"/>
  <c r="I53" i="21"/>
  <c r="J53" i="21"/>
  <c r="AB7" i="35"/>
  <c r="T38" i="35"/>
  <c r="G38" i="35"/>
  <c r="U7" i="35"/>
  <c r="R39" i="35"/>
  <c r="E38" i="35"/>
  <c r="I46" i="36"/>
  <c r="H38" i="39"/>
  <c r="U38" i="39"/>
  <c r="J38" i="39"/>
  <c r="AA38" i="39"/>
  <c r="S38" i="39"/>
  <c r="AB38" i="39"/>
  <c r="W38" i="39"/>
  <c r="AC38" i="39"/>
  <c r="S24" i="31"/>
  <c r="R32" i="31"/>
  <c r="S32" i="31"/>
  <c r="R28" i="31"/>
  <c r="S28" i="31"/>
  <c r="R33" i="31"/>
  <c r="S33" i="31"/>
  <c r="R29" i="31"/>
  <c r="S29" i="31"/>
  <c r="R25" i="31"/>
  <c r="S25" i="31"/>
  <c r="R30" i="31"/>
  <c r="S30" i="31"/>
  <c r="R26" i="31"/>
  <c r="S26" i="31"/>
  <c r="R31" i="31"/>
  <c r="S31" i="31"/>
  <c r="R27" i="31"/>
  <c r="S27" i="31"/>
  <c r="K70" i="39"/>
  <c r="L68" i="39"/>
  <c r="L65" i="40"/>
  <c r="M63" i="40"/>
  <c r="F50" i="11"/>
  <c r="F50" i="69"/>
  <c r="F50" i="68"/>
  <c r="R19" i="6"/>
  <c r="C35" i="11"/>
  <c r="C38" i="11"/>
  <c r="I5" i="6"/>
  <c r="I6" i="6"/>
  <c r="L19" i="9"/>
  <c r="E43" i="35"/>
  <c r="F43" i="35"/>
  <c r="E42" i="35"/>
  <c r="F42" i="35"/>
  <c r="C43" i="37"/>
  <c r="C42" i="37"/>
  <c r="J46" i="36"/>
  <c r="C38" i="35"/>
  <c r="C39" i="35"/>
  <c r="G42" i="35"/>
  <c r="H42" i="35"/>
  <c r="G43" i="35"/>
  <c r="H43" i="35"/>
  <c r="I42" i="35"/>
  <c r="J42" i="35"/>
  <c r="I43" i="35"/>
  <c r="J43" i="35"/>
  <c r="E46" i="37"/>
  <c r="F46" i="37"/>
  <c r="E47" i="37"/>
  <c r="F47" i="37"/>
  <c r="G3" i="43"/>
  <c r="F22" i="43"/>
  <c r="C11" i="39"/>
  <c r="S22" i="31"/>
  <c r="R22" i="31"/>
  <c r="B21" i="31"/>
  <c r="M68" i="39"/>
  <c r="L70" i="39"/>
  <c r="C33" i="11"/>
  <c r="C39" i="11"/>
  <c r="N63" i="40"/>
  <c r="M65" i="40"/>
  <c r="R27" i="6"/>
  <c r="R6" i="1"/>
  <c r="J22" i="43"/>
  <c r="K46" i="36"/>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M70" i="39"/>
  <c r="N68" i="39"/>
  <c r="N65" i="40"/>
  <c r="H7" i="40"/>
  <c r="O63" i="40"/>
  <c r="O65" i="40"/>
  <c r="C46" i="11"/>
  <c r="C45" i="11"/>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46" i="36"/>
  <c r="M46" i="36"/>
  <c r="N46" i="36"/>
  <c r="O46" i="36"/>
  <c r="J7" i="36"/>
  <c r="J7" i="40"/>
  <c r="L105" i="43"/>
  <c r="L103" i="43"/>
  <c r="L107" i="43"/>
  <c r="D22" i="43"/>
  <c r="AB11" i="39"/>
  <c r="U11" i="39"/>
  <c r="L106" i="43"/>
  <c r="L109" i="43"/>
  <c r="W11" i="39"/>
  <c r="AC11" i="39"/>
  <c r="AA11" i="39"/>
  <c r="S11" i="39"/>
  <c r="F7" i="36"/>
  <c r="H7" i="36"/>
  <c r="N70" i="39"/>
  <c r="O68" i="39"/>
  <c r="O70" i="39"/>
  <c r="F7" i="39"/>
  <c r="U7" i="40"/>
  <c r="AB7" i="40"/>
  <c r="T42" i="40"/>
  <c r="G42" i="40"/>
  <c r="W7" i="40"/>
  <c r="AC7" i="40"/>
  <c r="V42" i="40"/>
  <c r="I42" i="40"/>
  <c r="I46" i="40"/>
  <c r="J46" i="40"/>
  <c r="F7" i="40"/>
  <c r="S3" i="43"/>
  <c r="S6" i="43"/>
  <c r="C23" i="43"/>
  <c r="C21" i="43"/>
  <c r="S7" i="43"/>
  <c r="S2" i="43"/>
  <c r="S5" i="43"/>
  <c r="S4" i="43"/>
  <c r="D113" i="43"/>
  <c r="AA7" i="36"/>
  <c r="R36" i="36"/>
  <c r="S7" i="36"/>
  <c r="W7" i="36"/>
  <c r="AC7" i="36"/>
  <c r="V36" i="36"/>
  <c r="I36" i="36"/>
  <c r="U7" i="36"/>
  <c r="AB7" i="36"/>
  <c r="T36" i="36"/>
  <c r="G36" i="36"/>
  <c r="S7" i="39"/>
  <c r="AA7" i="39"/>
  <c r="R47" i="39"/>
  <c r="E47" i="39" s="1"/>
  <c r="J7" i="39"/>
  <c r="H7" i="39"/>
  <c r="G47" i="40"/>
  <c r="H47" i="40"/>
  <c r="G46" i="40"/>
  <c r="H46" i="40"/>
  <c r="S7" i="40"/>
  <c r="AA7" i="40"/>
  <c r="R42" i="40"/>
  <c r="G40" i="36"/>
  <c r="H40" i="36"/>
  <c r="G41" i="36"/>
  <c r="H41" i="36"/>
  <c r="I40" i="36"/>
  <c r="J40" i="36"/>
  <c r="E36" i="36"/>
  <c r="I41" i="36"/>
  <c r="J41" i="36"/>
  <c r="R37" i="36"/>
  <c r="AB7" i="39"/>
  <c r="U7" i="39"/>
  <c r="W7" i="39"/>
  <c r="AC7" i="39"/>
  <c r="V47" i="39"/>
  <c r="I47" i="39" s="1"/>
  <c r="E42" i="40"/>
  <c r="R43" i="40"/>
  <c r="C37" i="36"/>
  <c r="C36" i="36"/>
  <c r="E40" i="36"/>
  <c r="F40" i="36"/>
  <c r="E41" i="36"/>
  <c r="F41" i="36"/>
  <c r="B20" i="31"/>
  <c r="C43" i="40"/>
  <c r="C42" i="40"/>
  <c r="E47" i="40"/>
  <c r="F47" i="40"/>
  <c r="I47" i="40"/>
  <c r="J47" i="40"/>
  <c r="E46" i="40"/>
  <c r="F46" i="40"/>
  <c r="B56" i="40"/>
  <c r="F56" i="40"/>
  <c r="B60" i="40"/>
  <c r="F60" i="40"/>
  <c r="B52" i="40"/>
  <c r="F52" i="40"/>
  <c r="B53" i="40"/>
  <c r="F53" i="40"/>
  <c r="B59" i="40"/>
  <c r="F59" i="40"/>
  <c r="B55" i="40"/>
  <c r="F55" i="40"/>
  <c r="B58" i="40"/>
  <c r="F58" i="40"/>
  <c r="B54" i="40"/>
  <c r="F54" i="40"/>
  <c r="B57" i="40"/>
  <c r="F57" i="40"/>
  <c r="B51" i="40"/>
  <c r="F51" i="40"/>
  <c r="F61" i="40"/>
  <c r="B2" i="40"/>
  <c r="B3" i="40"/>
  <c r="H107" i="9"/>
  <c r="D122" i="9"/>
  <c r="D13" i="53"/>
  <c r="H108" i="9"/>
  <c r="D15" i="53"/>
  <c r="B31" i="72"/>
  <c r="G14" i="74"/>
  <c r="B6" i="74"/>
  <c r="D8" i="52"/>
  <c r="D123" i="9"/>
  <c r="D9" i="52"/>
  <c r="D14" i="53"/>
  <c r="B32" i="72"/>
  <c r="B30" i="72"/>
  <c r="C6" i="74"/>
  <c r="D6" i="74"/>
  <c r="F16" i="15"/>
  <c r="M23" i="67"/>
  <c r="J15" i="15"/>
  <c r="E13" i="76"/>
  <c r="J15" i="80"/>
  <c r="F42" i="15"/>
  <c r="F7" i="80"/>
  <c r="B7" i="76"/>
  <c r="M6" i="67"/>
  <c r="E7" i="76"/>
  <c r="M24" i="15"/>
  <c r="M29" i="15"/>
  <c r="F7" i="67"/>
  <c r="M27" i="15"/>
  <c r="AO11" i="1"/>
  <c r="C76" i="67"/>
  <c r="E2" i="69"/>
  <c r="L48" i="80"/>
  <c r="M27" i="67"/>
  <c r="F7" i="15"/>
  <c r="D2" i="37"/>
  <c r="M6" i="15"/>
  <c r="F40" i="80"/>
  <c r="M8" i="15"/>
  <c r="F37" i="80"/>
  <c r="F26" i="15"/>
  <c r="M22" i="15"/>
  <c r="M9" i="67"/>
  <c r="F43" i="15"/>
  <c r="B13" i="76"/>
  <c r="M26" i="80"/>
  <c r="F37" i="67"/>
  <c r="M8" i="67"/>
  <c r="F36" i="15"/>
  <c r="M23" i="80"/>
  <c r="F26" i="67"/>
  <c r="AO10" i="1"/>
  <c r="F40" i="67"/>
  <c r="B10" i="76"/>
  <c r="D5" i="73"/>
  <c r="F6" i="15"/>
  <c r="F6" i="67"/>
  <c r="L48" i="67"/>
  <c r="L47" i="80"/>
  <c r="F35" i="15"/>
  <c r="F13" i="67"/>
  <c r="F37" i="15"/>
  <c r="E9" i="76"/>
  <c r="F38" i="67"/>
  <c r="E2" i="68"/>
  <c r="M9" i="80"/>
  <c r="F6" i="80"/>
  <c r="AO12" i="1"/>
  <c r="E8" i="76"/>
  <c r="F40" i="15"/>
  <c r="E11" i="76"/>
  <c r="D7" i="73"/>
  <c r="D3" i="73"/>
  <c r="M6" i="80"/>
  <c r="M29" i="80"/>
  <c r="M21" i="67"/>
  <c r="M27" i="80"/>
  <c r="M28" i="80"/>
  <c r="M26" i="67"/>
  <c r="F38" i="15"/>
  <c r="D4" i="73"/>
  <c r="F38" i="80"/>
  <c r="B9" i="76"/>
  <c r="AO13" i="1"/>
  <c r="F4" i="73"/>
  <c r="D2" i="33"/>
  <c r="AO8" i="1"/>
  <c r="C76" i="15"/>
  <c r="D2" i="35"/>
  <c r="J15" i="67"/>
  <c r="F26" i="80"/>
  <c r="AO9" i="1"/>
  <c r="F6" i="73"/>
  <c r="B11" i="76"/>
  <c r="F8" i="15"/>
  <c r="F9" i="80"/>
  <c r="C14" i="15"/>
  <c r="M24" i="80"/>
  <c r="F36" i="67"/>
  <c r="F41" i="67"/>
  <c r="F16" i="67"/>
  <c r="M9" i="15"/>
  <c r="M29" i="67"/>
  <c r="F35" i="67"/>
  <c r="M23" i="15"/>
  <c r="L47" i="67"/>
  <c r="D2" i="36"/>
  <c r="M24" i="67"/>
  <c r="E12" i="76"/>
  <c r="C14" i="80"/>
  <c r="E10" i="76"/>
  <c r="B12" i="76"/>
  <c r="M21" i="80"/>
  <c r="D2" i="34"/>
  <c r="D2" i="21"/>
  <c r="M22" i="67"/>
  <c r="D6" i="73"/>
  <c r="F3" i="73"/>
  <c r="F42" i="67"/>
  <c r="B8" i="76"/>
  <c r="L47" i="15"/>
  <c r="F8" i="80"/>
  <c r="F13" i="15"/>
  <c r="M26" i="15"/>
  <c r="F7" i="73"/>
  <c r="F36" i="80"/>
  <c r="F35" i="80"/>
  <c r="F5" i="73"/>
  <c r="F13" i="80"/>
  <c r="L48" i="15"/>
  <c r="F16" i="80"/>
  <c r="M21" i="15"/>
  <c r="M28" i="67"/>
  <c r="M28" i="15"/>
  <c r="F43" i="80"/>
  <c r="F8" i="67"/>
  <c r="F9" i="67"/>
  <c r="M22" i="80"/>
  <c r="F43" i="67"/>
  <c r="F9" i="15"/>
  <c r="M8" i="80"/>
  <c r="F42" i="80"/>
  <c r="C76" i="80"/>
  <c r="R16" i="1" l="1"/>
  <c r="C38" i="69"/>
  <c r="C10" i="68"/>
  <c r="B29" i="1" s="1"/>
  <c r="C8" i="68" s="1"/>
  <c r="C10" i="69"/>
  <c r="C8" i="69" s="1"/>
  <c r="C5" i="69" s="1"/>
  <c r="C29" i="68"/>
  <c r="D27" i="68" s="1"/>
  <c r="C35" i="68"/>
  <c r="C33" i="68" s="1"/>
  <c r="C39" i="68" s="1"/>
  <c r="C46" i="68" s="1"/>
  <c r="C45" i="68" s="1"/>
  <c r="C16" i="12"/>
  <c r="E51" i="39"/>
  <c r="F51" i="39" s="1"/>
  <c r="E52" i="39"/>
  <c r="F52" i="39" s="1"/>
  <c r="K4" i="4"/>
  <c r="B46" i="48" s="1"/>
  <c r="B4" i="72" s="1"/>
  <c r="I51" i="39"/>
  <c r="J51" i="39" s="1"/>
  <c r="I52" i="39"/>
  <c r="J52" i="39" s="1"/>
  <c r="G52" i="39"/>
  <c r="H52" i="39" s="1"/>
  <c r="D37" i="69"/>
  <c r="C37" i="69" s="1"/>
  <c r="C33" i="69" s="1"/>
  <c r="C19" i="69"/>
  <c r="R48" i="39"/>
  <c r="C34" i="15"/>
  <c r="F63" i="15"/>
  <c r="C62" i="15" s="1"/>
  <c r="J20" i="67"/>
  <c r="J20" i="80"/>
  <c r="C18" i="15"/>
  <c r="C15" i="15"/>
  <c r="F63" i="67"/>
  <c r="C62" i="67" s="1"/>
  <c r="C34" i="67"/>
  <c r="F63" i="80"/>
  <c r="C62" i="80" s="1"/>
  <c r="C34" i="80"/>
  <c r="J20" i="15"/>
  <c r="C18" i="80"/>
  <c r="C15" i="80"/>
  <c r="M7" i="80"/>
  <c r="J6" i="80" s="1"/>
  <c r="F50" i="80"/>
  <c r="F69" i="67"/>
  <c r="F50" i="15"/>
  <c r="M7" i="15"/>
  <c r="F71" i="80"/>
  <c r="F50" i="67"/>
  <c r="M7" i="67"/>
  <c r="F66" i="80"/>
  <c r="L58" i="80"/>
  <c r="M59" i="80"/>
  <c r="N59" i="80"/>
  <c r="L59" i="80"/>
  <c r="F65" i="80"/>
  <c r="F64" i="80"/>
  <c r="Q71" i="80"/>
  <c r="F51" i="15"/>
  <c r="E20" i="43"/>
  <c r="F64" i="67"/>
  <c r="B8" i="70"/>
  <c r="I54" i="67"/>
  <c r="J53" i="67"/>
  <c r="J57" i="67"/>
  <c r="J55" i="67" s="1"/>
  <c r="J58" i="67" s="1"/>
  <c r="Q50" i="67" s="1"/>
  <c r="L56" i="67"/>
  <c r="J59" i="67"/>
  <c r="J60" i="67"/>
  <c r="Q48" i="67" s="1"/>
  <c r="L60" i="67"/>
  <c r="L57" i="67"/>
  <c r="L46" i="67"/>
  <c r="B11" i="70"/>
  <c r="F66" i="15"/>
  <c r="F64" i="15"/>
  <c r="F68" i="15"/>
  <c r="C6" i="67"/>
  <c r="J53" i="15"/>
  <c r="I54" i="15"/>
  <c r="J57" i="15"/>
  <c r="J55" i="15" s="1"/>
  <c r="J58" i="15" s="1"/>
  <c r="Q50" i="15" s="1"/>
  <c r="L56" i="15"/>
  <c r="J59" i="15"/>
  <c r="L57" i="15"/>
  <c r="J60" i="15"/>
  <c r="Q48" i="15" s="1"/>
  <c r="L60" i="15"/>
  <c r="L46" i="15"/>
  <c r="F71" i="15"/>
  <c r="F71" i="67"/>
  <c r="B12" i="70"/>
  <c r="B9" i="70"/>
  <c r="C6" i="15"/>
  <c r="B2" i="37"/>
  <c r="B3" i="37" s="1"/>
  <c r="F68" i="80"/>
  <c r="C6" i="80"/>
  <c r="L57" i="80"/>
  <c r="I54" i="80"/>
  <c r="J59" i="80"/>
  <c r="L56" i="80"/>
  <c r="L60" i="80"/>
  <c r="J57" i="80"/>
  <c r="J55" i="80" s="1"/>
  <c r="J58" i="80" s="1"/>
  <c r="Q50" i="80" s="1"/>
  <c r="J53" i="80"/>
  <c r="J60" i="80"/>
  <c r="Q48" i="80" s="1"/>
  <c r="F51" i="80"/>
  <c r="C49" i="80" s="1"/>
  <c r="C27" i="80"/>
  <c r="J6" i="67"/>
  <c r="B2" i="36"/>
  <c r="B3" i="36" s="1"/>
  <c r="M59" i="15"/>
  <c r="L58" i="15"/>
  <c r="L59" i="15"/>
  <c r="N59" i="15"/>
  <c r="F65" i="67"/>
  <c r="F66" i="67"/>
  <c r="B2" i="21"/>
  <c r="B3" i="21" s="1"/>
  <c r="M59" i="67"/>
  <c r="N59" i="67"/>
  <c r="L58" i="67"/>
  <c r="L59" i="67"/>
  <c r="I1" i="73"/>
  <c r="B39" i="1" s="1"/>
  <c r="F68" i="67"/>
  <c r="B2" i="35"/>
  <c r="B3" i="35" s="1"/>
  <c r="J6" i="15"/>
  <c r="F65" i="15"/>
  <c r="B2" i="34"/>
  <c r="B3" i="34" s="1"/>
  <c r="F51" i="67"/>
  <c r="C49" i="67" s="1"/>
  <c r="B13" i="70"/>
  <c r="F70" i="67"/>
  <c r="B10" i="70"/>
  <c r="Q71" i="67"/>
  <c r="Q71" i="15"/>
  <c r="C27" i="67"/>
  <c r="C27" i="15"/>
  <c r="C39" i="69"/>
  <c r="C19" i="68"/>
  <c r="G1" i="73"/>
  <c r="C14" i="67"/>
  <c r="C17" i="80"/>
  <c r="C16" i="80"/>
  <c r="C16" i="67"/>
  <c r="C17" i="15"/>
  <c r="C16" i="15"/>
  <c r="C17" i="67"/>
  <c r="B40" i="1" l="1"/>
  <c r="C20" i="69"/>
  <c r="C28" i="69" s="1"/>
  <c r="C27" i="69" s="1"/>
  <c r="C18" i="12"/>
  <c r="C21" i="12" s="1"/>
  <c r="C22" i="12" s="1"/>
  <c r="C30" i="12" s="1"/>
  <c r="C28" i="12" s="1"/>
  <c r="C49" i="15"/>
  <c r="C48" i="39"/>
  <c r="C47" i="39"/>
  <c r="C19" i="15"/>
  <c r="C15" i="67"/>
  <c r="C18" i="67"/>
  <c r="C19" i="67"/>
  <c r="C19" i="80"/>
  <c r="J18" i="15"/>
  <c r="Q61" i="67"/>
  <c r="Q74" i="67"/>
  <c r="Q61" i="15"/>
  <c r="Q74" i="15"/>
  <c r="J18" i="67"/>
  <c r="L46" i="80"/>
  <c r="Q52" i="80"/>
  <c r="F1" i="80"/>
  <c r="Q57" i="80"/>
  <c r="Q66" i="80"/>
  <c r="Q57" i="15"/>
  <c r="Q66" i="15"/>
  <c r="Q52" i="15"/>
  <c r="F1" i="15"/>
  <c r="F1" i="67"/>
  <c r="Q52" i="67"/>
  <c r="O28" i="43"/>
  <c r="P28" i="43"/>
  <c r="M28" i="43"/>
  <c r="G20" i="43" s="1"/>
  <c r="N28" i="43"/>
  <c r="J18" i="80"/>
  <c r="Q60" i="80"/>
  <c r="Q73" i="80"/>
  <c r="C46" i="69"/>
  <c r="C45" i="69" s="1"/>
  <c r="M11" i="80"/>
  <c r="J10" i="80" s="1"/>
  <c r="J5" i="80" s="1"/>
  <c r="F11" i="80"/>
  <c r="F11" i="67"/>
  <c r="C53" i="67" s="1"/>
  <c r="C48" i="67" s="1"/>
  <c r="M11" i="15"/>
  <c r="J10" i="15" s="1"/>
  <c r="J5" i="15" s="1"/>
  <c r="M11" i="67"/>
  <c r="J10" i="67" s="1"/>
  <c r="J5" i="67" s="1"/>
  <c r="F11" i="15"/>
  <c r="C53" i="15" s="1"/>
  <c r="Q60" i="67"/>
  <c r="Q73" i="67"/>
  <c r="Q73" i="15"/>
  <c r="Q60" i="15"/>
  <c r="C32" i="80"/>
  <c r="C33" i="80"/>
  <c r="F24" i="80"/>
  <c r="C24" i="80" s="1"/>
  <c r="F22" i="68"/>
  <c r="F24" i="67"/>
  <c r="C24" i="67" s="1"/>
  <c r="F25" i="12"/>
  <c r="F22" i="11"/>
  <c r="F24" i="15"/>
  <c r="C24" i="15" s="1"/>
  <c r="F22" i="69"/>
  <c r="C43" i="69" s="1"/>
  <c r="C32" i="15"/>
  <c r="C33" i="15"/>
  <c r="C32" i="67"/>
  <c r="C33" i="67"/>
  <c r="Q66" i="67"/>
  <c r="Q57" i="67"/>
  <c r="Q74" i="80"/>
  <c r="Q61" i="80"/>
  <c r="AE7" i="1"/>
  <c r="AE6" i="1"/>
  <c r="F41" i="80"/>
  <c r="C10" i="67" l="1"/>
  <c r="C5" i="67" s="1"/>
  <c r="C38" i="67" s="1"/>
  <c r="C48" i="15"/>
  <c r="C60" i="15" s="1"/>
  <c r="C10" i="15"/>
  <c r="C5" i="15" s="1"/>
  <c r="C38" i="15" s="1"/>
  <c r="B59" i="39"/>
  <c r="F59" i="39" s="1"/>
  <c r="B58" i="39"/>
  <c r="F58" i="39" s="1"/>
  <c r="B62" i="39"/>
  <c r="F62" i="39" s="1"/>
  <c r="B63" i="39"/>
  <c r="F63" i="39" s="1"/>
  <c r="B57" i="39"/>
  <c r="F57" i="39" s="1"/>
  <c r="B65" i="39"/>
  <c r="F65" i="39" s="1"/>
  <c r="B64" i="39"/>
  <c r="F64" i="39" s="1"/>
  <c r="B56" i="39"/>
  <c r="F56" i="39" s="1"/>
  <c r="B61" i="39"/>
  <c r="F61" i="39" s="1"/>
  <c r="B60" i="39"/>
  <c r="F60" i="39" s="1"/>
  <c r="C31" i="15"/>
  <c r="F69" i="80"/>
  <c r="J26" i="67"/>
  <c r="J29" i="67" s="1"/>
  <c r="J24" i="67"/>
  <c r="J24" i="80"/>
  <c r="J26" i="80"/>
  <c r="J29" i="80" s="1"/>
  <c r="J24" i="15"/>
  <c r="J26" i="15"/>
  <c r="C66" i="67"/>
  <c r="C60" i="67"/>
  <c r="C31" i="67"/>
  <c r="C44" i="69"/>
  <c r="D41" i="69" s="1"/>
  <c r="C26" i="69"/>
  <c r="D22" i="69" s="1"/>
  <c r="C23" i="69"/>
  <c r="C24" i="69"/>
  <c r="C42" i="69"/>
  <c r="C41" i="69" s="1"/>
  <c r="C49" i="69" s="1"/>
  <c r="C51" i="69" s="1"/>
  <c r="C26" i="11"/>
  <c r="D22" i="11" s="1"/>
  <c r="C24" i="11"/>
  <c r="C44" i="11"/>
  <c r="D41" i="11" s="1"/>
  <c r="C23" i="11"/>
  <c r="C25" i="11"/>
  <c r="C42" i="11"/>
  <c r="C43" i="11"/>
  <c r="C53" i="80"/>
  <c r="C48" i="80" s="1"/>
  <c r="C10" i="80"/>
  <c r="C5" i="80" s="1"/>
  <c r="C25" i="69"/>
  <c r="C20" i="67"/>
  <c r="C23" i="67" s="1"/>
  <c r="C26" i="12"/>
  <c r="D25" i="12" s="1"/>
  <c r="C27" i="12"/>
  <c r="C25" i="12" s="1"/>
  <c r="C44" i="68"/>
  <c r="D41" i="68" s="1"/>
  <c r="C26" i="68"/>
  <c r="D22" i="68" s="1"/>
  <c r="C42" i="68"/>
  <c r="C31" i="80"/>
  <c r="E41" i="43"/>
  <c r="C41" i="43" s="1"/>
  <c r="C20" i="43"/>
  <c r="C43" i="68"/>
  <c r="C24" i="68"/>
  <c r="C20" i="80"/>
  <c r="C23" i="80" s="1"/>
  <c r="C20" i="15"/>
  <c r="C23" i="15" s="1"/>
  <c r="F41" i="15"/>
  <c r="F69" i="15" l="1"/>
  <c r="J29" i="15"/>
  <c r="C66" i="15"/>
  <c r="C26" i="15"/>
  <c r="C26" i="80"/>
  <c r="C29" i="80" s="1"/>
  <c r="C26" i="67"/>
  <c r="C29" i="67" s="1"/>
  <c r="C29" i="15"/>
  <c r="C36" i="15" s="1"/>
  <c r="C41" i="11"/>
  <c r="C49" i="11" s="1"/>
  <c r="C51" i="11" s="1"/>
  <c r="C22" i="11"/>
  <c r="C31" i="11" s="1"/>
  <c r="F66" i="39"/>
  <c r="C13" i="15"/>
  <c r="T14" i="43"/>
  <c r="V14" i="43" s="1"/>
  <c r="C33" i="43"/>
  <c r="T13" i="43"/>
  <c r="V13" i="43" s="1"/>
  <c r="T12" i="43"/>
  <c r="V12" i="43" s="1"/>
  <c r="T11" i="43"/>
  <c r="V11" i="43" s="1"/>
  <c r="C34" i="43"/>
  <c r="T8" i="43"/>
  <c r="V8" i="43" s="1"/>
  <c r="T16" i="43"/>
  <c r="V16" i="43" s="1"/>
  <c r="C37" i="43"/>
  <c r="T10" i="43"/>
  <c r="V10" i="43" s="1"/>
  <c r="C36" i="43"/>
  <c r="C35" i="43"/>
  <c r="T15" i="43"/>
  <c r="V15" i="43" s="1"/>
  <c r="T9" i="43"/>
  <c r="V9" i="43" s="1"/>
  <c r="T6" i="43"/>
  <c r="V6" i="43" s="1"/>
  <c r="T2" i="43"/>
  <c r="V2" i="43" s="1"/>
  <c r="T4" i="43"/>
  <c r="V4" i="43" s="1"/>
  <c r="C29" i="43"/>
  <c r="T3" i="43"/>
  <c r="V3" i="43" s="1"/>
  <c r="T7" i="43"/>
  <c r="V7" i="43" s="1"/>
  <c r="T5" i="43"/>
  <c r="V5" i="43" s="1"/>
  <c r="C41" i="68"/>
  <c r="C49" i="68" s="1"/>
  <c r="C51" i="68" s="1"/>
  <c r="C32" i="12"/>
  <c r="B2" i="12" s="1"/>
  <c r="B3" i="12" s="1"/>
  <c r="C38" i="80"/>
  <c r="C38" i="43"/>
  <c r="C39" i="43"/>
  <c r="C66" i="80"/>
  <c r="C60" i="80"/>
  <c r="C22" i="69"/>
  <c r="C31" i="69" s="1"/>
  <c r="C52" i="69" s="1"/>
  <c r="B2" i="69" s="1"/>
  <c r="B3" i="69" s="1"/>
  <c r="J14" i="15" l="1"/>
  <c r="J22" i="15" s="1"/>
  <c r="C57" i="15"/>
  <c r="C61" i="15" s="1"/>
  <c r="C59" i="15" s="1"/>
  <c r="J19" i="80"/>
  <c r="J17" i="80" s="1"/>
  <c r="C36" i="80"/>
  <c r="Q49" i="80"/>
  <c r="C13" i="80"/>
  <c r="C56" i="80" s="1"/>
  <c r="C65" i="80" s="1"/>
  <c r="Q49" i="15"/>
  <c r="J19" i="15"/>
  <c r="J17" i="15" s="1"/>
  <c r="C52" i="11"/>
  <c r="C56" i="11" s="1"/>
  <c r="C57" i="11" s="1"/>
  <c r="C57" i="69"/>
  <c r="C56" i="69" s="1"/>
  <c r="J14" i="80"/>
  <c r="J22" i="80" s="1"/>
  <c r="C57" i="80"/>
  <c r="C64" i="80" s="1"/>
  <c r="B2" i="11"/>
  <c r="B3" i="11" s="1"/>
  <c r="C6" i="68"/>
  <c r="B2" i="39"/>
  <c r="B3" i="39" s="1"/>
  <c r="G39" i="43"/>
  <c r="I39" i="43" s="1"/>
  <c r="E39" i="43"/>
  <c r="C30" i="43"/>
  <c r="E30" i="43" s="1"/>
  <c r="E29" i="43"/>
  <c r="G35" i="43"/>
  <c r="I35" i="43" s="1"/>
  <c r="E35" i="43"/>
  <c r="E34" i="43"/>
  <c r="G34" i="43"/>
  <c r="I34" i="43" s="1"/>
  <c r="G33" i="43"/>
  <c r="I33" i="43" s="1"/>
  <c r="E33" i="43"/>
  <c r="C75" i="80"/>
  <c r="C37" i="80"/>
  <c r="C30" i="80" s="1"/>
  <c r="C39" i="80" s="1"/>
  <c r="E38" i="43"/>
  <c r="G38" i="43"/>
  <c r="I38" i="43" s="1"/>
  <c r="C57" i="67"/>
  <c r="J19" i="67"/>
  <c r="J17" i="67" s="1"/>
  <c r="C36" i="67"/>
  <c r="J14" i="67"/>
  <c r="C13" i="67"/>
  <c r="Q49" i="67"/>
  <c r="E36" i="43"/>
  <c r="G36" i="43"/>
  <c r="I36" i="43" s="1"/>
  <c r="G37" i="43"/>
  <c r="I37" i="43" s="1"/>
  <c r="E37" i="43"/>
  <c r="C61" i="80"/>
  <c r="C59" i="80" s="1"/>
  <c r="J13" i="15"/>
  <c r="J23" i="15" s="1"/>
  <c r="C64" i="15"/>
  <c r="Q70" i="15"/>
  <c r="C75" i="15"/>
  <c r="C37" i="15"/>
  <c r="C30" i="15" s="1"/>
  <c r="C39" i="15" s="1"/>
  <c r="C56" i="15"/>
  <c r="C65" i="15" s="1"/>
  <c r="J13" i="80" l="1"/>
  <c r="J23" i="80" s="1"/>
  <c r="J16" i="80" s="1"/>
  <c r="J25" i="80" s="1"/>
  <c r="Q70" i="80"/>
  <c r="J16" i="15"/>
  <c r="J25" i="15" s="1"/>
  <c r="C80" i="80"/>
  <c r="C79" i="80" s="1"/>
  <c r="C7" i="68"/>
  <c r="C5" i="68" s="1"/>
  <c r="Q69" i="15"/>
  <c r="Q68" i="15" s="1"/>
  <c r="C40" i="15"/>
  <c r="C80" i="15"/>
  <c r="C79" i="15" s="1"/>
  <c r="C58" i="15"/>
  <c r="C67" i="15" s="1"/>
  <c r="C68" i="15" s="1"/>
  <c r="C75" i="67"/>
  <c r="Q70" i="67"/>
  <c r="C56" i="67"/>
  <c r="C65" i="67" s="1"/>
  <c r="C37" i="67"/>
  <c r="C30" i="67" s="1"/>
  <c r="C39" i="67" s="1"/>
  <c r="C61" i="67"/>
  <c r="C59" i="67" s="1"/>
  <c r="C64" i="67"/>
  <c r="Q69" i="80"/>
  <c r="C40" i="80"/>
  <c r="C27" i="43"/>
  <c r="J13" i="67"/>
  <c r="J23" i="67" s="1"/>
  <c r="J22" i="67"/>
  <c r="C26" i="43"/>
  <c r="C58" i="80"/>
  <c r="C67" i="80" s="1"/>
  <c r="C68" i="80" s="1"/>
  <c r="L51" i="15"/>
  <c r="E6" i="76"/>
  <c r="L51" i="80"/>
  <c r="Q68" i="80" l="1"/>
  <c r="J16" i="67"/>
  <c r="J25" i="67" s="1"/>
  <c r="C58" i="67"/>
  <c r="C67" i="67" s="1"/>
  <c r="C68" i="67" s="1"/>
  <c r="C71" i="67" s="1"/>
  <c r="C20" i="68"/>
  <c r="C25" i="68" s="1"/>
  <c r="C23" i="68"/>
  <c r="E2" i="76"/>
  <c r="Q67" i="80"/>
  <c r="Q67" i="15"/>
  <c r="Q69" i="67"/>
  <c r="Q68" i="67" s="1"/>
  <c r="C40" i="67"/>
  <c r="B2" i="43"/>
  <c r="C46" i="80"/>
  <c r="C71" i="80"/>
  <c r="Q47" i="80"/>
  <c r="Q53" i="80" s="1"/>
  <c r="C43" i="80"/>
  <c r="Q56" i="80"/>
  <c r="Q62" i="80" s="1"/>
  <c r="B2" i="80"/>
  <c r="Q65" i="80"/>
  <c r="Q75" i="80" s="1"/>
  <c r="C83" i="80"/>
  <c r="C82" i="80" s="1"/>
  <c r="C46" i="15"/>
  <c r="C71" i="15"/>
  <c r="Q56" i="15"/>
  <c r="Q62" i="15" s="1"/>
  <c r="Q65" i="15"/>
  <c r="Q75" i="15" s="1"/>
  <c r="Q47" i="15"/>
  <c r="Q53" i="15" s="1"/>
  <c r="C43" i="15"/>
  <c r="B2" i="15"/>
  <c r="C83" i="15"/>
  <c r="C82" i="15" s="1"/>
  <c r="C80" i="67"/>
  <c r="C79" i="67" s="1"/>
  <c r="F20" i="31"/>
  <c r="B6" i="76"/>
  <c r="AO7" i="1"/>
  <c r="D19" i="9"/>
  <c r="L51" i="67"/>
  <c r="AO6" i="1"/>
  <c r="C22" i="68" l="1"/>
  <c r="C28" i="68"/>
  <c r="C27" i="68" s="1"/>
  <c r="B7" i="70"/>
  <c r="B6" i="70"/>
  <c r="D21" i="9"/>
  <c r="D102" i="9"/>
  <c r="Q67" i="67"/>
  <c r="B2" i="76"/>
  <c r="B3" i="76" s="1"/>
  <c r="B3" i="80"/>
  <c r="Q56" i="67"/>
  <c r="Q62" i="67" s="1"/>
  <c r="Q65" i="67"/>
  <c r="Q75" i="67" s="1"/>
  <c r="D2" i="67"/>
  <c r="Q47" i="67"/>
  <c r="Q53" i="67" s="1"/>
  <c r="C43" i="67"/>
  <c r="C83" i="67"/>
  <c r="C82" i="67" s="1"/>
  <c r="C45" i="67"/>
  <c r="C46" i="67" s="1"/>
  <c r="B3" i="15"/>
  <c r="B3" i="43"/>
  <c r="D20" i="9"/>
  <c r="C31" i="68" l="1"/>
  <c r="C52" i="68" s="1"/>
  <c r="B2" i="68" s="1"/>
  <c r="D103" i="9"/>
  <c r="B3" i="67"/>
  <c r="B2" i="67"/>
  <c r="B2" i="70"/>
  <c r="B3" i="70" s="1"/>
  <c r="C19" i="9"/>
  <c r="C57" i="68" l="1"/>
  <c r="C56" i="68" s="1"/>
  <c r="C102" i="9"/>
  <c r="C21" i="9"/>
  <c r="G19" i="9"/>
  <c r="D22" i="9"/>
  <c r="B3" i="68"/>
  <c r="D15" i="74"/>
  <c r="D34" i="9"/>
  <c r="D35" i="9"/>
  <c r="C20" i="9"/>
  <c r="C103" i="9" l="1"/>
  <c r="G20" i="9"/>
  <c r="J21" i="9"/>
  <c r="C32" i="9"/>
  <c r="G21" i="9"/>
  <c r="F15" i="74"/>
  <c r="H15" i="74"/>
  <c r="E15" i="74"/>
  <c r="C35" i="9" l="1"/>
  <c r="F118" i="9" s="1"/>
  <c r="H118" i="9"/>
  <c r="C34" i="9" l="1"/>
  <c r="D118" i="9" s="1"/>
  <c r="D14" i="74"/>
  <c r="C104" i="9"/>
  <c r="I118" i="9"/>
  <c r="H119" i="9"/>
  <c r="H5" i="52" s="1"/>
  <c r="H101" i="9"/>
  <c r="H4" i="52"/>
  <c r="F4" i="52"/>
  <c r="B51" i="72" s="1"/>
  <c r="F119" i="9"/>
  <c r="F5" i="52" s="1"/>
  <c r="B53" i="72" s="1"/>
  <c r="G118" i="9"/>
  <c r="G4" i="52" s="1"/>
  <c r="B52" i="72" s="1"/>
  <c r="D5" i="53" l="1"/>
  <c r="D45" i="9"/>
  <c r="M48" i="9"/>
  <c r="H109" i="9"/>
  <c r="I4" i="52"/>
  <c r="C105" i="9"/>
  <c r="H102" i="9"/>
  <c r="D7" i="53" s="1"/>
  <c r="B21" i="72" s="1"/>
  <c r="E118" i="9"/>
  <c r="E4" i="52" s="1"/>
  <c r="B48" i="72" s="1"/>
  <c r="E14" i="74"/>
  <c r="B5" i="74"/>
  <c r="F14" i="74"/>
  <c r="D119" i="9"/>
  <c r="D5" i="52" s="1"/>
  <c r="B49" i="72" s="1"/>
  <c r="D4" i="52"/>
  <c r="B47" i="72" s="1"/>
  <c r="C5" i="74" l="1"/>
  <c r="D5" i="74"/>
  <c r="M49" i="9"/>
  <c r="D124" i="9"/>
  <c r="H110" i="9"/>
  <c r="D18" i="53" s="1"/>
  <c r="B35" i="72" s="1"/>
  <c r="D16" i="53"/>
  <c r="C64" i="9"/>
  <c r="C63" i="9" s="1"/>
  <c r="C67" i="9" s="1"/>
  <c r="C68" i="9" s="1"/>
  <c r="D54" i="9" s="1"/>
  <c r="D55" i="9"/>
  <c r="M53" i="9" s="1"/>
  <c r="C78" i="9"/>
  <c r="C73" i="9" s="1"/>
  <c r="D52" i="9"/>
  <c r="D53" i="9"/>
  <c r="C72" i="9"/>
  <c r="C93" i="9"/>
  <c r="C86" i="9" s="1"/>
  <c r="C85" i="9"/>
  <c r="B20" i="72"/>
  <c r="D6" i="53"/>
  <c r="B22" i="72" s="1"/>
  <c r="C95" i="9" l="1"/>
  <c r="C79" i="9"/>
  <c r="B34" i="72"/>
  <c r="D17" i="53"/>
  <c r="B36" i="72" s="1"/>
  <c r="D10" i="52"/>
  <c r="H14" i="74"/>
  <c r="B7" i="74" s="1"/>
  <c r="D125" i="9"/>
  <c r="D11" i="52" s="1"/>
  <c r="L67" i="9"/>
  <c r="M67" i="9" s="1"/>
  <c r="L66" i="9"/>
  <c r="M66" i="9" s="1"/>
  <c r="L65" i="9"/>
  <c r="M65" i="9" s="1"/>
  <c r="L63" i="9"/>
  <c r="M63" i="9" s="1"/>
  <c r="L64" i="9"/>
  <c r="M64" i="9" s="1"/>
  <c r="L68" i="9"/>
  <c r="M68" i="9" s="1"/>
  <c r="M69" i="9" l="1"/>
  <c r="N69" i="9" s="1"/>
  <c r="C96" i="9"/>
  <c r="E96" i="9" s="1"/>
  <c r="E97" i="9" s="1"/>
  <c r="C97" i="9"/>
  <c r="D58" i="9" s="1"/>
  <c r="D56" i="9" s="1"/>
  <c r="M54" i="9" s="1"/>
  <c r="N57" i="9" s="1"/>
  <c r="C7" i="74"/>
  <c r="D7" i="74"/>
  <c r="C80" i="9"/>
  <c r="E80" i="9" s="1"/>
  <c r="E81" i="9" s="1"/>
  <c r="C81" i="9"/>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<sst xmlns="http://schemas.openxmlformats.org/spreadsheetml/2006/main" count="8404" uniqueCount="3383">
  <si>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</si>
  <si>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</si>
  <si>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</si>
  <si>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</si>
  <si>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</si>
  <si>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</si>
  <si>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</si>
  <si>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</si>
  <si>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</si>
  <si>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</si>
  <si>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</si>
  <si>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</si>
  <si>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</si>
  <si>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</si>
  <si>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</si>
  <si>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</si>
  <si>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</si>
  <si>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</si>
  <si>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</si>
  <si>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</si>
  <si>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</si>
  <si>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</si>
  <si>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</si>
  <si>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</si>
  <si>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</si>
  <si>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</si>
  <si>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</si>
  <si>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</si>
  <si>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</si>
  <si>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</si>
  <si>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</si>
  <si>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</si>
  <si>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</si>
  <si>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</si>
  <si>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</si>
  <si>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</si>
  <si>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</si>
  <si>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</si>
  <si>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</si>
  <si>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</si>
  <si>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</si>
  <si>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</si>
  <si>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</si>
  <si>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</si>
  <si>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</si>
  <si>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</si>
  <si>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</si>
  <si>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</si>
  <si>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</si>
  <si>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</si>
  <si>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</si>
  <si>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</si>
  <si>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</si>
  <si>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</si>
  <si>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</si>
  <si>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</si>
  <si>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</si>
  <si>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</si>
  <si>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</si>
  <si>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</si>
  <si>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</si>
  <si>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</si>
  <si>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</si>
  <si>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</si>
  <si>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</si>
  <si>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</si>
  <si>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</si>
  <si>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</si>
  <si>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</si>
  <si>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</si>
  <si>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</si>
  <si>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</si>
  <si>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</si>
  <si>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</si>
  <si>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</si>
  <si>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</si>
  <si>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</si>
  <si>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</si>
  <si>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</si>
  <si>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</si>
  <si>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</si>
  <si>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</si>
  <si>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</si>
  <si>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</si>
  <si>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</si>
  <si>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</si>
  <si>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</si>
  <si>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</si>
  <si>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</si>
  <si>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</si>
  <si>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</si>
  <si>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</si>
  <si>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</si>
  <si>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</si>
  <si>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</si>
  <si>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</si>
  <si>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</si>
  <si>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</si>
  <si>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</si>
  <si>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</si>
  <si>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</si>
  <si>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</si>
  <si>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</si>
  <si>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</si>
  <si>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</si>
  <si>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</si>
  <si>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</si>
  <si>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</si>
  <si>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</si>
  <si>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</si>
  <si>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</si>
  <si>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</si>
  <si>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</si>
  <si>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</si>
  <si>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</si>
  <si>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</si>
  <si>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</si>
  <si>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</si>
  <si>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</si>
  <si>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</si>
  <si>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</si>
  <si>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</si>
  <si>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</si>
  <si>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</si>
  <si>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</si>
  <si>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</si>
  <si>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</si>
  <si>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</si>
  <si>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</si>
  <si>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</si>
  <si>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</si>
  <si>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</si>
  <si>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</si>
  <si>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</si>
  <si>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</si>
  <si>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</si>
  <si>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</si>
  <si>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</si>
  <si>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</si>
  <si>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</si>
  <si>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</si>
  <si>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</si>
  <si>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</si>
  <si>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</si>
  <si>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</si>
  <si>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</si>
  <si>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</si>
  <si>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</si>
  <si>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</si>
  <si>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</si>
  <si>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</si>
  <si>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</si>
  <si>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</si>
  <si>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</si>
  <si>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</si>
  <si>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</si>
  <si>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</si>
  <si>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</si>
  <si>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</si>
  <si>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</si>
  <si>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</si>
  <si>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</si>
  <si>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</si>
  <si>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</si>
  <si>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</si>
  <si>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</si>
  <si>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</si>
  <si>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</si>
  <si>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</si>
  <si>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</si>
  <si>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</si>
  <si>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</si>
  <si>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</si>
  <si>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</si>
  <si>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</si>
  <si>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</si>
  <si>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</si>
  <si>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</si>
  <si>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</si>
  <si>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</si>
  <si>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</si>
  <si>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</si>
  <si>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</si>
  <si>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</si>
  <si>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</si>
  <si>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</si>
  <si>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</si>
  <si>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</si>
  <si>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</si>
  <si>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</si>
  <si>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</si>
  <si>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</si>
  <si>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</si>
  <si>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</si>
  <si>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</si>
  <si>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</si>
  <si>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</si>
  <si>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</si>
  <si>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</si>
  <si>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</si>
  <si>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</si>
  <si>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</si>
  <si>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</si>
  <si>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</si>
  <si>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</si>
  <si>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</si>
  <si>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</si>
  <si>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</si>
  <si>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</si>
  <si>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</si>
  <si>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</si>
  <si>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</si>
  <si>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</si>
  <si>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</si>
  <si>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</si>
  <si>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</si>
  <si>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</si>
  <si>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</si>
  <si>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</si>
  <si>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</si>
  <si>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</si>
  <si>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</si>
  <si>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</si>
  <si>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</si>
  <si>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</si>
  <si>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</si>
  <si>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</si>
  <si>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</si>
  <si>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</si>
  <si>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</si>
  <si>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</si>
  <si>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</si>
  <si>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</si>
  <si>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</si>
  <si>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</si>
  <si>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</si>
  <si>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</si>
  <si>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</si>
  <si>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</si>
  <si>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</si>
  <si>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</si>
  <si>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</si>
  <si>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</si>
  <si>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</si>
  <si>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</si>
  <si>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</si>
  <si>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</si>
  <si>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</si>
  <si>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</si>
  <si>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</si>
  <si>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</si>
  <si>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</si>
  <si>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</si>
  <si>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</si>
  <si>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</si>
  <si>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</si>
  <si>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</si>
  <si>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</si>
  <si>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</si>
  <si>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</si>
  <si>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</si>
  <si>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</si>
  <si>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</si>
  <si>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</si>
  <si>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</si>
  <si>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</si>
  <si>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</si>
  <si>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</si>
  <si>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</si>
  <si>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</si>
  <si>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</si>
  <si>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</si>
  <si>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</si>
  <si>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</si>
  <si>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</si>
  <si>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</si>
  <si>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</si>
  <si>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</si>
  <si>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</si>
  <si>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</si>
  <si>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</si>
  <si>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</si>
  <si>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</si>
  <si>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</si>
  <si>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</si>
  <si>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</si>
  <si>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</si>
  <si>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</si>
  <si>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</si>
  <si>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</si>
  <si>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</si>
  <si>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</si>
  <si>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</si>
  <si>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</si>
  <si>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</si>
  <si>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</si>
  <si>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</si>
  <si>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</si>
  <si>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</si>
  <si>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</si>
  <si>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</si>
  <si>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</si>
  <si>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</si>
  <si>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</si>
  <si>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</si>
  <si>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</si>
  <si>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</si>
  <si>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</si>
  <si>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</si>
  <si>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</si>
  <si>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</si>
  <si>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</si>
  <si>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</si>
  <si>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</si>
  <si>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</si>
  <si>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</si>
  <si>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</si>
  <si>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</si>
  <si>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</si>
  <si>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</si>
  <si>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</si>
  <si>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</si>
  <si>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</si>
  <si>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</si>
  <si>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</si>
  <si>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</si>
  <si>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</si>
  <si>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</si>
  <si>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</si>
  <si>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</si>
  <si>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</si>
  <si>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</si>
  <si>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</si>
  <si>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</si>
  <si>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</si>
  <si>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</si>
  <si>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</si>
  <si>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</si>
  <si>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</si>
  <si>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</si>
  <si>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</si>
  <si>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</si>
  <si>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</si>
  <si>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</si>
  <si>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</si>
  <si>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</si>
  <si>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</si>
  <si>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</si>
  <si>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</si>
  <si>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</si>
  <si>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</si>
  <si>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</si>
  <si>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</si>
  <si>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</si>
  <si>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</si>
  <si>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</si>
  <si>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</si>
  <si>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</si>
  <si>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</si>
  <si>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</si>
  <si>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</si>
  <si>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</si>
  <si>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</si>
  <si>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</si>
  <si>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</si>
  <si>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</si>
  <si>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</si>
  <si>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</si>
  <si>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</si>
  <si>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</si>
  <si>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</si>
  <si>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</si>
  <si>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</si>
  <si>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</si>
  <si>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</si>
  <si>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</si>
  <si>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</si>
  <si>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</si>
  <si>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</si>
  <si>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</si>
  <si>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</si>
  <si>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</si>
  <si>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</si>
  <si>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</si>
  <si>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</si>
  <si>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</si>
  <si>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</si>
  <si>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</si>
  <si>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</si>
  <si>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</si>
  <si>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</si>
  <si>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</si>
  <si>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</si>
  <si>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</si>
  <si>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</si>
  <si>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</si>
  <si>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</si>
  <si>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</si>
  <si>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</si>
  <si>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</si>
  <si>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</si>
  <si>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</si>
  <si>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</si>
  <si>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</si>
  <si>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</si>
  <si>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</si>
  <si>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</si>
  <si>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</si>
  <si>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</si>
  <si>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</si>
  <si>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</si>
  <si>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</si>
  <si>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</si>
  <si>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</si>
  <si>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</si>
  <si>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</si>
  <si>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</si>
  <si>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</si>
  <si>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</si>
  <si>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</si>
  <si>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</si>
  <si>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</si>
  <si>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</si>
  <si>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</si>
  <si>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</si>
  <si>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</si>
  <si>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</si>
  <si>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</si>
  <si>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</si>
  <si>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</si>
  <si>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</si>
  <si>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</si>
  <si>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</si>
  <si>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</si>
  <si>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</si>
  <si>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</si>
  <si>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</si>
  <si>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</si>
  <si>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</si>
  <si>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</si>
  <si>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</si>
  <si>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</si>
  <si>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</si>
  <si>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</si>
  <si>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</si>
  <si>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</si>
  <si>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</si>
  <si>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</si>
  <si>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</si>
  <si>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</si>
  <si>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</si>
  <si>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</si>
  <si>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</si>
  <si>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</si>
  <si>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</si>
  <si>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</si>
  <si>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</si>
  <si>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</si>
  <si>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</si>
  <si>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</si>
  <si>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</si>
  <si>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</si>
  <si>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</si>
  <si>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</si>
  <si>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</si>
  <si>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</si>
  <si>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</si>
  <si>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</si>
  <si>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</si>
  <si>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</si>
  <si>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</si>
  <si>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</si>
  <si>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</si>
  <si>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</si>
  <si>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</si>
  <si>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</si>
  <si>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</si>
  <si>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</si>
  <si>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</si>
  <si>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</si>
  <si>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</si>
  <si>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</si>
  <si>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</si>
  <si>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</si>
  <si>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</si>
  <si>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</si>
  <si>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</si>
  <si>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</si>
  <si>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</si>
  <si>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</si>
  <si>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</si>
  <si>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</si>
  <si>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</si>
  <si>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</si>
  <si>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</si>
  <si>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</si>
  <si>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</si>
  <si>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</si>
  <si>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</si>
  <si>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</si>
  <si>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</si>
  <si>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</si>
  <si>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</si>
  <si>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</si>
  <si>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</si>
  <si>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</si>
  <si>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</si>
  <si>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</si>
  <si>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</si>
  <si>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</si>
  <si>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</si>
  <si>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</si>
  <si>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</si>
  <si>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</si>
  <si>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</si>
  <si>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</si>
  <si>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</si>
  <si>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</si>
  <si>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</si>
  <si>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</si>
  <si>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</si>
  <si>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</si>
  <si>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</si>
  <si>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</si>
  <si>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</si>
  <si>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</si>
  <si>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</si>
  <si>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</si>
  <si>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</si>
  <si>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</si>
  <si>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</si>
  <si>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</si>
  <si>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</si>
  <si>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</si>
  <si>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</si>
  <si>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</si>
  <si>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</si>
  <si>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</si>
  <si>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</si>
  <si>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</si>
  <si>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</si>
  <si>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</si>
  <si>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</si>
  <si>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</si>
  <si>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</si>
  <si>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</si>
  <si>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</si>
  <si>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</si>
  <si>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</si>
  <si>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</si>
  <si>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</si>
  <si>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</si>
  <si>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</si>
  <si>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</si>
  <si>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</si>
  <si>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</si>
  <si>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</si>
  <si>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</si>
  <si>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</si>
  <si>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</si>
  <si>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</si>
  <si>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</si>
  <si>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</si>
  <si>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</si>
  <si>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</si>
  <si>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</si>
  <si>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</si>
  <si>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</si>
  <si>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</si>
  <si>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</si>
  <si>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</si>
  <si>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</si>
  <si>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</si>
  <si>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</si>
  <si>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</si>
  <si>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</si>
  <si>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</si>
  <si>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</si>
  <si>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</si>
  <si>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</si>
  <si>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</si>
  <si>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</si>
  <si>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</si>
  <si>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</si>
  <si>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</si>
  <si>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</si>
  <si>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</si>
  <si>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</si>
  <si>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</si>
  <si>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</si>
  <si>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</si>
  <si>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</si>
  <si>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</si>
  <si>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</si>
  <si>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</si>
  <si>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</si>
  <si>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</si>
  <si>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</si>
  <si>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</si>
  <si>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</si>
  <si>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</si>
  <si>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</si>
  <si>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</si>
  <si>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</si>
  <si>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</si>
  <si>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</si>
  <si>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</si>
  <si>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</si>
  <si>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</si>
  <si>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</si>
  <si>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</si>
  <si>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</si>
  <si>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</si>
  <si>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</si>
  <si>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</si>
  <si>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</si>
  <si>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</si>
  <si>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</si>
  <si>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</si>
  <si>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</si>
  <si>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</si>
  <si>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</si>
  <si>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</si>
  <si>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</si>
  <si>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</si>
  <si>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</si>
  <si>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</si>
  <si>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</si>
  <si>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</si>
  <si>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</si>
  <si>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</si>
  <si>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</si>
  <si>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</si>
  <si>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</si>
  <si>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</si>
  <si>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</si>
  <si>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</si>
  <si>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</si>
  <si>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</si>
  <si>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</si>
  <si>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</si>
  <si>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</si>
  <si>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</si>
  <si>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</si>
  <si>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</si>
  <si>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</si>
  <si>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</si>
  <si>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</si>
  <si>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</si>
  <si>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</si>
  <si>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</si>
  <si>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</si>
  <si>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</si>
  <si>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</si>
  <si>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</si>
  <si>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</si>
  <si>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</si>
  <si>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</si>
  <si>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</si>
  <si>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</si>
  <si>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</si>
  <si>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</si>
  <si>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</si>
  <si>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</si>
  <si>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</si>
  <si>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</si>
  <si>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</si>
  <si>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</si>
  <si>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</si>
  <si>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</si>
  <si>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</si>
  <si>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</si>
  <si>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</si>
  <si>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</si>
  <si>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</si>
  <si>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</si>
  <si>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</si>
  <si>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</si>
  <si>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</si>
  <si>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</si>
  <si>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</si>
  <si>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</si>
  <si>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</si>
  <si>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</si>
  <si>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</si>
  <si>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</si>
  <si>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</si>
  <si>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</si>
  <si>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</si>
  <si>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</si>
  <si>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</si>
  <si>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</si>
  <si>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</si>
  <si>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</si>
  <si>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</si>
  <si>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</si>
  <si>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</si>
  <si>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</si>
  <si>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</si>
  <si>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</si>
  <si>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</si>
  <si>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</si>
  <si>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</si>
  <si>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</si>
  <si>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</si>
  <si>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</si>
  <si>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</si>
  <si>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</si>
  <si>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</si>
  <si>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</si>
  <si>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</si>
  <si>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</si>
  <si>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</si>
  <si>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</si>
  <si>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</si>
  <si>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</si>
  <si>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</si>
  <si>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</si>
  <si>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</si>
  <si>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</si>
  <si>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</si>
  <si>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</si>
  <si>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</si>
  <si>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</si>
  <si>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</si>
  <si>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</si>
  <si>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</si>
  <si>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</si>
  <si>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</si>
  <si>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</si>
  <si>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</si>
  <si>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</si>
  <si>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</si>
  <si>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</si>
  <si>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</si>
  <si>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</si>
  <si>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</si>
  <si>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</si>
  <si>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</si>
  <si>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</si>
  <si>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</si>
  <si>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</si>
  <si>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</si>
  <si>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</si>
  <si>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</si>
  <si>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</si>
  <si>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</si>
  <si>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</si>
  <si>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</si>
  <si>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</si>
  <si>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</si>
  <si>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</si>
  <si>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</si>
  <si>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</si>
  <si>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</si>
  <si>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</si>
  <si>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</si>
  <si>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</si>
  <si>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</si>
  <si>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</si>
  <si>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</si>
  <si>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</si>
  <si>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</si>
  <si>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</si>
  <si>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</si>
  <si>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</si>
  <si>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</si>
  <si>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</si>
  <si>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</si>
  <si>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</si>
  <si>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</si>
  <si>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</si>
  <si>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</si>
  <si>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</si>
  <si>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</si>
  <si>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</si>
  <si>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</si>
  <si>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</si>
  <si>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</si>
  <si>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</si>
  <si>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</si>
  <si>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</si>
  <si>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</si>
  <si>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</si>
  <si>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</si>
  <si>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</si>
  <si>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</si>
  <si>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</si>
  <si>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</si>
  <si>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</si>
  <si>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</si>
  <si>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</si>
  <si>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</si>
  <si>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</si>
  <si>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</si>
  <si>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</si>
  <si>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</si>
  <si>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</si>
  <si>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</si>
  <si>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</si>
  <si>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</si>
  <si>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</si>
  <si>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</si>
  <si>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</si>
  <si>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</si>
  <si>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</si>
  <si>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</si>
  <si>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</si>
  <si>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</si>
  <si>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</si>
  <si>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</si>
  <si>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</si>
  <si>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</si>
  <si>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</si>
  <si>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</si>
  <si>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</si>
  <si>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</si>
  <si>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</si>
  <si>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</si>
  <si>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</si>
  <si>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</si>
  <si>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</si>
  <si>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</si>
  <si>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</si>
  <si>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</si>
  <si>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</si>
  <si>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</si>
  <si>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</si>
  <si>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</si>
  <si>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</si>
  <si>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</si>
  <si>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</si>
  <si>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</si>
  <si>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</si>
  <si>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</si>
  <si>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</si>
  <si>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</si>
  <si>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</si>
  <si>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</si>
  <si>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</si>
  <si>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</si>
  <si>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</si>
  <si>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</si>
  <si>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</si>
  <si>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</si>
  <si>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</si>
  <si>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</si>
  <si>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</si>
  <si>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</si>
  <si>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</si>
  <si>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</si>
  <si>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</si>
  <si>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</si>
  <si>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</si>
  <si>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</si>
  <si>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</si>
  <si>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</si>
  <si>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</si>
  <si>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</si>
  <si>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</si>
  <si>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</si>
  <si>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</si>
  <si>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</si>
  <si>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</si>
  <si>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</si>
  <si>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</si>
  <si>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</si>
  <si>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</si>
  <si>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</si>
  <si>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</si>
  <si>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</si>
  <si>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</si>
  <si>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</si>
  <si>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</si>
  <si>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</si>
  <si>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</si>
  <si>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</si>
  <si>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</si>
  <si>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</si>
  <si>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</si>
  <si>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</si>
  <si>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</si>
  <si>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</si>
  <si>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</si>
  <si>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</si>
  <si>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</si>
  <si>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</si>
  <si>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</si>
  <si>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</si>
  <si>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</si>
  <si>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</si>
  <si>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</si>
  <si>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</si>
  <si>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</si>
  <si>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</si>
  <si>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</si>
  <si>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</si>
  <si>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</si>
  <si>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</si>
  <si>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</si>
  <si>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</si>
  <si>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</si>
  <si>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</si>
  <si>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</si>
  <si>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</si>
  <si>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</si>
  <si>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</si>
  <si>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</si>
  <si>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</si>
  <si>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</si>
  <si>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</si>
  <si>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</si>
  <si>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</si>
  <si>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</si>
  <si>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</si>
  <si>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</si>
  <si>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</si>
  <si>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</si>
  <si>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</si>
  <si>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</si>
  <si>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</si>
  <si>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</si>
  <si>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</si>
  <si>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</si>
  <si>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</si>
  <si>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</si>
  <si>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</si>
  <si>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</si>
  <si>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</si>
  <si>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</si>
  <si>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</si>
  <si>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</si>
  <si>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</si>
  <si>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</si>
  <si>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</si>
  <si>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</si>
  <si>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</si>
  <si>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</si>
  <si>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</si>
  <si>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</si>
  <si>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</si>
  <si>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</si>
  <si>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</si>
  <si>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</si>
  <si>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</si>
  <si>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</si>
  <si>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</si>
  <si>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</si>
  <si>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</si>
  <si>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</si>
  <si>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</si>
  <si>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</si>
  <si>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</si>
  <si>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</si>
  <si>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</si>
  <si>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</si>
  <si>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</si>
  <si>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</si>
  <si>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</si>
  <si>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</si>
  <si>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</si>
  <si>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</si>
  <si>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</si>
  <si>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</si>
  <si>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</si>
  <si>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</si>
  <si>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</si>
  <si>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</si>
  <si>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</si>
  <si>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</si>
  <si>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</si>
  <si>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</si>
  <si>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</si>
  <si>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</si>
  <si>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</si>
  <si>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</si>
  <si>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</si>
  <si>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</si>
  <si>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</si>
  <si>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</si>
  <si>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</si>
  <si>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</si>
  <si>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</si>
  <si>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</si>
  <si>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</si>
  <si>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</si>
  <si>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</si>
  <si>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</si>
  <si>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</si>
  <si>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</si>
  <si>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</si>
  <si>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</si>
  <si>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</si>
  <si>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</si>
  <si>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</si>
  <si>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</si>
  <si>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</si>
  <si>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</si>
  <si>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</si>
  <si>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</si>
  <si>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</si>
  <si>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</si>
  <si>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</si>
  <si>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</si>
  <si>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</si>
  <si>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</si>
  <si>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</si>
  <si>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</si>
  <si>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</si>
  <si>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</si>
  <si>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</si>
  <si>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</si>
  <si>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</si>
  <si>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</si>
  <si>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</si>
  <si>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</si>
  <si>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</si>
  <si>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</si>
  <si>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</si>
  <si>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</si>
  <si>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</si>
  <si>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</si>
  <si>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</si>
  <si>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</si>
  <si>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</si>
  <si>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</si>
  <si>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</si>
  <si>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</si>
  <si>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</si>
  <si>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</si>
  <si>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</si>
  <si>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</si>
  <si>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</si>
  <si>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</si>
  <si>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</si>
  <si>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</si>
  <si>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</si>
  <si>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</si>
  <si>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</si>
  <si>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</si>
  <si>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</si>
  <si>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</si>
  <si>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</si>
  <si>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</si>
  <si>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</si>
  <si>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</si>
  <si>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</si>
  <si>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</si>
  <si>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</si>
  <si>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</si>
  <si>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</si>
  <si>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</si>
  <si>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</si>
  <si>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</si>
  <si>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</si>
  <si>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</si>
  <si>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</si>
  <si>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</si>
  <si>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</si>
  <si>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</si>
  <si>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</si>
  <si>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</si>
  <si>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</si>
  <si>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</si>
  <si>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</si>
  <si>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</si>
  <si>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</si>
  <si>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</si>
  <si>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</si>
  <si>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</si>
  <si>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</si>
  <si>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</si>
  <si>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</si>
  <si>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</si>
  <si>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</si>
  <si>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</si>
  <si>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</si>
  <si>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</si>
  <si>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</si>
  <si>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</si>
  <si>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</si>
  <si>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</si>
  <si>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</si>
  <si>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</si>
  <si>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</si>
  <si>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</si>
  <si>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</si>
  <si>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</si>
  <si>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</si>
  <si>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</si>
  <si>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</si>
  <si>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</si>
  <si>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</si>
  <si>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</si>
  <si>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</si>
  <si>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</si>
  <si>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</si>
  <si>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</si>
  <si>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</si>
  <si>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</si>
  <si>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</si>
  <si>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</si>
  <si>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</si>
  <si>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</si>
  <si>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</si>
  <si>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</si>
  <si>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</si>
  <si>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</si>
  <si>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</si>
  <si>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</si>
  <si>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</si>
  <si>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</si>
  <si>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</si>
  <si>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</si>
  <si>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</si>
  <si>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</si>
  <si>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</si>
  <si>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</si>
  <si>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</si>
  <si>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</si>
  <si>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</si>
  <si>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</si>
  <si>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</si>
  <si>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</si>
  <si>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</si>
  <si>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</si>
  <si>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</si>
  <si>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</si>
  <si>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</si>
  <si>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</si>
  <si>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</si>
  <si>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</si>
  <si>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</si>
  <si>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</si>
  <si>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</si>
  <si>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</si>
  <si>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</si>
  <si>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</si>
  <si>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</si>
  <si>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</si>
  <si>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</si>
  <si>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</si>
  <si>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</si>
  <si>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</si>
  <si>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</si>
  <si>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</si>
  <si>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</si>
  <si>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</si>
  <si>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</si>
  <si>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</si>
  <si>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</si>
  <si>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</si>
  <si>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</si>
  <si>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</si>
  <si>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</si>
  <si>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</si>
  <si>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</si>
  <si>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</si>
  <si>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</si>
  <si>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</si>
  <si>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</si>
  <si>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</si>
  <si>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</si>
  <si>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</si>
  <si>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</si>
  <si>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</si>
  <si>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</si>
  <si>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</si>
  <si>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</si>
  <si>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</si>
  <si>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</si>
  <si>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</si>
  <si>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</si>
  <si>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</si>
  <si>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</si>
  <si>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</si>
  <si>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</si>
  <si>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</si>
  <si>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</si>
  <si>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</si>
  <si>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</si>
  <si>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</si>
  <si>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</si>
  <si>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</si>
  <si>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</si>
  <si>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</si>
  <si>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</si>
  <si>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</si>
  <si>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</si>
  <si>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</si>
  <si>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</si>
  <si>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</si>
  <si>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</si>
  <si>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</si>
  <si>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</si>
  <si>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</si>
  <si>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</si>
  <si>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</si>
  <si>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</si>
  <si>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</si>
  <si>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</si>
  <si>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</si>
  <si>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</si>
  <si>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</si>
  <si>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</si>
  <si>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</si>
  <si>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</si>
  <si>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</si>
  <si>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</si>
  <si>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</si>
  <si>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</si>
  <si>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</si>
  <si>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</si>
  <si>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</si>
  <si>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</si>
  <si>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</si>
  <si>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</si>
  <si>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</si>
  <si>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</si>
  <si>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</si>
  <si>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</si>
  <si>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</si>
  <si>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</si>
  <si>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</si>
  <si>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</si>
  <si>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</si>
  <si>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</si>
  <si>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</si>
  <si>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</si>
  <si>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</si>
  <si>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</si>
  <si>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</si>
  <si>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</si>
  <si>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</si>
  <si>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</si>
  <si>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</si>
  <si>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</si>
  <si>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</si>
  <si>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</si>
  <si>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</si>
  <si>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</si>
  <si>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</si>
  <si>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</si>
  <si>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</si>
  <si>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</si>
  <si>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</si>
  <si>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</si>
  <si>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</si>
  <si>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</si>
  <si>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</si>
  <si>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</si>
  <si>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</si>
  <si>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</si>
  <si>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</si>
  <si>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</si>
  <si>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</si>
  <si>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</si>
  <si>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</si>
  <si>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</si>
  <si>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</si>
  <si>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</si>
  <si>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</si>
  <si>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</si>
  <si>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</si>
  <si>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</si>
  <si>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</si>
  <si>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</si>
  <si>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</si>
  <si>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</si>
  <si>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</si>
  <si>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</si>
  <si>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</si>
  <si>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</si>
  <si>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</si>
  <si>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</si>
  <si>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</si>
  <si>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</si>
  <si>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</si>
  <si>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</si>
  <si>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</si>
  <si>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</si>
  <si>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</si>
  <si>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</si>
  <si>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</si>
  <si>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</si>
  <si>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</si>
  <si>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</si>
  <si>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</si>
  <si>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</si>
  <si>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</si>
  <si>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</si>
  <si>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</si>
  <si>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</si>
  <si>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</si>
  <si>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</si>
  <si>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</si>
  <si>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</si>
  <si>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</si>
  <si>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</si>
  <si>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</si>
  <si>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</si>
  <si>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</si>
  <si>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</si>
  <si>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</si>
  <si>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</si>
  <si>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</si>
  <si>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</si>
  <si>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</si>
  <si>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</si>
  <si>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</si>
  <si>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</si>
  <si>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</si>
  <si>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</si>
  <si>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</si>
  <si>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</si>
  <si>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</si>
  <si>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</si>
  <si>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</si>
  <si>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</si>
  <si>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</si>
  <si>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</si>
  <si>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</si>
  <si>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</si>
  <si>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</si>
  <si>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</si>
  <si>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</si>
  <si>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</si>
  <si>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</si>
  <si>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</si>
  <si>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</si>
  <si>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</si>
  <si>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</si>
  <si>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</si>
  <si>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</si>
  <si>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</si>
  <si>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</si>
  <si>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</si>
  <si>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</si>
  <si>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</si>
  <si>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</si>
  <si>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</si>
  <si>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</si>
  <si>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</si>
  <si>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</si>
  <si>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</si>
  <si>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</si>
  <si>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</si>
  <si>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</si>
  <si>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</si>
  <si>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</si>
  <si>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</si>
  <si>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</si>
  <si>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</si>
  <si>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</si>
  <si>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</si>
  <si>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</si>
  <si>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</si>
  <si>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</si>
  <si>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</si>
  <si>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</si>
  <si>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</si>
  <si>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</si>
  <si>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</si>
  <si>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</si>
  <si>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</si>
  <si>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</si>
  <si>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</si>
  <si>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</si>
  <si>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</si>
  <si>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</si>
  <si>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</si>
  <si>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</si>
  <si>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</si>
  <si>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</si>
  <si>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</si>
  <si>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</si>
  <si>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</si>
  <si>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</si>
  <si>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</si>
  <si>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</si>
  <si>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</si>
  <si>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</si>
  <si>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</si>
  <si>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</si>
  <si>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</si>
  <si>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</si>
  <si>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</si>
  <si>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</si>
  <si>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</si>
  <si>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</si>
  <si>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</si>
  <si>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</si>
  <si>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</si>
  <si>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</si>
  <si>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</si>
  <si>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</si>
  <si>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</si>
  <si>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</si>
  <si>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</si>
  <si>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</si>
  <si>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</si>
  <si>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</si>
  <si>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</si>
  <si>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</si>
  <si>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</si>
  <si>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</si>
  <si>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</si>
  <si>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</si>
  <si>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</si>
  <si>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</si>
  <si>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</si>
  <si>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</si>
  <si>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</si>
  <si>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</si>
  <si>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</si>
  <si>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</si>
  <si>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</si>
  <si>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</si>
  <si>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</si>
  <si>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</si>
  <si>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</si>
  <si>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</si>
  <si>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</si>
  <si>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</si>
  <si>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</si>
  <si>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</si>
  <si>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</si>
  <si>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</si>
  <si>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</si>
  <si>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</si>
  <si>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</si>
  <si>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</si>
  <si>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</si>
  <si>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</si>
  <si>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</si>
  <si>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</si>
  <si>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</si>
  <si>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</si>
  <si>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</si>
  <si>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</si>
  <si>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</si>
  <si>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</si>
  <si>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</si>
  <si>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</si>
  <si>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</si>
  <si>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</si>
  <si>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</si>
  <si>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</si>
  <si>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</si>
  <si>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</si>
  <si>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</si>
  <si>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</si>
  <si>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</si>
  <si>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</si>
  <si>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</si>
  <si>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</si>
  <si>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</si>
  <si>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</si>
  <si>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</si>
  <si>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</si>
  <si>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</si>
  <si>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</si>
  <si>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</si>
  <si>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</si>
  <si>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</si>
  <si>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</si>
  <si>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</si>
  <si>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</si>
  <si>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</si>
  <si>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</si>
  <si>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</si>
  <si>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</si>
  <si>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</si>
  <si>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</si>
  <si>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</si>
  <si>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</si>
  <si>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</si>
  <si>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</si>
  <si>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</si>
  <si>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</si>
  <si>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</si>
  <si>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</si>
  <si>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</si>
  <si>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</si>
  <si>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</si>
  <si>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</si>
  <si>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</si>
  <si>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</si>
  <si>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</si>
  <si>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</si>
  <si>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</si>
  <si>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</si>
  <si>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</si>
  <si>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</si>
  <si>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</si>
  <si>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</si>
  <si>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</si>
  <si>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</si>
  <si>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</si>
  <si>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</si>
  <si>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</si>
  <si>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</si>
  <si>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</si>
  <si>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</si>
  <si>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</si>
  <si>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</si>
  <si>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</si>
  <si>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</si>
  <si>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</si>
  <si>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</si>
  <si>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</si>
  <si>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</si>
  <si>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</si>
  <si>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</si>
  <si>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</si>
  <si>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</si>
  <si>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</si>
  <si>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</si>
  <si>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</si>
  <si>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</si>
  <si>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</si>
  <si>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</si>
  <si>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</si>
  <si>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</si>
  <si>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</si>
  <si>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</si>
  <si>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</si>
  <si>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</si>
  <si>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</si>
  <si>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</si>
  <si>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</si>
  <si>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</si>
  <si>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</si>
  <si>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</si>
  <si>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</si>
  <si>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</si>
  <si>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</si>
  <si>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</si>
  <si>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</si>
  <si>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</si>
  <si>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</si>
  <si>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</si>
  <si>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</si>
  <si>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</si>
  <si>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</si>
  <si>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</si>
  <si>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</si>
  <si>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</si>
  <si>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</si>
  <si>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</si>
  <si>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</si>
  <si>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</si>
  <si>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</si>
  <si>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</si>
  <si>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</si>
  <si>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</si>
  <si>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</si>
  <si>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</si>
  <si>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</si>
  <si>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</si>
  <si>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</si>
  <si>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</si>
  <si>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</si>
  <si>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</si>
  <si>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</si>
  <si>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</si>
  <si>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</si>
  <si>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</si>
  <si>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</si>
  <si>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</si>
  <si>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</si>
  <si>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</si>
  <si>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</si>
  <si>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</si>
  <si>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</si>
  <si>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</si>
  <si>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</si>
  <si>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</si>
  <si>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</si>
  <si>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</si>
  <si>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</si>
  <si>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</si>
  <si>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</si>
  <si>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</si>
  <si>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</si>
  <si>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</si>
  <si>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</si>
  <si>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</si>
  <si>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</si>
  <si>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</si>
  <si>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</si>
  <si>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</si>
  <si>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</si>
  <si>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</si>
  <si>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</si>
  <si>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</si>
  <si>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</si>
  <si>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</si>
  <si>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</si>
  <si>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</si>
  <si>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</si>
  <si>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</si>
  <si>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</si>
  <si>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</si>
  <si>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</si>
  <si>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</si>
  <si>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</si>
  <si>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</si>
  <si>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</si>
  <si>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</si>
  <si>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</si>
  <si>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</si>
  <si>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</si>
  <si>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</si>
  <si>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</si>
  <si>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</si>
  <si>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</si>
  <si>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</si>
  <si>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</si>
  <si>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</si>
  <si>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</si>
  <si>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</si>
  <si>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</si>
  <si>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</si>
  <si>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</si>
  <si>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</si>
  <si>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</si>
  <si>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</si>
  <si>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</si>
  <si>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</si>
  <si>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</si>
  <si>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</si>
  <si>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</si>
  <si>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</si>
  <si>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</si>
  <si>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</si>
  <si>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</si>
  <si>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</si>
  <si>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</si>
  <si>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</si>
  <si>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</si>
  <si>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</si>
  <si>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</si>
  <si>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</si>
  <si>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</si>
  <si>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</si>
  <si>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</si>
  <si>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</si>
  <si>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</si>
  <si>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</si>
  <si>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</si>
  <si>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</si>
  <si>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</si>
  <si>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</si>
  <si>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</si>
  <si>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</si>
  <si>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</si>
  <si>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</si>
  <si>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</si>
  <si>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</si>
  <si>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</si>
  <si>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</si>
  <si>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</si>
  <si>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</si>
  <si>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</si>
  <si>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</si>
  <si>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</si>
  <si>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</si>
  <si>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</si>
  <si>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</si>
  <si>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</si>
  <si>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</si>
  <si>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</si>
  <si>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</si>
  <si>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</si>
  <si>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</si>
  <si>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</si>
  <si>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</si>
  <si>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</si>
  <si>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</si>
  <si>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</si>
  <si>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</si>
  <si>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</si>
  <si>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</si>
  <si>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</si>
  <si>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</si>
  <si>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</si>
  <si>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</si>
  <si>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</si>
  <si>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</si>
  <si>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</si>
  <si>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</si>
  <si>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</si>
  <si>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</si>
  <si>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</si>
  <si>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</si>
  <si>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</si>
  <si>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</si>
  <si>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</si>
  <si>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</si>
  <si>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</si>
  <si>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</si>
  <si>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</si>
  <si>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</si>
  <si>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</si>
  <si>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</si>
  <si>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</si>
  <si>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</si>
  <si>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</si>
  <si>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</si>
  <si>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</si>
  <si>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</si>
  <si>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</si>
  <si>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</si>
  <si>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</si>
  <si>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</si>
  <si>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</si>
  <si>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</si>
  <si>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</si>
  <si>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</si>
  <si>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</si>
  <si>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</si>
  <si>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</si>
  <si>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</si>
  <si>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</si>
  <si>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</si>
  <si>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</si>
  <si>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</si>
  <si>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</si>
  <si>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</si>
  <si>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</si>
  <si>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</si>
  <si>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</si>
  <si>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</si>
  <si>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</si>
  <si>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</si>
  <si>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</si>
  <si>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</si>
  <si>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</si>
  <si>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</si>
  <si>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</si>
  <si>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</si>
  <si>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</si>
  <si>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</si>
  <si>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</si>
  <si>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</si>
  <si>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</si>
  <si>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</si>
  <si>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</si>
  <si>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</si>
  <si>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</si>
  <si>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</si>
  <si>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</si>
  <si>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</si>
  <si>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</si>
  <si>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</si>
  <si>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</si>
  <si>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</si>
  <si>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</si>
  <si>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</si>
  <si>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</si>
  <si>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</si>
  <si>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</si>
  <si>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</si>
  <si>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</si>
  <si>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</si>
  <si>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</si>
  <si>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</si>
  <si>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</si>
  <si>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</si>
  <si>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</si>
  <si>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</si>
  <si>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</si>
  <si>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</si>
  <si>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</si>
  <si>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</si>
  <si>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</si>
  <si>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</si>
  <si>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</si>
  <si>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</si>
  <si>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</si>
  <si>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</si>
  <si>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</si>
  <si>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</si>
  <si>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</si>
  <si>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</si>
  <si>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</si>
  <si>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</si>
  <si>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</si>
  <si>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</si>
  <si>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</si>
  <si>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</si>
  <si>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</si>
  <si>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</si>
  <si>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</si>
  <si>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</si>
  <si>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</si>
  <si>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</si>
  <si>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</si>
  <si>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</si>
  <si>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</si>
  <si>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</si>
  <si>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</si>
  <si>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</si>
  <si>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</si>
  <si>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</si>
  <si>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</si>
  <si>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</si>
  <si>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</si>
  <si>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</si>
  <si>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</si>
  <si>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</si>
  <si>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</si>
  <si>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</si>
  <si>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</si>
  <si>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</si>
  <si>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</si>
  <si>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</si>
  <si>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</si>
  <si>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</si>
  <si>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</si>
  <si>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</si>
  <si>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</si>
  <si>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</si>
  <si>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</si>
  <si>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</si>
  <si>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</si>
  <si>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</si>
  <si>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</si>
  <si>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</si>
  <si>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</si>
  <si>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</si>
  <si>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</si>
  <si>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</si>
  <si>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</si>
  <si>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</si>
  <si>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</si>
  <si>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</si>
  <si>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</si>
  <si>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</si>
  <si>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</si>
  <si>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</si>
  <si>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</si>
  <si>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</si>
  <si>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</si>
  <si>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</si>
  <si>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</si>
  <si>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</si>
  <si>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</si>
  <si>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</si>
  <si>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</si>
  <si>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</si>
  <si>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</si>
  <si>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</si>
  <si>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</si>
  <si>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</si>
  <si>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</si>
  <si>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</si>
  <si>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</si>
  <si>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</si>
  <si>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</si>
  <si>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</si>
  <si>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</si>
  <si>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</si>
  <si>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</si>
  <si>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</si>
  <si>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</si>
  <si>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</si>
  <si>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</si>
  <si>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</si>
  <si>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</si>
  <si>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</si>
  <si>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</si>
  <si>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</si>
  <si>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</si>
  <si>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</si>
  <si>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</si>
  <si>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</si>
  <si>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</si>
  <si>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</si>
  <si>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</si>
  <si>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</si>
  <si>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</si>
  <si>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</si>
  <si>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</si>
  <si>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</si>
  <si>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</si>
  <si>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</si>
  <si>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</si>
  <si>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</si>
  <si>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</si>
  <si>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</si>
  <si>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</si>
  <si>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</si>
  <si>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</si>
  <si>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</si>
  <si>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</si>
  <si>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</si>
  <si>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</si>
  <si>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</si>
  <si>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</si>
  <si>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</si>
  <si>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</si>
  <si>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</si>
  <si>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</si>
  <si>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</si>
  <si>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</si>
  <si>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</si>
  <si>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</si>
  <si>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</si>
  <si>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</si>
  <si>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</si>
  <si>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</si>
  <si>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</si>
  <si>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</si>
  <si>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</si>
  <si>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</si>
  <si>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</si>
  <si>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</si>
  <si>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</si>
  <si>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</si>
  <si>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</si>
  <si>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</si>
  <si>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</si>
  <si>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</si>
  <si>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</si>
  <si>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</si>
  <si>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</si>
  <si>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</si>
  <si>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</si>
  <si>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</si>
  <si>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</si>
  <si>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</si>
  <si>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</si>
  <si>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</si>
  <si>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</si>
  <si>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</si>
  <si>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</si>
  <si>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</si>
  <si>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</si>
  <si>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</si>
  <si>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</si>
  <si>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</si>
  <si>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</si>
  <si>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</si>
  <si>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</si>
  <si>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</si>
  <si>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</si>
  <si>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</si>
  <si>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</si>
  <si>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</si>
  <si>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</si>
  <si>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</si>
  <si>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</si>
  <si>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</si>
  <si>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</si>
  <si>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</si>
  <si>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</si>
  <si>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</si>
  <si>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</si>
  <si>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</si>
  <si>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</si>
  <si>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</si>
  <si>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</si>
  <si>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</si>
  <si>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</si>
  <si>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</si>
  <si>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</si>
  <si>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</si>
  <si>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</si>
  <si>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</si>
  <si>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</si>
  <si>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</si>
  <si>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</si>
  <si>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</si>
  <si>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</si>
  <si>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</si>
  <si>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</si>
  <si>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</si>
  <si>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</si>
  <si>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</si>
  <si>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</si>
  <si>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</si>
  <si>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</si>
  <si>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</si>
  <si>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</si>
  <si>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</si>
  <si>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</si>
  <si>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</si>
  <si>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</si>
  <si>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</si>
  <si>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</si>
  <si>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</si>
  <si>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</si>
  <si>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</si>
  <si>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</si>
  <si>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</si>
  <si>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</si>
  <si>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</si>
  <si>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</si>
  <si>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</si>
  <si>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</si>
  <si>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</si>
  <si>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</si>
  <si>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</si>
  <si>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</si>
  <si>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</si>
  <si>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</si>
  <si>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</si>
  <si>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</si>
  <si>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</si>
  <si>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</si>
  <si>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</si>
  <si>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</si>
  <si>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</si>
  <si>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</si>
  <si>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</si>
  <si>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</si>
  <si>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</si>
  <si>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</si>
  <si>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</si>
  <si>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</si>
  <si>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</si>
  <si>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</si>
  <si>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</si>
  <si>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</si>
  <si>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</si>
  <si>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</si>
  <si>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</si>
  <si>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</si>
  <si>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</si>
  <si>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</si>
  <si>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</si>
  <si>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</si>
  <si>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</si>
  <si>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</si>
  <si>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</si>
  <si>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</si>
  <si>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</si>
  <si>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</si>
  <si>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</si>
  <si>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</si>
  <si>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</si>
  <si>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</si>
  <si>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</si>
  <si>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</si>
  <si>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</si>
  <si>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</si>
  <si>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</si>
  <si>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</si>
  <si>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</si>
  <si>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</si>
  <si>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</si>
  <si>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</si>
  <si>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</si>
  <si>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</si>
  <si>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</si>
  <si>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</si>
  <si>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</si>
  <si>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</si>
  <si>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</si>
  <si>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</si>
  <si>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</si>
  <si>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</si>
  <si>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</si>
  <si>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</si>
  <si>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</si>
  <si>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</si>
  <si>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</si>
  <si>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</si>
  <si>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</si>
  <si>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</si>
  <si>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</si>
  <si>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</si>
  <si>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</si>
  <si>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</si>
  <si>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</si>
  <si>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</si>
  <si>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</si>
  <si>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</si>
  <si>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</si>
  <si>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</si>
  <si>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</si>
  <si>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</si>
  <si>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</si>
  <si>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</si>
  <si>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</si>
  <si>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</si>
  <si>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</si>
  <si>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</si>
  <si>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</si>
  <si>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</si>
  <si>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</si>
  <si>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</si>
  <si>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</si>
  <si>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</si>
  <si>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</si>
  <si>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</si>
  <si>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</si>
  <si>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</si>
  <si>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</si>
  <si>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</si>
  <si>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</si>
  <si>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</si>
  <si>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</si>
  <si>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</si>
  <si>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</si>
  <si>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</si>
  <si>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</si>
  <si>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</si>
  <si>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</si>
  <si>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</si>
  <si>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</si>
  <si>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</si>
  <si>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</si>
  <si>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</si>
  <si>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</si>
  <si>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</si>
  <si>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</si>
  <si>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</si>
  <si>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</si>
  <si>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</si>
  <si>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</si>
  <si>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</si>
  <si>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</si>
  <si>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</si>
  <si>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</si>
  <si>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</si>
  <si>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</si>
  <si>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</si>
  <si>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</si>
  <si>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</si>
  <si>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</si>
  <si>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</si>
  <si>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</si>
  <si>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</si>
  <si>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</si>
  <si>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</si>
  <si>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</si>
  <si>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</si>
  <si>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</si>
  <si>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</si>
  <si>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</si>
  <si>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</si>
  <si>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</si>
  <si>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</si>
  <si>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</si>
  <si>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</si>
  <si>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</si>
  <si>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</si>
  <si>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</si>
  <si>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</si>
  <si>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</si>
  <si>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</si>
  <si>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</si>
  <si>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</si>
  <si>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</si>
  <si>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</si>
  <si>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</si>
  <si>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</si>
  <si>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</si>
  <si>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</si>
  <si>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</si>
  <si>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</si>
  <si>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</si>
  <si>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</si>
  <si>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</si>
  <si>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</si>
  <si>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</si>
  <si>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</si>
  <si>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</si>
  <si>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</si>
  <si>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</si>
  <si>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</si>
  <si>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</si>
  <si>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</si>
  <si>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</si>
  <si>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</si>
  <si>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</si>
  <si>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</si>
  <si>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</si>
  <si>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</si>
  <si>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</si>
  <si>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</si>
  <si>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</si>
  <si>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</si>
  <si>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</si>
  <si>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</si>
  <si>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</si>
  <si>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</si>
  <si>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</si>
  <si>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</si>
  <si>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</si>
  <si>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</si>
  <si>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</si>
  <si>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</si>
  <si>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</si>
  <si>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</si>
  <si>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</si>
  <si>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</si>
  <si>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</si>
  <si>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</si>
  <si>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</si>
  <si>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</si>
  <si>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</si>
  <si>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</si>
  <si>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</si>
  <si>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</si>
  <si>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</si>
  <si>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</si>
  <si>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</si>
  <si>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</si>
  <si>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</si>
  <si>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</si>
  <si>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</si>
  <si>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</si>
  <si>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</si>
  <si>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</si>
  <si>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</si>
  <si>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</si>
  <si>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</si>
  <si>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</si>
  <si>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</si>
  <si>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</si>
  <si>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</si>
  <si>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</si>
  <si>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</si>
  <si>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</si>
  <si>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</si>
  <si>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</si>
  <si>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</si>
  <si>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</si>
  <si>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</si>
  <si>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</si>
  <si>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</si>
  <si>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</si>
  <si>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</si>
  <si>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</si>
  <si>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</si>
  <si>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</si>
  <si>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</si>
  <si>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</si>
  <si>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</si>
  <si>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</si>
  <si>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</si>
  <si>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</si>
  <si>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</si>
  <si>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</si>
  <si>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</si>
  <si>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</si>
  <si>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</si>
  <si>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</si>
  <si>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</si>
  <si>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</si>
  <si>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</si>
  <si>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</si>
  <si>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</si>
  <si>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</si>
  <si>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</si>
  <si>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</si>
  <si>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</si>
  <si>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</si>
  <si>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</si>
  <si>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</si>
  <si>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</si>
  <si>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</si>
  <si>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</si>
  <si>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</si>
  <si>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</si>
  <si>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</si>
  <si>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</si>
  <si>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</si>
  <si>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</si>
  <si>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</si>
  <si>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</si>
  <si>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</si>
  <si>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</si>
  <si>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</si>
  <si>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</si>
  <si>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</si>
  <si>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</si>
  <si>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</si>
  <si>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</si>
  <si>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</si>
  <si>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</si>
  <si>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</si>
  <si>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</si>
  <si>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</si>
  <si>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</si>
  <si>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</si>
  <si>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</si>
  <si>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</si>
  <si>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</si>
  <si>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</si>
  <si>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</si>
  <si>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</si>
  <si>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</si>
  <si>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</si>
  <si>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</si>
  <si>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</si>
  <si>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</si>
  <si>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</si>
  <si>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</si>
  <si>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</si>
  <si>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</si>
  <si>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</si>
  <si>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</si>
  <si>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</si>
  <si>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</si>
  <si>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</si>
  <si>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</si>
  <si>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</si>
  <si>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</si>
  <si>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</si>
  <si>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</si>
  <si>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</si>
  <si>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</si>
  <si>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</si>
  <si>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</si>
  <si>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</si>
  <si>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</si>
  <si>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</si>
  <si>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</si>
  <si>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</si>
  <si>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</si>
  <si>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</si>
  <si>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</si>
  <si>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</si>
  <si>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</si>
  <si>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</si>
  <si>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</si>
  <si>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</si>
  <si>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</si>
  <si>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</si>
  <si>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</si>
  <si>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</si>
  <si>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</si>
  <si>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</si>
  <si>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</si>
  <si>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</si>
  <si>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</si>
  <si>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</si>
  <si>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</si>
  <si>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</si>
  <si>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</si>
  <si>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</si>
  <si>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</si>
  <si>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</si>
  <si>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</si>
  <si>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</si>
  <si>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</si>
  <si>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</si>
  <si>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</si>
  <si>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</si>
  <si>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</si>
  <si>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</si>
  <si>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</si>
  <si>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</si>
  <si>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</si>
  <si>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</si>
  <si>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</si>
  <si>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</si>
  <si>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</si>
  <si>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</si>
  <si>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</si>
  <si>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</si>
  <si>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</si>
  <si>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</si>
  <si>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</si>
  <si>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</si>
  <si>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</si>
  <si>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</si>
  <si>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</si>
  <si>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</si>
  <si>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</si>
  <si>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</si>
  <si>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</si>
  <si>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</si>
  <si>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</si>
  <si>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</si>
  <si>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</si>
  <si>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</si>
  <si>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</si>
  <si>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</si>
  <si>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</si>
  <si>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</si>
  <si>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</si>
  <si>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</si>
  <si>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</si>
  <si>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</si>
  <si>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</si>
  <si>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</si>
  <si>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</si>
  <si>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</si>
  <si>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</si>
  <si>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</si>
  <si>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</si>
  <si>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</si>
  <si>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</si>
  <si>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</si>
  <si>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</si>
  <si>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</si>
  <si>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</si>
  <si>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</si>
  <si>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</si>
  <si>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</si>
  <si>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</si>
  <si>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</si>
  <si>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</si>
  <si>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</si>
  <si>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</si>
  <si>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</si>
  <si>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</si>
  <si>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</si>
  <si>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</si>
  <si>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</si>
  <si>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</si>
  <si>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</si>
  <si>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</si>
  <si>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</si>
  <si>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</si>
  <si>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</si>
  <si>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</si>
  <si>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</si>
  <si>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</si>
  <si>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</si>
  <si>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</si>
  <si>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</si>
  <si>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</si>
  <si>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</si>
  <si>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</si>
  <si>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</si>
  <si>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</si>
  <si>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</si>
  <si>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</si>
  <si>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</si>
  <si>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</si>
  <si>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</si>
  <si>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</si>
  <si>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</si>
  <si>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</si>
  <si>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</si>
  <si>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</si>
  <si>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</si>
  <si>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</si>
  <si>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</si>
  <si>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</si>
  <si>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</si>
  <si>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</si>
  <si>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</si>
  <si>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</si>
  <si>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</si>
  <si>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</si>
  <si>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</si>
  <si>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</si>
  <si>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</si>
  <si>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</si>
  <si>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</si>
  <si>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</si>
  <si>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</si>
  <si>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</si>
  <si>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</si>
  <si>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</si>
  <si>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</si>
  <si>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</si>
  <si>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</si>
  <si>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</si>
  <si>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</si>
  <si>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</si>
  <si>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</si>
  <si>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</si>
  <si>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</si>
  <si>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</si>
  <si>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</si>
  <si>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</si>
  <si>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</si>
  <si>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</si>
  <si>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</si>
  <si>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</si>
  <si>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</si>
  <si>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</si>
  <si>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</si>
  <si>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</si>
  <si>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</si>
  <si>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</si>
  <si>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</si>
  <si>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</si>
  <si>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</si>
  <si>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</si>
  <si>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</si>
  <si>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</si>
  <si>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</si>
  <si>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</si>
  <si>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</si>
  <si>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</si>
  <si>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</si>
  <si>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</si>
  <si>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</si>
  <si>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</si>
  <si>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</si>
  <si>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</si>
  <si>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</si>
  <si>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</si>
  <si>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</si>
  <si>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</si>
  <si>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</si>
  <si>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</si>
  <si>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</si>
  <si>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</si>
  <si>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</si>
  <si>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</si>
  <si>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</si>
  <si>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</si>
  <si>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</si>
  <si>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</si>
  <si>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</si>
  <si>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</si>
  <si>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</si>
  <si>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</si>
  <si>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</si>
  <si>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</si>
  <si>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</si>
  <si>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</si>
  <si>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</si>
  <si>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</si>
  <si>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</si>
  <si>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</si>
  <si>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</si>
  <si>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</si>
  <si>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</si>
  <si>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</si>
  <si>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</si>
  <si>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</si>
  <si>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</si>
  <si>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</si>
  <si>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</si>
  <si>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</si>
  <si>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</si>
  <si>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</si>
  <si>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</si>
  <si>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</si>
  <si>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</si>
  <si>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</si>
  <si>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</si>
  <si>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</si>
  <si>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</si>
  <si>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</si>
  <si>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</si>
  <si>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</si>
  <si>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</si>
  <si>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</si>
  <si>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</si>
  <si>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</si>
  <si>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</si>
  <si>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</si>
  <si>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</si>
  <si>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</si>
  <si>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</si>
  <si>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</si>
  <si>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</si>
  <si>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</si>
  <si>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</si>
  <si>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</si>
  <si>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</si>
  <si>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</si>
  <si>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</si>
  <si>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</si>
  <si>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</si>
  <si>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</si>
  <si>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</si>
  <si>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</si>
  <si>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</si>
  <si>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</si>
  <si>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</si>
  <si>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</si>
  <si>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</si>
  <si>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</si>
  <si>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</si>
  <si>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</si>
  <si>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</si>
  <si>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</si>
  <si>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</si>
  <si>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</si>
  <si>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</si>
  <si>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</si>
  <si>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</si>
  <si>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</si>
  <si>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</si>
  <si>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</si>
  <si>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</si>
  <si>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</si>
  <si>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</si>
  <si>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</si>
  <si>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</si>
  <si>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</si>
  <si>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</si>
  <si>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</si>
  <si>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</si>
  <si>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</si>
  <si>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</si>
  <si>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</si>
  <si>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</si>
  <si>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</si>
  <si>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</si>
  <si>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</si>
  <si>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</si>
  <si>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</si>
  <si>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</si>
  <si>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</si>
  <si>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</si>
  <si>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</si>
  <si>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</si>
  <si>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</si>
  <si>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</si>
  <si>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</si>
  <si>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</si>
  <si>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</si>
  <si>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</si>
  <si>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</si>
  <si>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</si>
  <si>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</si>
  <si>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</si>
  <si>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</si>
  <si>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</si>
  <si>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</si>
  <si>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</si>
  <si>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</si>
  <si>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</si>
  <si>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</si>
  <si>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</si>
  <si>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</si>
  <si>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</si>
  <si>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</si>
  <si>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</si>
  <si>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</si>
  <si>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</si>
  <si>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</si>
  <si>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</si>
  <si>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</si>
  <si>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</si>
  <si>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</si>
  <si>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</si>
  <si>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</si>
  <si>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</si>
  <si>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</si>
  <si>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</si>
  <si>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</si>
  <si>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</si>
  <si>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</si>
  <si>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</si>
  <si>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</si>
  <si>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</si>
  <si>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</si>
  <si>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</si>
  <si>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</si>
  <si>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</si>
  <si>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</si>
  <si>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</si>
  <si>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</si>
  <si>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</si>
  <si>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</si>
  <si>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</si>
  <si>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</si>
  <si>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</si>
  <si>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</si>
  <si>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</si>
  <si>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</si>
  <si>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</si>
  <si>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</si>
  <si>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</si>
  <si>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</si>
  <si>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</si>
  <si>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</si>
  <si>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</si>
  <si>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</si>
  <si>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</si>
  <si>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</si>
  <si>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</si>
  <si>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</si>
  <si>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</si>
  <si>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</si>
  <si>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</si>
  <si>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</si>
  <si>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</si>
  <si>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</si>
  <si>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</si>
  <si>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</si>
  <si>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</si>
  <si>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</si>
  <si>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</si>
  <si>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</si>
  <si>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</si>
  <si>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</si>
  <si>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</si>
  <si>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</si>
  <si>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</si>
  <si>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</si>
  <si>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</si>
  <si>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</si>
  <si>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</si>
  <si>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</si>
  <si>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</si>
  <si>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</si>
  <si>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</si>
  <si>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</si>
  <si>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</si>
  <si>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</si>
  <si>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</si>
  <si>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</si>
  <si>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</si>
  <si>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</si>
  <si>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</si>
  <si>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</si>
  <si>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</si>
  <si>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</si>
  <si>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</si>
  <si>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</si>
  <si>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</si>
  <si>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</si>
  <si>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</si>
  <si>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</si>
  <si>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</si>
  <si>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</si>
  <si>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</si>
  <si>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</si>
  <si>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</si>
  <si>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</si>
  <si>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</si>
  <si>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</si>
  <si>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</si>
  <si>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</si>
  <si>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</si>
  <si>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</si>
  <si>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</si>
  <si>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</si>
  <si>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</si>
  <si>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</si>
  <si>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</si>
  <si>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</si>
  <si>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</si>
  <si>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</si>
  <si>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</si>
  <si>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</si>
  <si>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</si>
  <si>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</si>
  <si>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</si>
  <si>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</si>
  <si>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</si>
  <si>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</si>
  <si>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</si>
  <si>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</si>
  <si>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</si>
  <si>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</si>
  <si>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</si>
  <si>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</si>
  <si>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</si>
  <si>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</si>
  <si>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</si>
  <si>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</si>
  <si>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</si>
  <si>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</si>
  <si>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</si>
  <si>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</si>
  <si>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</si>
  <si>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</si>
  <si>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</si>
  <si>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</si>
  <si>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</si>
  <si>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</si>
  <si>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</si>
  <si>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</si>
  <si>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</si>
  <si>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</si>
  <si>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</si>
  <si>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</si>
  <si>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</si>
  <si>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</si>
  <si>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</si>
  <si>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</si>
  <si>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</si>
  <si>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</si>
  <si>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</si>
  <si>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</si>
  <si>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</si>
  <si>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</si>
  <si>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</si>
  <si>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</si>
  <si>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</si>
  <si>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</si>
  <si>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</si>
  <si>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</si>
  <si>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</si>
  <si>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</si>
  <si>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</si>
  <si>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</si>
  <si>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</si>
  <si>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</si>
  <si>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</si>
  <si>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</si>
  <si>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</si>
  <si>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</si>
  <si>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</si>
  <si>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</si>
  <si>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</si>
  <si>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</si>
  <si>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</si>
  <si>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</si>
  <si>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</si>
  <si>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</si>
  <si>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</si>
  <si>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</si>
  <si>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</si>
  <si>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</si>
  <si>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</si>
  <si>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</si>
  <si>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</si>
  <si>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</si>
  <si>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</si>
  <si>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</si>
  <si>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</si>
  <si>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</si>
  <si>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</si>
  <si>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</si>
  <si>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</si>
  <si>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</si>
  <si>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</si>
  <si>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</si>
  <si>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</si>
  <si>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</si>
  <si>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</si>
  <si>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</si>
  <si>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</si>
  <si>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</si>
  <si>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</si>
  <si>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</si>
  <si>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</si>
  <si>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</si>
  <si>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</si>
  <si>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</si>
  <si>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</si>
  <si>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</si>
  <si>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</si>
  <si>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</si>
  <si>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</si>
  <si>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</si>
  <si>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</si>
  <si>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</si>
  <si>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</si>
  <si>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</si>
  <si>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</si>
  <si>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</si>
  <si>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</si>
  <si>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</si>
  <si>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</si>
  <si>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</si>
  <si>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</si>
  <si>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</si>
  <si>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</si>
  <si>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</si>
  <si>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</si>
  <si>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</si>
  <si>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</si>
  <si>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</si>
  <si>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</si>
  <si>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</si>
  <si>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</si>
  <si>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</si>
  <si>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</si>
  <si>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</si>
  <si>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</si>
  <si>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</si>
  <si>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</si>
  <si>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</si>
  <si>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</si>
  <si>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</si>
  <si>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</si>
  <si>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</si>
  <si>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</si>
  <si>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</si>
  <si>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</si>
  <si>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</si>
  <si>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</si>
  <si>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</si>
  <si>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</si>
  <si>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</si>
  <si>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</si>
  <si>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</si>
  <si>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</si>
  <si>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</si>
  <si>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</si>
  <si>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</si>
  <si>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</si>
  <si>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</si>
  <si>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</si>
  <si>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</si>
  <si>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</si>
  <si>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</si>
  <si>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</si>
  <si>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</si>
  <si>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</si>
  <si>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</si>
  <si>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</si>
  <si>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</si>
  <si>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</si>
  <si>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</si>
  <si>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</si>
  <si>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</si>
  <si>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</si>
  <si>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</si>
  <si>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</si>
  <si>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</si>
  <si>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</si>
  <si>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</si>
  <si>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</si>
  <si>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</si>
  <si>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</si>
  <si>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</si>
  <si>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</si>
  <si>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</si>
  <si>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</si>
  <si>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</si>
  <si>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</si>
  <si>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</si>
  <si>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</si>
  <si>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</si>
  <si>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</si>
  <si>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</si>
  <si>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</si>
  <si>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</si>
  <si>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</si>
  <si>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</si>
  <si>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</si>
  <si>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</si>
  <si>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</si>
  <si>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</si>
  <si>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</si>
  <si>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</si>
  <si>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</si>
  <si>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</si>
  <si>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</si>
  <si>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</si>
  <si>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</si>
  <si>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</si>
  <si>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</si>
  <si>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</si>
  <si>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</si>
  <si>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</si>
  <si>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</si>
  <si>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</si>
  <si>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</si>
  <si>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</si>
  <si>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</si>
  <si>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</si>
  <si>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</si>
  <si>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</si>
  <si>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</si>
  <si>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</si>
  <si>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</si>
  <si>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</si>
  <si>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</si>
  <si>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</si>
  <si>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</si>
  <si>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</si>
  <si>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</si>
  <si>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</si>
  <si>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</si>
  <si>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</si>
  <si>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</si>
  <si>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</si>
  <si>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</si>
  <si>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</si>
  <si>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</si>
  <si>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</si>
  <si>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</si>
  <si>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</si>
  <si>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</si>
  <si>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</si>
  <si>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</si>
  <si>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</si>
  <si>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</si>
  <si>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</si>
  <si>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</si>
  <si>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</si>
  <si>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</si>
  <si>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</si>
  <si>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</si>
  <si>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</si>
  <si>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</si>
  <si>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</si>
  <si>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</si>
  <si>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</si>
  <si>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</si>
  <si>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</si>
  <si>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</si>
  <si>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</si>
  <si>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</si>
  <si>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</si>
  <si>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</si>
  <si>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</si>
  <si>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</si>
  <si>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</si>
  <si>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</si>
  <si>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</si>
  <si>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</si>
  <si>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</si>
  <si>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</si>
  <si>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</si>
  <si>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</si>
  <si>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</si>
  <si>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</si>
  <si>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</si>
  <si>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</si>
  <si>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</si>
  <si>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</si>
  <si>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</si>
  <si>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</si>
  <si>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</si>
  <si>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</si>
  <si>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</si>
  <si>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</si>
  <si>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</si>
  <si>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</si>
  <si>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</si>
  <si>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</si>
  <si>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</si>
  <si>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</si>
  <si>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</si>
  <si>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</si>
  <si>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</si>
  <si>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</si>
  <si>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</si>
  <si>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</si>
  <si>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</si>
  <si>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</si>
  <si>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</si>
  <si>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</si>
  <si>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</si>
  <si>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</si>
  <si>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</si>
  <si>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</si>
  <si>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</si>
  <si>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</si>
  <si>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</si>
  <si>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</si>
  <si>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</si>
  <si>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</si>
  <si>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</si>
  <si>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</si>
  <si>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</si>
  <si>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</si>
  <si>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</si>
  <si>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</si>
  <si>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</si>
  <si>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</si>
  <si>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</si>
  <si>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</si>
  <si>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</si>
  <si>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</si>
  <si>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</si>
  <si>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</si>
  <si>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</si>
  <si>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</si>
  <si>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</si>
  <si>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</si>
  <si>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</si>
  <si>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</si>
  <si>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</si>
  <si>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</si>
  <si>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</si>
  <si>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</si>
  <si>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</si>
  <si>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</si>
  <si>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</si>
  <si>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</si>
  <si>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3" type="noConversion"/>
  </si>
  <si>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</si>
  <si>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</si>
  <si>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</si>
  <si>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</si>
  <si>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</si>
  <si>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</si>
  <si>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</si>
  <si>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已注销</t>
  </si>
  <si>
    <t>成本比率</t>
  </si>
  <si>
    <t>全部缴纳</t>
  </si>
  <si>
    <t>城市支路——永昌东四路</t>
    <phoneticPr fontId="25" type="noConversion"/>
  </si>
  <si>
    <t>较差</t>
  </si>
  <si>
    <t>平整</t>
  </si>
  <si>
    <t>钢混</t>
  </si>
  <si>
    <t>非生产用房</t>
  </si>
  <si>
    <t>负2层</t>
    <phoneticPr fontId="143" type="noConversion"/>
  </si>
  <si>
    <t>负1层</t>
    <phoneticPr fontId="143" type="noConversion"/>
  </si>
  <si>
    <t>负4层</t>
  </si>
  <si>
    <t>负3层</t>
  </si>
  <si>
    <t>建筑面积</t>
    <phoneticPr fontId="143" type="noConversion"/>
  </si>
  <si>
    <t>人防</t>
    <phoneticPr fontId="143" type="noConversion"/>
  </si>
  <si>
    <t>收益面积</t>
    <phoneticPr fontId="143" type="noConversion"/>
  </si>
  <si>
    <t>单价</t>
    <phoneticPr fontId="143" type="noConversion"/>
  </si>
  <si>
    <t>总价</t>
    <phoneticPr fontId="143" type="noConversion"/>
  </si>
  <si>
    <t>修正系数</t>
    <phoneticPr fontId="143" type="noConversion"/>
  </si>
  <si>
    <t>楼层</t>
    <phoneticPr fontId="143" type="noConversion"/>
  </si>
  <si>
    <r>
      <t>写字楼租2</t>
    </r>
    <r>
      <rPr>
        <sz val="11"/>
        <color theme="1"/>
        <rFont val="宋体"/>
        <family val="3"/>
        <charset val="134"/>
        <scheme val="minor"/>
      </rPr>
      <t>.5-4元</t>
    </r>
    <phoneticPr fontId="143" type="noConversion"/>
  </si>
  <si>
    <r>
      <t>写字楼收3</t>
    </r>
    <r>
      <rPr>
        <sz val="11"/>
        <color theme="1"/>
        <rFont val="宋体"/>
        <family val="3"/>
        <charset val="134"/>
        <scheme val="minor"/>
      </rPr>
      <t>-4万</t>
    </r>
    <phoneticPr fontId="143" type="noConversion"/>
  </si>
  <si>
    <r>
      <t>租金1层</t>
    </r>
    <r>
      <rPr>
        <sz val="11"/>
        <color theme="1"/>
        <rFont val="宋体"/>
        <family val="3"/>
        <charset val="134"/>
        <scheme val="minor"/>
      </rPr>
      <t>8元</t>
    </r>
    <phoneticPr fontId="143" type="noConversion"/>
  </si>
  <si>
    <t>商铺1层售3.5-5万</t>
    <phoneticPr fontId="143" type="noConversion"/>
  </si>
  <si>
    <r>
      <t>均价2</t>
    </r>
    <r>
      <rPr>
        <sz val="11"/>
        <color theme="1"/>
        <rFont val="宋体"/>
        <family val="3"/>
        <charset val="134"/>
        <scheme val="minor"/>
      </rPr>
      <t>.1万</t>
    </r>
    <phoneticPr fontId="143" type="noConversion"/>
  </si>
  <si>
    <t>Ⅶ-兴1</t>
  </si>
  <si>
    <t>商业</t>
    <phoneticPr fontId="7"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</si>
  <si>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</si>
  <si>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</si>
  <si>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</si>
  <si>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</si>
  <si>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</si>
  <si>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</si>
  <si>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</si>
  <si>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</si>
  <si>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</si>
  <si>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</si>
  <si>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</si>
  <si>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</si>
  <si>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</si>
  <si>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</si>
  <si>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</si>
  <si>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</si>
  <si>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</si>
  <si>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</si>
  <si>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</si>
  <si>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</si>
  <si>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</si>
  <si>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</si>
  <si>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</si>
  <si>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</si>
  <si>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</si>
  <si>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</si>
  <si>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</si>
  <si>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</si>
  <si>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</si>
  <si>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</si>
  <si>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</si>
  <si>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</si>
  <si>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</si>
  <si>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</si>
  <si>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</si>
  <si>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</si>
  <si>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</si>
  <si>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</si>
  <si>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</si>
  <si>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</si>
  <si>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</si>
  <si>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</si>
  <si>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</si>
  <si>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</si>
  <si>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</si>
  <si>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</si>
  <si>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</si>
  <si>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</si>
  <si>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</si>
  <si>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</si>
  <si>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</si>
  <si>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</si>
  <si>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</si>
  <si>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</si>
  <si>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</si>
  <si>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</si>
  <si>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</si>
  <si>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</si>
  <si>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</si>
  <si>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</si>
  <si>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</si>
  <si>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</si>
  <si>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</si>
  <si>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</si>
  <si>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</si>
  <si>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</si>
  <si>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</si>
  <si>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</si>
  <si>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</si>
  <si>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</si>
  <si>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</si>
  <si>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</si>
  <si>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</si>
  <si>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</si>
  <si>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</si>
  <si>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</si>
  <si>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</si>
  <si>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</si>
  <si>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</si>
  <si>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</si>
  <si>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</si>
  <si>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</si>
  <si>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</si>
  <si>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</si>
  <si>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</si>
  <si>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</si>
  <si>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</si>
  <si>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</si>
  <si>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</si>
  <si>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</si>
  <si>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</si>
  <si>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</si>
  <si>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</si>
  <si>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</si>
  <si>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</si>
  <si>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</si>
  <si>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</si>
  <si>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</si>
  <si>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</si>
  <si>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</si>
  <si>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</si>
  <si>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</si>
  <si>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</si>
  <si>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</si>
  <si>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</si>
  <si>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</si>
  <si>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</si>
  <si>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</si>
  <si>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</si>
  <si>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</si>
  <si>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</si>
  <si>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</si>
  <si>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</si>
  <si>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</si>
  <si>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</si>
  <si>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</si>
  <si>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</si>
  <si>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</si>
  <si>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</si>
  <si>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</si>
  <si>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</si>
  <si>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</si>
  <si>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</si>
  <si>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</si>
  <si>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</si>
  <si>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</si>
  <si>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</si>
  <si>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</si>
  <si>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</si>
  <si>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</si>
  <si>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</si>
  <si>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</si>
  <si>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</si>
  <si>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</si>
  <si>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</si>
  <si>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</si>
  <si>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</si>
  <si>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</si>
  <si>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</si>
  <si>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</si>
  <si>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</si>
  <si>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</si>
  <si>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</si>
  <si>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</si>
  <si>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</si>
  <si>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</si>
  <si>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</si>
  <si>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</si>
  <si>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</si>
  <si>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</si>
  <si>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</si>
  <si>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</si>
  <si>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</si>
  <si>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</si>
  <si>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</si>
  <si>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</si>
  <si>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</si>
  <si>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</si>
  <si>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</si>
  <si>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</si>
  <si>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</si>
  <si>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3" type="noConversion"/>
  </si>
  <si>
    <t>正常</t>
  </si>
  <si>
    <t>商业</t>
    <phoneticPr fontId="31" type="noConversion"/>
  </si>
  <si>
    <t>其他类多功能</t>
  </si>
  <si>
    <t>较规则</t>
    <phoneticPr fontId="31" type="noConversion"/>
  </si>
  <si>
    <t>较不规则</t>
    <phoneticPr fontId="31" type="noConversion"/>
  </si>
  <si>
    <t>较适宜</t>
  </si>
  <si>
    <t>较适宜</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</si>
  <si>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</si>
  <si>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</si>
  <si>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</si>
  <si>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</si>
  <si>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</si>
  <si>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</si>
  <si>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</si>
  <si>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</si>
  <si>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主干道</t>
    <phoneticPr fontId="31" type="noConversion"/>
  </si>
  <si>
    <t>次干道</t>
    <phoneticPr fontId="31" type="noConversion"/>
  </si>
  <si>
    <t>支路</t>
    <phoneticPr fontId="31" type="noConversion"/>
  </si>
  <si>
    <t>售价</t>
  </si>
  <si>
    <t>无</t>
    <phoneticPr fontId="31" type="noConversion"/>
  </si>
  <si>
    <t>负2层</t>
  </si>
  <si>
    <t>负1层</t>
  </si>
  <si>
    <t>典型户型修正</t>
    <phoneticPr fontId="16" type="noConversion"/>
  </si>
  <si>
    <t>商业</t>
    <phoneticPr fontId="31" type="noConversion"/>
  </si>
  <si>
    <t>20-30（含）</t>
  </si>
  <si>
    <t>单面临街</t>
  </si>
  <si>
    <t>超高</t>
    <phoneticPr fontId="31" type="noConversion"/>
  </si>
  <si>
    <t>嘉悦广场</t>
    <phoneticPr fontId="3" type="noConversion"/>
  </si>
  <si>
    <t>标准</t>
  </si>
  <si>
    <t>标准</t>
    <phoneticPr fontId="31" type="noConversion"/>
  </si>
  <si>
    <t>可餐饮</t>
  </si>
  <si>
    <t>可餐饮</t>
    <phoneticPr fontId="31" type="noConversion"/>
  </si>
  <si>
    <t>双面临街</t>
    <phoneticPr fontId="31" type="noConversion"/>
  </si>
  <si>
    <t>商业街商铺</t>
  </si>
  <si>
    <t>商业街商铺</t>
    <phoneticPr fontId="31" type="noConversion"/>
  </si>
  <si>
    <t>独栋商铺</t>
    <phoneticPr fontId="31" type="noConversion"/>
  </si>
  <si>
    <t>写字楼底商</t>
    <phoneticPr fontId="31" type="noConversion"/>
  </si>
  <si>
    <t>住宅底商</t>
    <phoneticPr fontId="31" type="noConversion"/>
  </si>
  <si>
    <t>商业综合体</t>
  </si>
  <si>
    <t>商业综合体</t>
    <phoneticPr fontId="31" type="noConversion"/>
  </si>
  <si>
    <t>30-40（含）</t>
  </si>
  <si>
    <t>星光影视园</t>
    <phoneticPr fontId="31" type="noConversion"/>
  </si>
  <si>
    <t>五通</t>
    <phoneticPr fontId="31" type="noConversion"/>
  </si>
  <si>
    <t>不可餐饮</t>
    <phoneticPr fontId="31" type="noConversion"/>
  </si>
  <si>
    <t>精装</t>
  </si>
  <si>
    <t>精装</t>
    <phoneticPr fontId="31" type="noConversion"/>
  </si>
  <si>
    <t>简装</t>
    <phoneticPr fontId="31" type="noConversion"/>
  </si>
  <si>
    <t>毛坯</t>
    <phoneticPr fontId="31" type="noConversion"/>
  </si>
  <si>
    <t>普装</t>
    <phoneticPr fontId="31" type="noConversion"/>
  </si>
  <si>
    <t>大</t>
    <phoneticPr fontId="31" type="noConversion"/>
  </si>
  <si>
    <t>较大</t>
  </si>
  <si>
    <t>较大</t>
    <phoneticPr fontId="31" type="noConversion"/>
  </si>
  <si>
    <t>一般</t>
    <phoneticPr fontId="31" type="noConversion"/>
  </si>
  <si>
    <t>好</t>
    <phoneticPr fontId="31" type="noConversion"/>
  </si>
  <si>
    <t>多面临街</t>
    <phoneticPr fontId="31" type="noConversion"/>
  </si>
  <si>
    <t>双面临街</t>
    <phoneticPr fontId="31" type="noConversion"/>
  </si>
  <si>
    <t>单面临街</t>
    <phoneticPr fontId="31" type="noConversion"/>
  </si>
  <si>
    <t>临内部道路</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</si>
  <si>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</si>
  <si>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</si>
  <si>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</si>
  <si>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1层</t>
  </si>
  <si>
    <t>车库</t>
  </si>
  <si>
    <t>车库</t>
    <phoneticPr fontId="3" type="noConversion"/>
  </si>
  <si>
    <t>车库</t>
    <phoneticPr fontId="7" type="noConversion"/>
  </si>
  <si>
    <t>车库—商业</t>
  </si>
  <si>
    <t>收益法 (车库)</t>
    <phoneticPr fontId="16" type="noConversion"/>
  </si>
  <si>
    <t>分层建筑面积</t>
  </si>
  <si>
    <t>层次</t>
  </si>
  <si>
    <t>非人防</t>
  </si>
  <si>
    <t>汽车库</t>
  </si>
  <si>
    <t>超市、自行车库</t>
  </si>
  <si>
    <t>商业用房</t>
  </si>
  <si>
    <t>附属用房</t>
  </si>
  <si>
    <t>较规则</t>
  </si>
  <si>
    <t>多面临街</t>
  </si>
  <si>
    <t>高速路</t>
    <phoneticPr fontId="31" type="noConversion"/>
  </si>
  <si>
    <t>经海路</t>
    <phoneticPr fontId="31" type="noConversion"/>
  </si>
  <si>
    <t>芦求路</t>
    <phoneticPr fontId="31" type="noConversion"/>
  </si>
  <si>
    <t>北兴路</t>
    <phoneticPr fontId="31" type="noConversion"/>
  </si>
  <si>
    <t>支路</t>
  </si>
  <si>
    <t>次干道</t>
  </si>
  <si>
    <r>
      <t>2014</t>
    </r>
    <r>
      <rPr>
        <sz val="10"/>
        <color indexed="8"/>
        <rFont val="宋体"/>
        <family val="3"/>
        <charset val="134"/>
      </rPr>
      <t>年建成</t>
    </r>
    <phoneticPr fontId="3" type="noConversion"/>
  </si>
  <si>
    <r>
      <t>约5</t>
    </r>
    <r>
      <rPr>
        <sz val="11"/>
        <color theme="1"/>
        <rFont val="宋体"/>
        <family val="3"/>
        <charset val="134"/>
        <scheme val="minor"/>
      </rPr>
      <t>00平为自行车库</t>
    </r>
    <phoneticPr fontId="143" type="noConversion"/>
  </si>
  <si>
    <r>
      <rPr>
        <sz val="10"/>
        <color indexed="8"/>
        <rFont val="宋体"/>
        <family val="3"/>
        <charset val="134"/>
      </rPr>
      <t>地下</t>
    </r>
    <r>
      <rPr>
        <sz val="10"/>
        <color indexed="8"/>
        <rFont val="Arial"/>
        <family val="2"/>
      </rPr>
      <t>1</t>
    </r>
    <r>
      <rPr>
        <sz val="10"/>
        <color indexed="8"/>
        <rFont val="宋体"/>
        <family val="3"/>
        <charset val="134"/>
      </rPr>
      <t>层自行车库</t>
    </r>
    <phoneticPr fontId="3" type="noConversion"/>
  </si>
  <si>
    <t>附属用房</t>
    <phoneticPr fontId="3" type="noConversion"/>
  </si>
  <si>
    <t>地上商业用房</t>
    <phoneticPr fontId="3" type="noConversion"/>
  </si>
  <si>
    <t>地下商业用房</t>
    <phoneticPr fontId="3" type="noConversion"/>
  </si>
  <si>
    <t>建筑面积</t>
    <phoneticPr fontId="3" type="noConversion"/>
  </si>
  <si>
    <t>单价</t>
    <phoneticPr fontId="3" type="noConversion"/>
  </si>
  <si>
    <t>地下车库</t>
    <phoneticPr fontId="3" type="noConversion"/>
  </si>
  <si>
    <t>设备用房</t>
    <phoneticPr fontId="3" type="noConversion"/>
  </si>
  <si>
    <t>总价</t>
    <phoneticPr fontId="3" type="noConversion"/>
  </si>
  <si>
    <t>1-2层</t>
  </si>
  <si>
    <t>2019-1-0623-P01DYGJ2</t>
    <phoneticPr fontId="6" type="noConversion"/>
  </si>
  <si>
    <t>王鹏</t>
  </si>
  <si>
    <t>郑燚</t>
  </si>
  <si>
    <t xml:space="preserve">北京鸿坤伟业房地产开发有限公司 </t>
    <phoneticPr fontId="6" type="noConversion"/>
  </si>
  <si>
    <t>渤海银行股份有限公司北京分行</t>
    <phoneticPr fontId="6" type="noConversion"/>
  </si>
  <si>
    <t>大兴区欣旺北大街8号1幢商业用房</t>
    <phoneticPr fontId="6" type="noConversion"/>
  </si>
  <si>
    <t>商业、地下车库</t>
    <phoneticPr fontId="6"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</si>
  <si>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</si>
  <si>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6"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</si>
  <si>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</si>
  <si>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</si>
  <si>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6" type="noConversion"/>
  </si>
  <si>
    <t>自定义</t>
  </si>
  <si>
    <t>较不规则</t>
  </si>
  <si>
    <t>次干道——宏福路</t>
    <phoneticPr fontId="31" type="noConversion"/>
  </si>
  <si>
    <t>无</t>
    <phoneticPr fontId="31" type="noConversion"/>
  </si>
  <si>
    <t>权益修正</t>
    <phoneticPr fontId="31" type="noConversion"/>
  </si>
  <si>
    <t>自持</t>
    <phoneticPr fontId="31" type="noConversion"/>
  </si>
  <si>
    <t>自持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</si>
</sst>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176" fontId="50" fillId="6" borderId="0" xfId="0" applyNumberFormat="1" applyFont="1" applyFill="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56" fillId="0" borderId="1" xfId="1" applyNumberFormat="1" applyFont="1" applyFill="1" applyBorder="1" applyAlignment="1" applyProtection="1">
      <alignment horizontal="center" vertical="center"/>
      <protection locked="0"/>
    </xf>
    <xf numFmtId="0" fontId="99" fillId="0" borderId="0" xfId="0" applyFont="1" applyAlignment="1"/>
    <xf numFmtId="0" fontId="0" fillId="5" borderId="0" xfId="0" applyFill="1" applyAlignment="1"/>
    <xf numFmtId="0" fontId="0" fillId="0" borderId="0" xfId="0" applyFill="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0" fillId="0" borderId="0" xfId="0" applyFont="1" applyFill="1" applyAlignment="1">
      <alignment horizontal="center" vertical="center" wrapText="1"/>
    </xf>
    <xf numFmtId="0" fontId="130" fillId="0" borderId="58" xfId="0" applyFont="1" applyFill="1" applyBorder="1" applyAlignment="1">
      <alignment vertical="center" wrapText="1"/>
    </xf>
    <xf numFmtId="0" fontId="99" fillId="19" borderId="1" xfId="0" applyFont="1" applyFill="1" applyBorder="1" applyAlignment="1">
      <alignment horizontal="center" vertical="center"/>
    </xf>
    <xf numFmtId="0" fontId="0" fillId="19" borderId="0" xfId="0" applyFill="1">
      <alignment vertical="center"/>
    </xf>
    <xf numFmtId="0" fontId="0" fillId="19" borderId="1" xfId="0" applyFill="1" applyBorder="1" applyAlignment="1">
      <alignment horizontal="center" vertical="center"/>
    </xf>
    <xf numFmtId="0" fontId="99" fillId="19" borderId="0" xfId="0" applyFont="1" applyFill="1">
      <alignment vertical="center"/>
    </xf>
    <xf numFmtId="49" fontId="224" fillId="0" borderId="4" xfId="0" applyNumberFormat="1" applyFont="1" applyFill="1" applyBorder="1" applyAlignment="1" applyProtection="1">
      <alignment horizontal="left" vertical="center"/>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98" fillId="18" borderId="14" xfId="0" applyNumberFormat="1" applyFont="1" applyFill="1" applyBorder="1" applyAlignment="1" applyProtection="1">
      <alignment horizontal="center" vertical="center" wrapText="1"/>
      <protection locked="0"/>
    </xf>
    <xf numFmtId="0" fontId="54" fillId="18" borderId="6" xfId="0" applyNumberFormat="1" applyFont="1" applyFill="1" applyBorder="1" applyAlignment="1" applyProtection="1">
      <alignment horizontal="center" vertical="center" wrapText="1"/>
      <protection locked="0"/>
    </xf>
    <xf numFmtId="49" fontId="54" fillId="18" borderId="23"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37" fillId="6" borderId="0" xfId="0" applyFont="1" applyFill="1" applyAlignment="1" applyProtection="1">
      <alignment horizontal="center" vertical="center"/>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14" fontId="225" fillId="0" borderId="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0" fillId="0" borderId="58" xfId="0" applyFont="1" applyFill="1" applyBorder="1" applyAlignment="1">
      <alignment horizontal="center" vertical="center" wrapText="1"/>
    </xf>
    <xf numFmtId="0" fontId="130" fillId="0" borderId="0" xfId="0" applyFont="1" applyFill="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23-P01DYGJ2&#40511;&#22372;&#25955;&#38138;&#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抵押物清单（分楼）"/>
      <sheetName val="数据-取费表"/>
      <sheetName val="估价对象房地状况"/>
      <sheetName val="系统读取表"/>
      <sheetName val="结果表"/>
      <sheetName val="成本法"/>
      <sheetName val="成本法 (元)"/>
      <sheetName val="假设开发法"/>
      <sheetName val="基准地价修正"/>
      <sheetName val="地价"/>
      <sheetName val="土地比较法-住宅、综合"/>
      <sheetName val="收益法"/>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3">
          <cell r="I13">
            <v>17676.37</v>
          </cell>
        </row>
      </sheetData>
      <sheetData sheetId="12"/>
      <sheetData sheetId="13"/>
      <sheetData sheetId="14"/>
      <sheetData sheetId="15"/>
      <sheetData sheetId="16"/>
      <sheetData sheetId="17">
        <row r="19">
          <cell r="G19">
            <v>59036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2019年10月18日（评估专业人员实地查勘之日）</v>
      </c>
    </row>
    <row r="13" spans="1:2" s="1589" customFormat="1">
      <c r="A13" s="1587" t="s">
        <v>1223</v>
      </c>
      <c r="B13" s="1588" t="str">
        <f>'预评函-1'!A18</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241017</v>
      </c>
    </row>
    <row r="21" spans="1:2" s="1589" customFormat="1">
      <c r="A21" s="1587" t="s">
        <v>1231</v>
      </c>
      <c r="B21" s="1588">
        <f ca="1">'预评函-2'!D7</f>
        <v>23745</v>
      </c>
    </row>
    <row r="22" spans="1:2" s="1589" customFormat="1">
      <c r="A22" s="1587" t="s">
        <v>1232</v>
      </c>
      <c r="B22" s="1588" t="str">
        <f ca="1">'预评函-2'!D6</f>
        <v>贰拾肆亿壹仟零壹拾柒万元整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241017</v>
      </c>
    </row>
    <row r="35" spans="1:2" s="1589" customFormat="1">
      <c r="A35" s="1587" t="s">
        <v>1271</v>
      </c>
      <c r="B35" s="1588">
        <f ca="1">'预评函-2'!D18</f>
        <v>23745</v>
      </c>
    </row>
    <row r="36" spans="1:2" s="1589" customFormat="1">
      <c r="A36" s="1587" t="s">
        <v>1238</v>
      </c>
      <c r="B36" s="1588" t="str">
        <f ca="1">'预评函-2'!D17</f>
        <v>贰拾肆亿壹仟零壹拾柒万元整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101504.34</v>
      </c>
    </row>
    <row r="44" spans="1:2" s="1589" customFormat="1">
      <c r="A44" s="1587" t="s">
        <v>1269</v>
      </c>
      <c r="B44" s="1588" t="str">
        <f>'预评函-3'!C2</f>
        <v>(分摊)土地面积</v>
      </c>
    </row>
    <row r="45" spans="1:2" s="1589" customFormat="1">
      <c r="A45" s="1587" t="s">
        <v>1241</v>
      </c>
      <c r="B45" s="1588">
        <f>'预评函-3'!C4</f>
        <v>25666.1</v>
      </c>
    </row>
    <row r="46" spans="1:2" s="1589" customFormat="1">
      <c r="A46" s="1587" t="s">
        <v>1267</v>
      </c>
      <c r="B46" s="1588" t="str">
        <f>'预评函-3'!D2</f>
        <v>出让国有建设用地使用权价值</v>
      </c>
    </row>
    <row r="47" spans="1:2" s="1589" customFormat="1">
      <c r="A47" s="1587" t="s">
        <v>1242</v>
      </c>
      <c r="B47" s="1588">
        <f ca="1">'预评函-3'!D4</f>
        <v>170640</v>
      </c>
    </row>
    <row r="48" spans="1:2" s="1589" customFormat="1">
      <c r="A48" s="1587" t="s">
        <v>1243</v>
      </c>
      <c r="B48" s="1588">
        <f ca="1">'预评函-3'!E4</f>
        <v>16812</v>
      </c>
    </row>
    <row r="49" spans="1:2" s="1589" customFormat="1">
      <c r="A49" s="1587" t="s">
        <v>1244</v>
      </c>
      <c r="B49" s="1588" t="str">
        <f ca="1">'预评函-3'!D5</f>
        <v>壹拾柒亿零陆佰肆拾万元整</v>
      </c>
    </row>
    <row r="50" spans="1:2" s="1589" customFormat="1">
      <c r="A50" s="1587" t="s">
        <v>1268</v>
      </c>
      <c r="B50" s="1588" t="str">
        <f>'预评函-3'!F2</f>
        <v>在建建筑物价值</v>
      </c>
    </row>
    <row r="51" spans="1:2" s="1589" customFormat="1">
      <c r="A51" s="1587" t="s">
        <v>1245</v>
      </c>
      <c r="B51" s="1588">
        <f ca="1">'预评函-3'!F4</f>
        <v>70377</v>
      </c>
    </row>
    <row r="52" spans="1:2" s="1589" customFormat="1">
      <c r="A52" s="1587" t="s">
        <v>1246</v>
      </c>
      <c r="B52" s="1588">
        <f ca="1">'预评函-3'!G4</f>
        <v>6933</v>
      </c>
    </row>
    <row r="53" spans="1:2" s="1589" customFormat="1">
      <c r="A53" s="1587" t="s">
        <v>1274</v>
      </c>
      <c r="B53" s="1588" t="str">
        <f ca="1">'预评函-3'!F5</f>
        <v>柒亿零叁佰柒拾柒万元整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3292</v>
      </c>
      <c r="C17" s="2010"/>
    </row>
    <row r="18" spans="1:3">
      <c r="A18" s="2009" t="s">
        <v>1762</v>
      </c>
      <c r="B18" s="2009" t="s">
        <v>3336</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6"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7" t="s">
        <v>861</v>
      </c>
      <c r="C54" s="2014" t="s">
        <v>1277</v>
      </c>
    </row>
    <row r="55" spans="1:4">
      <c r="A55" s="3056"/>
      <c r="B55" s="2017" t="s">
        <v>862</v>
      </c>
      <c r="C55" s="2014" t="s">
        <v>1278</v>
      </c>
    </row>
    <row r="56" spans="1:4">
      <c r="A56" s="3056"/>
      <c r="B56" s="2017" t="s">
        <v>863</v>
      </c>
      <c r="C56" s="2014" t="s">
        <v>1282</v>
      </c>
    </row>
    <row r="57" spans="1:4">
      <c r="A57" s="3056"/>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27" customWidth="1"/>
    <col min="2" max="2" width="12.5" style="2027" customWidth="1"/>
    <col min="3" max="3" width="11.5" style="2027" customWidth="1"/>
    <col min="4" max="4" width="12.37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1771</v>
      </c>
      <c r="B1" s="3057"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58"/>
      <c r="D1" s="3058"/>
      <c r="E1" s="3058"/>
      <c r="F1" s="3058"/>
      <c r="G1" s="3058"/>
      <c r="H1" s="3058"/>
      <c r="I1" s="305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21" t="s">
        <v>1772</v>
      </c>
      <c r="B2" s="1036" t="s">
        <v>3364</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30" t="s">
        <v>1773</v>
      </c>
      <c r="B3" s="2031">
        <v>43756</v>
      </c>
      <c r="C3" s="2032" t="s">
        <v>1774</v>
      </c>
      <c r="D3" s="2031">
        <f>B3</f>
        <v>43756</v>
      </c>
      <c r="E3" s="2021"/>
      <c r="F3" s="2021"/>
      <c r="G3" s="2021"/>
      <c r="H3" s="2021"/>
      <c r="I3" s="2021"/>
      <c r="J3" s="2021"/>
      <c r="K3" s="2022"/>
      <c r="L3" s="2023"/>
      <c r="M3" s="2023"/>
      <c r="N3" s="2024"/>
      <c r="O3" s="2025"/>
      <c r="P3" s="2024"/>
      <c r="Q3" s="2024"/>
      <c r="R3" s="2024"/>
      <c r="S3" s="2026"/>
    </row>
    <row r="4" spans="1:19" ht="18" customHeight="1" thickBot="1">
      <c r="A4" s="2033" t="s">
        <v>1775</v>
      </c>
      <c r="B4" s="2034" t="s">
        <v>3365</v>
      </c>
      <c r="C4" s="1034">
        <f ca="1">SUMIF(注册房地产估价师,B4,估价师及机构信息!B3:B24)</f>
        <v>1120050019</v>
      </c>
      <c r="D4" s="2034" t="s">
        <v>3366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5" t="s">
        <v>3367</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6" t="s">
        <v>3368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 xml:space="preserve">北京鸿坤伟业房地产开发有限公司 </v>
      </c>
      <c r="C7" s="2043"/>
      <c r="D7" s="2044"/>
      <c r="E7" s="2029"/>
      <c r="F7" s="2037"/>
      <c r="G7" s="2037"/>
      <c r="H7" s="2037"/>
      <c r="I7" s="2037"/>
      <c r="J7" s="2037"/>
      <c r="K7" s="2047"/>
      <c r="L7" s="2023"/>
      <c r="M7" s="2023"/>
      <c r="N7" s="2024"/>
      <c r="O7" s="2025"/>
      <c r="P7" s="2024"/>
      <c r="Q7" s="2024"/>
      <c r="R7" s="2024"/>
    </row>
    <row r="8" spans="1:19" ht="18" customHeight="1">
      <c r="A8" s="2042" t="s">
        <v>1779</v>
      </c>
      <c r="B8" s="2048" t="s">
        <v>3045</v>
      </c>
      <c r="C8" s="2049"/>
      <c r="D8" s="3060" t="s">
        <v>1780</v>
      </c>
      <c r="E8" s="2050" t="s">
        <v>3082</v>
      </c>
      <c r="F8" s="2051"/>
      <c r="G8" s="2021"/>
      <c r="H8" s="2021"/>
      <c r="I8" s="2021"/>
      <c r="J8" s="2037"/>
      <c r="K8" s="2038"/>
      <c r="L8" s="2023"/>
      <c r="M8" s="2023"/>
      <c r="N8" s="2024"/>
      <c r="O8" s="2025"/>
      <c r="P8" s="2024"/>
      <c r="Q8" s="2024"/>
      <c r="R8" s="2024"/>
    </row>
    <row r="9" spans="1:19" ht="18" customHeight="1" thickBot="1">
      <c r="A9" s="2035" t="s">
        <v>1781</v>
      </c>
      <c r="B9" s="2052" t="s">
        <v>3046</v>
      </c>
      <c r="C9" s="2053"/>
      <c r="D9" s="3061"/>
      <c r="E9" s="2052"/>
      <c r="F9" s="2054"/>
      <c r="G9" s="2055"/>
      <c r="H9" s="2055"/>
      <c r="I9" s="2055"/>
      <c r="J9" s="2037"/>
      <c r="K9" s="2047"/>
      <c r="L9" s="2023"/>
      <c r="M9" s="2023"/>
      <c r="N9" s="2024"/>
      <c r="O9" s="2025"/>
      <c r="P9" s="2024"/>
      <c r="Q9" s="2024"/>
      <c r="R9" s="2024"/>
    </row>
    <row r="10" spans="1:19" ht="18" customHeight="1" thickTop="1">
      <c r="A10" s="2056" t="s">
        <v>1782</v>
      </c>
      <c r="B10" s="2057" t="s">
        <v>3047</v>
      </c>
      <c r="C10" s="2058"/>
      <c r="D10" s="2041"/>
      <c r="E10" s="2059" t="s">
        <v>1783</v>
      </c>
      <c r="F10" s="3000" t="s">
        <v>3369</v>
      </c>
      <c r="G10" s="2060"/>
      <c r="H10" s="2061"/>
      <c r="I10" s="2041"/>
      <c r="J10" s="2037"/>
      <c r="K10" s="2047"/>
      <c r="L10" s="2023"/>
      <c r="M10" s="2023"/>
      <c r="N10" s="2024"/>
      <c r="O10" s="2025"/>
      <c r="P10" s="2024"/>
      <c r="Q10" s="2024"/>
      <c r="R10" s="2024"/>
    </row>
    <row r="11" spans="1:19" ht="18" customHeight="1">
      <c r="A11" s="2062" t="s">
        <v>1784</v>
      </c>
      <c r="B11" s="2063" t="s">
        <v>3048</v>
      </c>
      <c r="C11" s="2064" t="str">
        <f>B5</f>
        <v xml:space="preserve">北京鸿坤伟业房地产开发有限公司 </v>
      </c>
      <c r="D11" s="2065"/>
      <c r="E11" s="2037"/>
      <c r="F11" s="2037"/>
      <c r="G11" s="2037"/>
      <c r="H11" s="2037"/>
      <c r="I11" s="2037"/>
      <c r="J11" s="2037"/>
      <c r="K11" s="2047"/>
      <c r="L11" s="2023"/>
      <c r="M11" s="2023"/>
      <c r="N11" s="2024"/>
      <c r="O11" s="2025"/>
      <c r="P11" s="2024"/>
      <c r="Q11" s="2024"/>
      <c r="R11" s="2024"/>
    </row>
    <row r="12" spans="1:19" ht="18" customHeight="1">
      <c r="A12" s="2066" t="s">
        <v>1785</v>
      </c>
      <c r="B12" s="2063" t="s">
        <v>3049</v>
      </c>
      <c r="C12" s="2067" t="s">
        <v>1786</v>
      </c>
      <c r="D12" s="2068" t="s">
        <v>1787</v>
      </c>
      <c r="E12" s="2068" t="s">
        <v>1788</v>
      </c>
      <c r="F12" s="2068" t="s">
        <v>1789</v>
      </c>
      <c r="G12" s="2068" t="s">
        <v>1790</v>
      </c>
      <c r="H12" s="2068" t="s">
        <v>1791</v>
      </c>
      <c r="I12" s="2068" t="s">
        <v>1792</v>
      </c>
      <c r="J12" s="2037"/>
      <c r="K12" s="2047"/>
      <c r="L12" s="2023"/>
      <c r="M12" s="2023"/>
      <c r="N12" s="2024"/>
      <c r="O12" s="2025"/>
      <c r="P12" s="2024"/>
      <c r="Q12" s="2024"/>
      <c r="R12" s="2024"/>
    </row>
    <row r="13" spans="1:19" ht="18" customHeight="1">
      <c r="A13" s="2069"/>
      <c r="B13" s="2070"/>
      <c r="C13" s="2071" t="s">
        <v>1793</v>
      </c>
      <c r="D13" s="2072"/>
      <c r="E13" s="2072">
        <v>52093</v>
      </c>
      <c r="F13" s="2072"/>
      <c r="G13" s="2072">
        <v>55746</v>
      </c>
      <c r="H13" s="2072"/>
      <c r="I13" s="1044"/>
      <c r="J13" s="2037"/>
      <c r="K13" s="2047"/>
      <c r="L13" s="2023"/>
      <c r="M13" s="2023"/>
      <c r="N13" s="2024"/>
      <c r="O13" s="2025"/>
      <c r="P13" s="2024"/>
      <c r="Q13" s="2024"/>
      <c r="R13" s="2024"/>
    </row>
    <row r="14" spans="1:19" ht="18" customHeight="1">
      <c r="A14" s="2069"/>
      <c r="B14" s="2070"/>
      <c r="C14" s="2071" t="s">
        <v>1794</v>
      </c>
      <c r="D14" s="1047"/>
      <c r="E14" s="1047">
        <v>40</v>
      </c>
      <c r="F14" s="1047"/>
      <c r="G14" s="1047">
        <v>50</v>
      </c>
      <c r="H14" s="1047"/>
      <c r="I14" s="1047"/>
      <c r="J14" s="2037"/>
      <c r="K14" s="2073"/>
      <c r="L14" s="2023"/>
      <c r="M14" s="2023"/>
      <c r="N14" s="2024"/>
      <c r="O14" s="2025"/>
      <c r="P14" s="2024"/>
      <c r="Q14" s="2024"/>
      <c r="R14" s="2024"/>
    </row>
    <row r="15" spans="1:19" ht="18" customHeight="1">
      <c r="A15" s="2056"/>
      <c r="B15" s="2074"/>
      <c r="C15" s="2071" t="s">
        <v>1795</v>
      </c>
      <c r="D15" s="1046" t="str">
        <f>IF(B12="出让",IF(D13="","",ROUNDDOWN(MIN((D13-$D$3)/365,D14),2)),D14)</f>
        <v/>
      </c>
      <c r="E15" s="1046">
        <f>IF(B12="出让",IF(E13="","",ROUNDDOWN(MIN((E13-$D$3)/365,E14),2)),E14)</f>
        <v>22.84</v>
      </c>
      <c r="F15" s="1046" t="str">
        <f>IF(B12="出让",IF(F13="","",ROUNDDOWN(MIN((F13-$D$3)/365,F14),2)),F14)</f>
        <v/>
      </c>
      <c r="G15" s="1046">
        <f>IF(B12="出让",IF(G13="","",ROUNDDOWN(MIN((G13-$D$3)/365,G14),2)),G14)</f>
        <v>32.840000000000003</v>
      </c>
      <c r="H15" s="1046" t="str">
        <f>IF(B12="出让",IF(H13="","",ROUNDDOWN(MIN((H13-$D$3)/365,H14),2)),H14)</f>
        <v/>
      </c>
      <c r="I15" s="1046" t="str">
        <f>IF(B12="出让",IF(I13="","",ROUNDDOWN(MIN((I13-$D$3)/365,I14),2)),I14)</f>
        <v/>
      </c>
      <c r="J15" s="2037"/>
      <c r="K15" s="2075"/>
      <c r="L15" s="2076"/>
      <c r="M15" s="2076"/>
      <c r="N15" s="2077"/>
      <c r="O15" s="2076"/>
      <c r="P15" s="2077"/>
      <c r="Q15" s="2024"/>
      <c r="R15" s="2024"/>
    </row>
    <row r="16" spans="1:19" ht="30.75" customHeight="1">
      <c r="A16" s="2059" t="s">
        <v>1796</v>
      </c>
      <c r="B16" s="3067" t="s">
        <v>3370</v>
      </c>
      <c r="C16" s="3068"/>
      <c r="D16" s="3069"/>
      <c r="E16" s="2078" t="s">
        <v>1797</v>
      </c>
      <c r="F16" s="3070" t="s">
        <v>3371</v>
      </c>
      <c r="G16" s="3071"/>
      <c r="H16" s="3071"/>
      <c r="I16" s="3072"/>
      <c r="J16" s="2024"/>
      <c r="K16" s="2075"/>
      <c r="L16" s="2076"/>
      <c r="M16" s="2076"/>
      <c r="N16" s="2077"/>
      <c r="O16" s="2076"/>
      <c r="P16" s="2077"/>
      <c r="Q16" s="2024"/>
      <c r="R16" s="2024"/>
    </row>
    <row r="17" spans="1:22" ht="18" customHeight="1">
      <c r="A17" s="2079" t="s">
        <v>1798</v>
      </c>
      <c r="B17" s="2030" t="s">
        <v>1799</v>
      </c>
      <c r="C17" s="1051">
        <f>'数据-汇总表'!E3</f>
        <v>101504.34</v>
      </c>
      <c r="D17" s="2080" t="s">
        <v>1800</v>
      </c>
      <c r="E17" s="3073" t="s">
        <v>3375</v>
      </c>
      <c r="F17" s="3074"/>
      <c r="G17" s="3074"/>
      <c r="H17" s="3074"/>
      <c r="I17" s="3075"/>
      <c r="J17" s="2024"/>
      <c r="K17" s="2081"/>
      <c r="L17" s="2076"/>
      <c r="M17" s="2076"/>
      <c r="N17" s="2077"/>
      <c r="O17" s="2076"/>
      <c r="P17" s="2077"/>
      <c r="Q17" s="2024"/>
      <c r="R17" s="2024"/>
      <c r="S17" s="2024"/>
      <c r="T17" s="2024"/>
      <c r="U17" s="2024"/>
      <c r="V17" s="2024"/>
    </row>
    <row r="18" spans="1:22" ht="36" customHeight="1" thickBot="1">
      <c r="A18" s="2082" t="s">
        <v>1801</v>
      </c>
      <c r="B18" s="2033" t="s">
        <v>1802</v>
      </c>
      <c r="C18" s="1441">
        <f>'数据-汇总表'!D3</f>
        <v>25666.1</v>
      </c>
      <c r="D18" s="2083" t="s">
        <v>1800</v>
      </c>
      <c r="E18" s="3076" t="s">
        <v>3372</v>
      </c>
      <c r="F18" s="3077"/>
      <c r="G18" s="3077"/>
      <c r="H18" s="3077"/>
      <c r="I18" s="3078"/>
      <c r="J18" s="2024"/>
      <c r="K18" s="2081"/>
      <c r="L18" s="2076"/>
      <c r="M18" s="2076"/>
      <c r="N18" s="2077"/>
      <c r="O18" s="2076"/>
      <c r="P18" s="2077"/>
      <c r="Q18" s="2024"/>
      <c r="R18" s="2024"/>
      <c r="S18" s="2024"/>
      <c r="T18" s="2024"/>
      <c r="U18" s="2024"/>
      <c r="V18" s="2024"/>
    </row>
    <row r="19" spans="1:22" ht="37.5" customHeight="1" thickTop="1" thickBot="1">
      <c r="A19" s="371" t="s">
        <v>1803</v>
      </c>
      <c r="B19" s="350" t="s">
        <v>1804</v>
      </c>
      <c r="C19" s="2084" t="s">
        <v>3373</v>
      </c>
      <c r="D19" s="2085" t="s">
        <v>1805</v>
      </c>
      <c r="E19" s="2086" t="s">
        <v>3373</v>
      </c>
      <c r="F19" s="2087" t="str">
        <f>IF(AND(C19="是",E19="否"),"是否提供他项权证或相关说明","")</f>
        <v/>
      </c>
      <c r="G19" s="2088" t="s">
        <v>3373</v>
      </c>
      <c r="H19" s="2037"/>
      <c r="I19" s="2037"/>
      <c r="J19" s="2037"/>
      <c r="K19" s="2047"/>
      <c r="L19" s="2023"/>
      <c r="M19" s="2023"/>
      <c r="N19" s="2077"/>
      <c r="O19" s="2076"/>
      <c r="P19" s="2077"/>
      <c r="Q19" s="2024"/>
      <c r="R19" s="2024"/>
      <c r="S19" s="2024"/>
      <c r="T19" s="2024"/>
      <c r="U19" s="2024"/>
      <c r="V19" s="2024"/>
    </row>
    <row r="20" spans="1:22" ht="18" customHeight="1">
      <c r="A20" s="2089" t="s">
        <v>1806</v>
      </c>
      <c r="B20" s="3063" t="s">
        <v>1807</v>
      </c>
      <c r="C20" s="3064"/>
      <c r="D20" s="3065" t="s">
        <v>1808</v>
      </c>
      <c r="E20" s="3066"/>
      <c r="F20" s="2090" t="s">
        <v>1809</v>
      </c>
      <c r="G20" s="2037"/>
      <c r="H20" s="2037"/>
      <c r="I20" s="2037"/>
      <c r="J20" s="2037"/>
      <c r="K20" s="3062"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7"/>
      <c r="O20" s="2076"/>
      <c r="P20" s="2077"/>
      <c r="Q20" s="2024"/>
      <c r="R20" s="2024"/>
      <c r="S20" s="2024"/>
      <c r="T20" s="2024"/>
      <c r="U20" s="2024"/>
      <c r="V20" s="2024"/>
    </row>
    <row r="21" spans="1:22" ht="24.75" customHeight="1">
      <c r="A21" s="2089"/>
      <c r="B21" s="2091" t="s">
        <v>1811</v>
      </c>
      <c r="C21" s="2092" t="s">
        <v>1812</v>
      </c>
      <c r="D21" s="2093"/>
      <c r="E21" s="2094"/>
      <c r="F21" s="2095"/>
      <c r="G21" s="2037"/>
      <c r="H21" s="2037"/>
      <c r="I21" s="2037"/>
      <c r="J21" s="2037"/>
      <c r="K21" s="306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1813</v>
      </c>
      <c r="C22" s="2092" t="s">
        <v>3374</v>
      </c>
      <c r="D22" s="2021"/>
      <c r="E22" s="2021"/>
      <c r="F22" s="2097"/>
      <c r="G22" s="2037"/>
      <c r="H22" s="2037"/>
      <c r="I22" s="2037"/>
      <c r="J22" s="2037"/>
      <c r="K22" s="306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1814</v>
      </c>
      <c r="B23" s="181" t="s">
        <v>1815</v>
      </c>
      <c r="C23" s="2099"/>
      <c r="D23" s="2100" t="s">
        <v>1815</v>
      </c>
      <c r="E23" s="2101"/>
      <c r="F23" s="2097"/>
      <c r="G23" s="2037"/>
      <c r="H23" s="2037"/>
      <c r="I23" s="2037"/>
      <c r="J23" s="2037"/>
      <c r="K23" s="2102"/>
      <c r="L23" s="745"/>
      <c r="M23" s="2023"/>
      <c r="N23" s="2077"/>
      <c r="O23" s="2076"/>
      <c r="P23" s="2077"/>
      <c r="Q23" s="2024"/>
      <c r="R23" s="2024"/>
      <c r="S23" s="2024"/>
      <c r="T23" s="2024"/>
      <c r="U23" s="2024"/>
      <c r="V23" s="2024"/>
    </row>
    <row r="24" spans="1:22" ht="18" customHeight="1">
      <c r="A24" s="2103"/>
      <c r="B24" s="181" t="s">
        <v>1816</v>
      </c>
      <c r="C24" s="2104"/>
      <c r="D24" s="2098" t="s">
        <v>1816</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1" t="s">
        <v>1817</v>
      </c>
      <c r="C25" s="2104"/>
      <c r="D25" s="2098" t="s">
        <v>1817</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1818</v>
      </c>
      <c r="C26" s="2108"/>
      <c r="D26" s="2109" t="s">
        <v>1819</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80" t="s">
        <v>1820</v>
      </c>
      <c r="B27" s="2056" t="s">
        <v>1821</v>
      </c>
      <c r="C27" s="2112" t="s">
        <v>3109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80"/>
      <c r="B28" s="2030" t="s">
        <v>1822</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80"/>
      <c r="B29" s="2030" t="s">
        <v>1823</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81"/>
      <c r="B30" s="2030" t="s">
        <v>1824</v>
      </c>
      <c r="C30" s="3082"/>
      <c r="D30" s="3083"/>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84" t="s">
        <v>1825</v>
      </c>
      <c r="B31" s="2119" t="s">
        <v>3050</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85"/>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85"/>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1826</v>
      </c>
      <c r="B34" s="2126" t="s">
        <v>3051</v>
      </c>
      <c r="C34" s="2126" t="s">
        <v>3052</v>
      </c>
      <c r="D34" s="2126" t="s">
        <v>3053</v>
      </c>
      <c r="E34" s="2126" t="s">
        <v>3054</v>
      </c>
      <c r="F34" s="2126" t="s">
        <v>3055</v>
      </c>
      <c r="G34" s="2126"/>
      <c r="H34" s="2126"/>
      <c r="I34" s="2037"/>
      <c r="J34" s="2037"/>
      <c r="K34" s="1791">
        <f>COUNTIF(B34:H34,"——")</f>
        <v>0</v>
      </c>
      <c r="L34" s="2067" t="s">
        <v>1827</v>
      </c>
      <c r="M34" s="2067" t="s">
        <v>1828</v>
      </c>
      <c r="N34" s="2067" t="s">
        <v>1829</v>
      </c>
      <c r="O34" s="2067" t="s">
        <v>1830</v>
      </c>
      <c r="P34" s="2067" t="s">
        <v>1831</v>
      </c>
      <c r="Q34" s="2067" t="s">
        <v>1832</v>
      </c>
      <c r="R34" s="2067" t="s">
        <v>1833</v>
      </c>
      <c r="S34" s="3079" t="s">
        <v>1834</v>
      </c>
      <c r="T34" s="2127" t="str">
        <f>NUMBERSTRING(7-K34,1)&amp;"通"</f>
        <v>七通</v>
      </c>
      <c r="U34" s="2024"/>
      <c r="V34" s="2024"/>
    </row>
    <row r="35" spans="1:22" ht="18" customHeight="1">
      <c r="A35" s="2128"/>
      <c r="B35" s="3086" t="s">
        <v>1835</v>
      </c>
      <c r="C35" s="3086"/>
      <c r="D35" s="3086"/>
      <c r="E35" s="3086"/>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9"/>
      <c r="T35" s="48" t="str">
        <f>IF(T34="一通",L35,IF(T34="二通",M35,IF(T34="三通",N35,IF(T34="四通",O35,IF(T34="五通",P35,IF(T34="六通",Q35,R35))))))</f>
        <v>通路、通电、通讯、通上水、通下水、、</v>
      </c>
      <c r="U35" s="2024"/>
      <c r="V35" s="2024"/>
    </row>
    <row r="36" spans="1:22" ht="18" customHeight="1">
      <c r="A36" s="2130"/>
      <c r="B36" s="2129" t="s">
        <v>1836</v>
      </c>
      <c r="C36" s="2129" t="s">
        <v>1837</v>
      </c>
      <c r="D36" s="2129" t="s">
        <v>1838</v>
      </c>
      <c r="E36" s="2129" t="s">
        <v>1839</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1840</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1841</v>
      </c>
      <c r="B38" s="2135" t="s">
        <v>3106</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1843</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1844</v>
      </c>
      <c r="B42" s="1791" t="s">
        <v>1845</v>
      </c>
      <c r="C42" s="1791" t="s">
        <v>1846</v>
      </c>
      <c r="D42" s="1791" t="s">
        <v>1847</v>
      </c>
      <c r="E42" s="1791" t="s">
        <v>1848</v>
      </c>
      <c r="F42" s="1791" t="s">
        <v>1849</v>
      </c>
      <c r="G42" s="1791" t="s">
        <v>1850</v>
      </c>
      <c r="H42" s="1791" t="s">
        <v>1851</v>
      </c>
      <c r="I42" s="1791" t="s">
        <v>1852</v>
      </c>
      <c r="J42" s="2145" t="s">
        <v>1853</v>
      </c>
      <c r="K42" s="2068" t="s">
        <v>1854</v>
      </c>
      <c r="L42" s="2068" t="s">
        <v>1855</v>
      </c>
      <c r="M42" s="2068" t="s">
        <v>1856</v>
      </c>
      <c r="N42" s="1791" t="s">
        <v>1857</v>
      </c>
      <c r="O42" s="1791" t="s">
        <v>1858</v>
      </c>
      <c r="P42" s="1791" t="s">
        <v>1859</v>
      </c>
      <c r="Q42" s="2067" t="s">
        <v>1860</v>
      </c>
      <c r="R42" s="2067" t="s">
        <v>1861</v>
      </c>
      <c r="S42" s="2024"/>
      <c r="T42" s="2024"/>
      <c r="U42" s="2024"/>
      <c r="V42" s="2024"/>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XFD1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hidden="1" customWidth="1"/>
    <col min="11" max="11" width="11" style="2152" customWidth="1"/>
    <col min="12" max="12" width="9.5" style="2152" hidden="1" customWidth="1"/>
    <col min="13" max="13" width="9.5" style="2152" customWidth="1"/>
    <col min="14"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customWidth="1"/>
    <col min="30" max="30" width="10" style="2152" hidden="1" customWidth="1"/>
    <col min="31" max="31" width="9.75" style="2152" hidden="1" customWidth="1"/>
    <col min="32" max="37" width="9.5" style="2152" hidden="1" customWidth="1"/>
    <col min="38" max="38" width="9.5" style="2152" customWidth="1"/>
    <col min="39" max="39" width="9.5" style="2152" hidden="1" customWidth="1"/>
    <col min="40" max="40" width="9.5" style="2152" customWidth="1"/>
    <col min="41"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1862</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1863</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1867</v>
      </c>
      <c r="AZ2" s="1267"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25666.1</v>
      </c>
      <c r="B3" s="14">
        <f>IF(C3="否",G5-AT5,G5)</f>
        <v>101504.34000000003</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799"/>
      <c r="C5" s="1799"/>
      <c r="D5" s="1802"/>
      <c r="E5" s="16" t="s">
        <v>1</v>
      </c>
      <c r="F5" s="16">
        <f>SUM(F13:F587)</f>
        <v>0</v>
      </c>
      <c r="G5" s="16">
        <f>SUM(G13:G587)</f>
        <v>140135.38000000003</v>
      </c>
      <c r="H5" s="16">
        <f t="shared" ref="H5:AT5" si="0">SUM(H13:H656)</f>
        <v>100560.83</v>
      </c>
      <c r="I5" s="16">
        <f t="shared" si="0"/>
        <v>60856.65</v>
      </c>
      <c r="J5" s="16">
        <f t="shared" si="0"/>
        <v>0</v>
      </c>
      <c r="K5" s="16">
        <f t="shared" si="0"/>
        <v>17703.810000000001</v>
      </c>
      <c r="L5" s="16">
        <f t="shared" si="0"/>
        <v>0</v>
      </c>
      <c r="M5" s="16">
        <f t="shared" si="0"/>
        <v>22000.37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943.51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443.51</v>
      </c>
      <c r="AM5" s="16">
        <f t="shared" si="0"/>
        <v>0</v>
      </c>
      <c r="AN5" s="16">
        <f t="shared" si="0"/>
        <v>500</v>
      </c>
      <c r="AO5" s="16">
        <f t="shared" si="0"/>
        <v>0</v>
      </c>
      <c r="AP5" s="16">
        <f t="shared" si="0"/>
        <v>0</v>
      </c>
      <c r="AQ5" s="16">
        <f t="shared" si="0"/>
        <v>0</v>
      </c>
      <c r="AR5" s="16">
        <f t="shared" si="0"/>
        <v>0</v>
      </c>
      <c r="AS5" s="16">
        <f t="shared" si="0"/>
        <v>0</v>
      </c>
      <c r="AT5" s="16">
        <f t="shared" si="0"/>
        <v>38631.040000000008</v>
      </c>
      <c r="AU5" s="1798"/>
      <c r="AV5" s="15" t="s">
        <v>1871</v>
      </c>
      <c r="AW5" s="1799"/>
      <c r="AX5" s="1799"/>
      <c r="AY5" s="17" t="s">
        <v>3</v>
      </c>
      <c r="AZ5" s="18">
        <f t="shared" ref="AZ5:BT5" si="1">SUM(AZ13:AZ656)</f>
        <v>101504.34</v>
      </c>
      <c r="BA5" s="18">
        <f t="shared" si="1"/>
        <v>100560.83</v>
      </c>
      <c r="BB5" s="18">
        <f t="shared" si="1"/>
        <v>60856.65</v>
      </c>
      <c r="BC5" s="18">
        <f t="shared" si="1"/>
        <v>17703.810000000001</v>
      </c>
      <c r="BD5" s="18">
        <f t="shared" si="1"/>
        <v>22000.37</v>
      </c>
      <c r="BE5" s="18">
        <f t="shared" si="1"/>
        <v>0</v>
      </c>
      <c r="BF5" s="18">
        <f t="shared" si="1"/>
        <v>0</v>
      </c>
      <c r="BG5" s="18">
        <f t="shared" si="1"/>
        <v>0</v>
      </c>
      <c r="BH5" s="18">
        <f t="shared" si="1"/>
        <v>0</v>
      </c>
      <c r="BI5" s="18">
        <f t="shared" si="1"/>
        <v>0</v>
      </c>
      <c r="BJ5" s="18">
        <f t="shared" si="1"/>
        <v>0</v>
      </c>
      <c r="BK5" s="18">
        <f t="shared" si="1"/>
        <v>0</v>
      </c>
      <c r="BL5" s="18">
        <f t="shared" si="1"/>
        <v>943.51</v>
      </c>
      <c r="BM5" s="18">
        <f t="shared" si="1"/>
        <v>0</v>
      </c>
      <c r="BN5" s="18">
        <f t="shared" si="1"/>
        <v>0</v>
      </c>
      <c r="BO5" s="18">
        <f t="shared" si="1"/>
        <v>0</v>
      </c>
      <c r="BP5" s="18">
        <f t="shared" si="1"/>
        <v>0</v>
      </c>
      <c r="BQ5" s="18">
        <f t="shared" si="1"/>
        <v>443.51</v>
      </c>
      <c r="BR5" s="18">
        <f t="shared" si="1"/>
        <v>500</v>
      </c>
      <c r="BS5" s="18">
        <f t="shared" si="1"/>
        <v>0</v>
      </c>
      <c r="BT5" s="19">
        <f t="shared" si="1"/>
        <v>0</v>
      </c>
    </row>
    <row r="6" spans="1:72" s="2170" customFormat="1" ht="12.75">
      <c r="A6" s="15" t="s">
        <v>1872</v>
      </c>
      <c r="B6" s="2167"/>
      <c r="C6" s="2167"/>
      <c r="D6" s="2168"/>
      <c r="E6" s="16">
        <f>H6+AC6+AT6</f>
        <v>25666.100000000002</v>
      </c>
      <c r="F6" s="16" t="s">
        <v>1</v>
      </c>
      <c r="G6" s="16" t="s">
        <v>2</v>
      </c>
      <c r="H6" s="20">
        <f>SUMIF(I$12:AB$12,"总值",I6:AB6)</f>
        <v>25427.530000000002</v>
      </c>
      <c r="I6" s="16">
        <f t="shared" ref="I6:AB6" si="2">ROUND($A$3*I5/$B$3,2)</f>
        <v>15388.04</v>
      </c>
      <c r="J6" s="16">
        <f t="shared" si="2"/>
        <v>0</v>
      </c>
      <c r="K6" s="16">
        <f t="shared" si="2"/>
        <v>4476.54</v>
      </c>
      <c r="L6" s="16">
        <f t="shared" si="2"/>
        <v>0</v>
      </c>
      <c r="M6" s="16">
        <f t="shared" si="2"/>
        <v>5562.95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112.14</v>
      </c>
      <c r="AM6" s="16">
        <f t="shared" si="3"/>
        <v>0</v>
      </c>
      <c r="AN6" s="16">
        <f t="shared" si="3"/>
        <v>126.43</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25666.1</v>
      </c>
      <c r="AZ6" s="16" t="s">
        <v>3</v>
      </c>
      <c r="BA6" s="16">
        <f>ROUND($AY$6*BA5/$AZ$5,2)</f>
        <v>25427.53</v>
      </c>
      <c r="BB6" s="16">
        <f>ROUND($AY$6*BB5/$AZ$5,2)</f>
        <v>15388.04</v>
      </c>
      <c r="BC6" s="16">
        <f t="shared" ref="BC6:BH6" si="4">ROUND($AY$6*BC5/$AZ$5,2)</f>
        <v>4476.54</v>
      </c>
      <c r="BD6" s="16">
        <f t="shared" si="4"/>
        <v>5562.95</v>
      </c>
      <c r="BE6" s="16">
        <f t="shared" si="4"/>
        <v>0</v>
      </c>
      <c r="BF6" s="16">
        <f t="shared" si="4"/>
        <v>0</v>
      </c>
      <c r="BG6" s="16">
        <f t="shared" si="4"/>
        <v>0</v>
      </c>
      <c r="BH6" s="16">
        <f t="shared" si="4"/>
        <v>0</v>
      </c>
      <c r="BI6" s="16">
        <f t="shared" ref="BI6:BT6" si="5">ROUND($AY$6*BI5/$AZ$5,2)</f>
        <v>0</v>
      </c>
      <c r="BJ6" s="16">
        <f t="shared" si="5"/>
        <v>0</v>
      </c>
      <c r="BK6" s="16">
        <f t="shared" si="5"/>
        <v>0</v>
      </c>
      <c r="BL6" s="16">
        <f t="shared" si="5"/>
        <v>238.57</v>
      </c>
      <c r="BM6" s="16">
        <f t="shared" si="5"/>
        <v>0</v>
      </c>
      <c r="BN6" s="16">
        <f t="shared" si="5"/>
        <v>0</v>
      </c>
      <c r="BO6" s="16">
        <f t="shared" si="5"/>
        <v>0</v>
      </c>
      <c r="BP6" s="16">
        <f t="shared" si="5"/>
        <v>0</v>
      </c>
      <c r="BQ6" s="16">
        <f t="shared" si="5"/>
        <v>112.14</v>
      </c>
      <c r="BR6" s="16">
        <f t="shared" si="5"/>
        <v>126.43</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1880</v>
      </c>
      <c r="AV7" s="23" t="s">
        <v>1881</v>
      </c>
      <c r="AW7" s="2159" t="s">
        <v>1882</v>
      </c>
      <c r="AX7" s="23" t="s">
        <v>1875</v>
      </c>
      <c r="AY7" s="1799"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4"/>
      <c r="K8" s="1814"/>
      <c r="L8" s="1814"/>
      <c r="M8" s="1814"/>
      <c r="N8" s="1814"/>
      <c r="O8" s="1814"/>
      <c r="P8" s="1814"/>
      <c r="Q8" s="1814"/>
      <c r="R8" s="1814"/>
      <c r="S8" s="1814"/>
      <c r="T8" s="1814"/>
      <c r="U8" s="1814"/>
      <c r="V8" s="2179"/>
      <c r="W8" s="1814"/>
      <c r="X8" s="1814"/>
      <c r="Y8" s="1814"/>
      <c r="Z8" s="1814"/>
      <c r="AA8" s="2179"/>
      <c r="AB8" s="2180"/>
      <c r="AC8" s="978" t="s">
        <v>1886</v>
      </c>
      <c r="AD8" s="2181"/>
      <c r="AE8" s="2173"/>
      <c r="AF8" s="1814"/>
      <c r="AG8" s="1814"/>
      <c r="AH8" s="1814"/>
      <c r="AI8" s="1814"/>
      <c r="AJ8" s="1814"/>
      <c r="AK8" s="1814"/>
      <c r="AL8" s="1814"/>
      <c r="AM8" s="1814"/>
      <c r="AN8" s="1814"/>
      <c r="AO8" s="1814"/>
      <c r="AP8" s="1814"/>
      <c r="AQ8" s="1814"/>
      <c r="AR8" s="1814"/>
      <c r="AS8" s="1814"/>
      <c r="AT8" s="1289" t="s">
        <v>1887</v>
      </c>
      <c r="AU8" s="2175" t="s">
        <v>1888</v>
      </c>
      <c r="AV8" s="1289"/>
      <c r="AW8" s="2158"/>
      <c r="AX8" s="1289"/>
      <c r="AY8" s="2159"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1891</v>
      </c>
      <c r="I9" s="2184" t="s">
        <v>3057</v>
      </c>
      <c r="J9" s="978"/>
      <c r="K9" s="2184" t="s">
        <v>3058</v>
      </c>
      <c r="L9" s="978"/>
      <c r="M9" s="2184" t="s">
        <v>3058</v>
      </c>
      <c r="N9" s="978"/>
      <c r="O9" s="2184"/>
      <c r="P9" s="978"/>
      <c r="Q9" s="2184"/>
      <c r="R9" s="978"/>
      <c r="S9" s="2184"/>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90" t="s">
        <v>1373</v>
      </c>
      <c r="L10" s="978"/>
      <c r="M10" s="2190" t="s">
        <v>3335</v>
      </c>
      <c r="N10" s="978"/>
      <c r="O10" s="2190"/>
      <c r="P10" s="978"/>
      <c r="Q10" s="2190"/>
      <c r="R10" s="978"/>
      <c r="S10" s="2190"/>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1901</v>
      </c>
      <c r="AE11" s="1815"/>
      <c r="AF11" s="2197" t="s">
        <v>1901</v>
      </c>
      <c r="AG11" s="1815"/>
      <c r="AH11" s="2197" t="s">
        <v>1902</v>
      </c>
      <c r="AI11" s="2198"/>
      <c r="AJ11" s="2197" t="s">
        <v>1902</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2"/>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2975" t="s">
        <v>183</v>
      </c>
      <c r="D13" s="2206" t="s">
        <v>3056</v>
      </c>
      <c r="E13" s="16">
        <f>IF($C$3="是",ROUND($A$3*G13/$B$3,2),ROUND($A$3*(G13-AT13)/$B$3,2))</f>
        <v>19864.580000000002</v>
      </c>
      <c r="F13" s="32"/>
      <c r="G13" s="33">
        <f>H13+AC13+AT13</f>
        <v>117191.50000000001</v>
      </c>
      <c r="H13" s="20">
        <f>SUMIF(I$12:AB$12,"总值",I13:AB13)</f>
        <v>78560.460000000006</v>
      </c>
      <c r="I13" s="2207">
        <v>60856.65</v>
      </c>
      <c r="J13" s="2207"/>
      <c r="K13" s="2207">
        <f>18416.57-212.76-500</f>
        <v>17703.810000000001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f>18932.9+18944.95+210.19+212.76+330.24</f>
        <v>38631.040000000008</v>
      </c>
      <c r="AU13" s="2210"/>
      <c r="AV13" s="11">
        <f t="shared" ref="AV13:AX17" si="6">A13</f>
        <v>0</v>
      </c>
      <c r="AW13" s="11">
        <f t="shared" si="6"/>
        <v>0</v>
      </c>
      <c r="AX13" s="11" t="str">
        <f t="shared" si="6"/>
        <v>商业</v>
      </c>
      <c r="AY13" s="1802">
        <f>ROUND($AY$6*AZ13/$AZ$5,2)</f>
        <v>19864.580000000002</v>
      </c>
      <c r="AZ13" s="16">
        <f>BA13+BL13</f>
        <v>78560.460000000006</v>
      </c>
      <c r="BA13" s="16">
        <f>SUM(BB13:BK13)</f>
        <v>78560.460000000006</v>
      </c>
      <c r="BB13" s="16">
        <f>IF($D13="是",I13-J13,0)</f>
        <v>60856.65</v>
      </c>
      <c r="BC13" s="16">
        <f>IF($D13="是",K13-L13,0)</f>
        <v>17703.810000000001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993" t="s">
        <v>3333</v>
      </c>
      <c r="D14" s="2206" t="s">
        <v>3056</v>
      </c>
      <c r="E14" s="16">
        <f>IF($C$3="是",ROUND($A$3*G14/$B$3,2),ROUND($A$3*(G14-AT14)/$B$3,2))</f>
        <v>5562.95</v>
      </c>
      <c r="F14" s="32"/>
      <c r="G14" s="33">
        <f>H14+AC14+AT14</f>
        <v>22000.37</v>
      </c>
      <c r="H14" s="20">
        <f>SUMIF(I$12:AB$12,"总值",I14:AB14)</f>
        <v>22000.37</v>
      </c>
      <c r="I14" s="2207"/>
      <c r="J14" s="2207"/>
      <c r="K14" s="2207"/>
      <c r="L14" s="2207"/>
      <c r="M14" s="2207">
        <v>22000.37</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车库</v>
      </c>
      <c r="AY14" s="1802">
        <f>ROUND($AY$6*AZ14/$AZ$5,2)</f>
        <v>5562.95</v>
      </c>
      <c r="AZ14" s="16">
        <f>BA14+BL14</f>
        <v>22000.37</v>
      </c>
      <c r="BA14" s="16">
        <f>SUM(BB14:BK14)</f>
        <v>22000.37</v>
      </c>
      <c r="BB14" s="16">
        <f>IF($D14="是",I14-J14,0)</f>
        <v>0</v>
      </c>
      <c r="BC14" s="16">
        <f>IF($D14="是",K14-L14,0)</f>
        <v>0</v>
      </c>
      <c r="BD14" s="16">
        <f>IF($D14="是",M14-N14,0)</f>
        <v>22000.37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5.5">
      <c r="A15" s="1269"/>
      <c r="B15" s="1269"/>
      <c r="C15" s="2146" t="s">
        <v>3354</v>
      </c>
      <c r="D15" s="2206" t="s">
        <v>3056</v>
      </c>
      <c r="E15" s="16">
        <f>IF($C$3="是",ROUND($A$3*G15/$B$3,2),ROUND($A$3*(G15-AT15)/$B$3,2))</f>
        <v>126.43</v>
      </c>
      <c r="F15" s="32"/>
      <c r="G15" s="33">
        <f>H15+AC15+AT15</f>
        <v>500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500</v>
      </c>
      <c r="AD15" s="2208"/>
      <c r="AE15" s="2208"/>
      <c r="AF15" s="2208"/>
      <c r="AG15" s="2208"/>
      <c r="AH15" s="2208"/>
      <c r="AI15" s="2208"/>
      <c r="AJ15" s="2208"/>
      <c r="AK15" s="2208"/>
      <c r="AL15" s="2208"/>
      <c r="AM15" s="2208"/>
      <c r="AN15" s="2208">
        <v>500</v>
      </c>
      <c r="AO15" s="2208"/>
      <c r="AP15" s="2208"/>
      <c r="AQ15" s="2208"/>
      <c r="AR15" s="2208"/>
      <c r="AS15" s="2208"/>
      <c r="AT15" s="2209"/>
      <c r="AU15" s="2210"/>
      <c r="AV15" s="11">
        <f t="shared" si="6"/>
        <v>0</v>
      </c>
      <c r="AW15" s="11">
        <f t="shared" si="6"/>
        <v>0</v>
      </c>
      <c r="AX15" s="11" t="str">
        <f t="shared" si="6"/>
        <v>地下1层自行车库</v>
      </c>
      <c r="AY15" s="1802">
        <f>ROUND($AY$6*AZ15/$AZ$5,2)</f>
        <v>126.43</v>
      </c>
      <c r="AZ15" s="16">
        <f>BA15+BL15</f>
        <v>500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v>
      </c>
      <c r="BM15" s="16">
        <f>IF($D15="是",AD15-AE15,0)</f>
        <v>0</v>
      </c>
      <c r="BN15" s="16">
        <f>IF($D15="是",AF15-AG15,0)</f>
        <v>0</v>
      </c>
      <c r="BO15" s="16">
        <f>IF($D15="是",AH15-AI15,0)</f>
        <v>0</v>
      </c>
      <c r="BP15" s="16">
        <f>IF($D15="是",AJ15-AK15,0)</f>
        <v>0</v>
      </c>
      <c r="BQ15" s="16">
        <f>IF($D15="是",AL15-AM15,0)</f>
        <v>0</v>
      </c>
      <c r="BR15" s="16">
        <f>IF($D15="是",AN15-AO15,0)</f>
        <v>500</v>
      </c>
      <c r="BS15" s="16">
        <f>IF($D15="是",AP15-AQ15,0)</f>
        <v>0</v>
      </c>
      <c r="BT15" s="22">
        <f>IF($D15="是",AR15-AS15,0)</f>
        <v>0</v>
      </c>
    </row>
    <row r="16" spans="1:72" s="2160" customFormat="1" ht="12.75">
      <c r="A16" s="1269"/>
      <c r="B16" s="1269"/>
      <c r="C16" s="2993" t="s">
        <v>3355</v>
      </c>
      <c r="D16" s="2206" t="s">
        <v>3056</v>
      </c>
      <c r="E16" s="16">
        <f>IF($C$3="是",ROUND($A$3*G16/$B$3,2),ROUND($A$3*(G16-AT16)/$B$3,2))</f>
        <v>112.14</v>
      </c>
      <c r="F16" s="32"/>
      <c r="G16" s="33">
        <f>H16+AC16+AT16</f>
        <v>443.51</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443.51</v>
      </c>
      <c r="AD16" s="2208"/>
      <c r="AE16" s="2208"/>
      <c r="AF16" s="2208"/>
      <c r="AG16" s="2208"/>
      <c r="AH16" s="2208"/>
      <c r="AI16" s="2208"/>
      <c r="AJ16" s="2208"/>
      <c r="AK16" s="2208"/>
      <c r="AL16" s="2208">
        <v>443.51</v>
      </c>
      <c r="AM16" s="2208"/>
      <c r="AN16" s="2208"/>
      <c r="AO16" s="2208"/>
      <c r="AP16" s="2208"/>
      <c r="AQ16" s="2208"/>
      <c r="AR16" s="2208"/>
      <c r="AS16" s="2208"/>
      <c r="AT16" s="2209"/>
      <c r="AU16" s="2210"/>
      <c r="AV16" s="11">
        <f t="shared" si="6"/>
        <v>0</v>
      </c>
      <c r="AW16" s="11">
        <f t="shared" si="6"/>
        <v>0</v>
      </c>
      <c r="AX16" s="11" t="str">
        <f t="shared" si="6"/>
        <v>附属用房</v>
      </c>
      <c r="AY16" s="1802">
        <f>ROUND($AY$6*AZ16/$AZ$5,2)</f>
        <v>112.14</v>
      </c>
      <c r="AZ16" s="16">
        <f>BA16+BL16</f>
        <v>443.51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443.51</v>
      </c>
      <c r="BM16" s="16">
        <f>IF($D16="是",AD16-AE16,0)</f>
        <v>0</v>
      </c>
      <c r="BN16" s="16">
        <f>IF($D16="是",AF16-AG16,0)</f>
        <v>0</v>
      </c>
      <c r="BO16" s="16">
        <f>IF($D16="是",AH16-AI16,0)</f>
        <v>0</v>
      </c>
      <c r="BP16" s="16">
        <f>IF($D16="是",AJ16-AK16,0)</f>
        <v>0</v>
      </c>
      <c r="BQ16" s="16">
        <f>IF($D16="是",AL16-AM16,0)</f>
        <v>443.51</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89"/>
      <c r="C1" s="1389"/>
      <c r="D1" s="1389"/>
      <c r="E1" s="1389"/>
      <c r="F1" s="1389"/>
      <c r="G1" s="1389"/>
      <c r="H1" s="1389"/>
      <c r="I1" s="1389"/>
      <c r="J1" s="1389"/>
      <c r="K1" s="1389"/>
      <c r="L1" s="1389"/>
      <c r="M1" s="1389"/>
      <c r="N1" s="1389"/>
      <c r="O1" s="1389"/>
      <c r="P1" s="1389"/>
    </row>
    <row r="2" spans="1:16" ht="15">
      <c r="A2" s="3096" t="s">
        <v>1931</v>
      </c>
      <c r="B2" s="3096"/>
      <c r="C2" s="3096"/>
      <c r="D2" s="964" t="s">
        <v>1907</v>
      </c>
      <c r="E2" s="2220" t="s">
        <v>1908</v>
      </c>
      <c r="F2" s="1389"/>
      <c r="G2" s="2221"/>
      <c r="H2" s="2222"/>
      <c r="I2" s="2223" t="s">
        <v>1932</v>
      </c>
      <c r="J2" s="1389"/>
      <c r="K2" s="1389"/>
      <c r="L2" s="1389"/>
      <c r="M2" s="1389"/>
      <c r="N2" s="1424"/>
      <c r="O2" s="1389"/>
      <c r="P2" s="1389"/>
    </row>
    <row r="3" spans="1:16" ht="15.75" thickBot="1">
      <c r="A3" s="3097" t="s">
        <v>1905</v>
      </c>
      <c r="B3" s="3097"/>
      <c r="C3" s="3097"/>
      <c r="D3" s="46">
        <f>'数据-基础表'!AY6</f>
        <v>25666.1</v>
      </c>
      <c r="E3" s="46">
        <f>'数据-基础表'!AZ5</f>
        <v>101504.34</v>
      </c>
      <c r="F3" s="1389"/>
      <c r="G3" s="1396"/>
      <c r="H3" s="1244" t="s">
        <v>1906</v>
      </c>
      <c r="I3" s="55">
        <f>ROUND('数据-基础表'!B3/'数据-基础表'!A3,2)</f>
        <v>3.95</v>
      </c>
      <c r="J3" s="1389"/>
      <c r="K3" s="1389"/>
      <c r="L3" s="1389"/>
      <c r="M3" s="1389"/>
      <c r="N3" s="1424"/>
      <c r="O3" s="1389"/>
      <c r="P3" s="1389"/>
    </row>
    <row r="4" spans="1:16" ht="15">
      <c r="A4" s="3098"/>
      <c r="B4" s="3099"/>
      <c r="C4" s="3100"/>
      <c r="D4" s="2224" t="s">
        <v>1907</v>
      </c>
      <c r="E4" s="2225" t="s">
        <v>1908</v>
      </c>
      <c r="F4" s="1389"/>
      <c r="G4" s="2226" t="s">
        <v>1933</v>
      </c>
      <c r="H4" s="1244" t="s">
        <v>1913</v>
      </c>
      <c r="I4" s="55">
        <f>ROUND(SUMIF('数据-基础表'!I9:AS9,"地上",'数据-基础表'!I5:AS5)/'数据-基础表'!A3,2)</f>
        <v>2.39</v>
      </c>
      <c r="J4" s="1389"/>
      <c r="K4" s="1389"/>
      <c r="L4" s="1389"/>
      <c r="M4" s="1389"/>
      <c r="N4" s="1424"/>
      <c r="O4" s="1389"/>
      <c r="P4" s="1389"/>
    </row>
    <row r="5" spans="1:16">
      <c r="A5" s="47" t="s">
        <v>1909</v>
      </c>
      <c r="B5" s="3101" t="s">
        <v>1910</v>
      </c>
      <c r="C5" s="3101"/>
      <c r="D5" s="48">
        <f>ROUND($D$3*E5/$E$3,2)</f>
        <v>0</v>
      </c>
      <c r="E5" s="49">
        <f>SUMIF('数据-基础表'!$11:$11,"住宅",'数据-基础表'!$5:$5)</f>
        <v>0</v>
      </c>
      <c r="F5" s="1389"/>
      <c r="G5" s="1396"/>
      <c r="H5" s="1244" t="s">
        <v>1906</v>
      </c>
      <c r="I5" s="55">
        <f>ROUND(E31/D31,2)</f>
        <v>3.95</v>
      </c>
      <c r="J5" s="1389"/>
      <c r="K5" s="1389"/>
      <c r="L5" s="1389"/>
      <c r="M5" s="1389"/>
      <c r="N5" s="1389"/>
      <c r="O5" s="1389"/>
      <c r="P5" s="1389"/>
    </row>
    <row r="6" spans="1:16" ht="15" thickBot="1">
      <c r="A6" s="2227"/>
      <c r="B6" s="3101" t="s">
        <v>1911</v>
      </c>
      <c r="C6" s="3101"/>
      <c r="D6" s="48">
        <f>ROUND($D$3*E6/$E$3,2)</f>
        <v>25666.1</v>
      </c>
      <c r="E6" s="49">
        <f>E3-E5</f>
        <v>101504.34</v>
      </c>
      <c r="F6" s="1389"/>
      <c r="G6" s="2228" t="s">
        <v>1912</v>
      </c>
      <c r="H6" s="1396" t="s">
        <v>1913</v>
      </c>
      <c r="I6" s="936">
        <f>ROUND(F31/D31,2)</f>
        <v>2.39</v>
      </c>
      <c r="J6" s="1389"/>
      <c r="K6" s="1389"/>
      <c r="L6" s="1389"/>
      <c r="M6" s="1389"/>
      <c r="N6" s="1389"/>
      <c r="O6" s="1389"/>
      <c r="P6" s="1389"/>
    </row>
    <row r="7" spans="1:16" ht="15">
      <c r="A7" s="3093"/>
      <c r="B7" s="3094"/>
      <c r="C7" s="3095"/>
      <c r="D7" s="2224" t="s">
        <v>1907</v>
      </c>
      <c r="E7" s="2229" t="s">
        <v>1914</v>
      </c>
      <c r="F7" s="1389"/>
      <c r="G7" s="2221" t="s">
        <v>1915</v>
      </c>
      <c r="H7" s="64"/>
      <c r="I7" s="418"/>
      <c r="J7" s="1389"/>
      <c r="K7" s="1389"/>
      <c r="L7" s="1389"/>
      <c r="M7" s="1389"/>
      <c r="N7" s="1389"/>
      <c r="O7" s="1389"/>
      <c r="P7" s="1389"/>
    </row>
    <row r="8" spans="1:16">
      <c r="A8" s="47" t="s">
        <v>1916</v>
      </c>
      <c r="B8" s="50" t="s">
        <v>1917</v>
      </c>
      <c r="C8" s="48" t="s">
        <v>1918</v>
      </c>
      <c r="D8" s="48">
        <f t="shared" ref="D8:D15" si="0">ROUND($D$3*E8/$E$3,2)</f>
        <v>15388.04</v>
      </c>
      <c r="E8" s="51">
        <f>SUMIF('数据-基础表'!BB10:BK10,"地上",'数据-基础表'!BB5:BK5)</f>
        <v>60856.65</v>
      </c>
      <c r="F8" s="1389"/>
      <c r="G8" s="2230"/>
      <c r="H8" s="2230"/>
      <c r="I8" s="1389"/>
      <c r="J8" s="1389"/>
      <c r="K8" s="1389"/>
      <c r="L8" s="1389"/>
      <c r="M8" s="1389"/>
      <c r="N8" s="1389"/>
      <c r="O8" s="1389"/>
      <c r="P8" s="1389"/>
    </row>
    <row r="9" spans="1:16">
      <c r="A9" s="2231"/>
      <c r="B9" s="2232"/>
      <c r="C9" s="48" t="s">
        <v>1919</v>
      </c>
      <c r="D9" s="48">
        <f t="shared" si="0"/>
        <v>0</v>
      </c>
      <c r="E9" s="52">
        <v>0</v>
      </c>
      <c r="F9" s="1389"/>
      <c r="G9" s="2230"/>
      <c r="H9" s="2230"/>
      <c r="I9" s="1389"/>
      <c r="J9" s="1389"/>
      <c r="K9" s="1389"/>
      <c r="L9" s="1389"/>
      <c r="M9" s="1389"/>
      <c r="N9" s="1389"/>
      <c r="O9" s="1389"/>
      <c r="P9" s="1389"/>
    </row>
    <row r="10" spans="1:16">
      <c r="A10" s="2231"/>
      <c r="B10" s="2232"/>
      <c r="C10" s="48" t="s">
        <v>1928</v>
      </c>
      <c r="D10" s="48">
        <f t="shared" si="0"/>
        <v>4476.54</v>
      </c>
      <c r="E10" s="51">
        <f>SUMPRODUCT(('数据-基础表'!BB10:BK10="地下")*('数据-基础表'!BB11:BK11="商业")*('数据-基础表'!BB5:BK5))</f>
        <v>17703.810000000001</v>
      </c>
      <c r="F10" s="1389"/>
      <c r="G10" s="2230"/>
      <c r="H10" s="2230"/>
      <c r="I10" s="1389"/>
      <c r="J10" s="1389"/>
      <c r="K10" s="1389"/>
      <c r="L10" s="1389"/>
      <c r="M10" s="1389"/>
      <c r="N10" s="1389"/>
      <c r="O10" s="1389"/>
      <c r="P10" s="1389"/>
    </row>
    <row r="11" spans="1:16">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1922</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1934</v>
      </c>
      <c r="D14" s="48">
        <f t="shared" si="0"/>
        <v>5562.95</v>
      </c>
      <c r="E14" s="51">
        <f>SUMPRODUCT(('数据-基础表'!BB10:BK10="地下")*('数据-基础表'!BB11:BK11="车库—商业")*('数据-基础表'!BB5:BK5))</f>
        <v>22000.37</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1923</v>
      </c>
      <c r="D16" s="50">
        <f>SUM(D8:D15)</f>
        <v>25427.530000000002</v>
      </c>
      <c r="E16" s="53">
        <f>SUM(E8:E15)</f>
        <v>100560.83</v>
      </c>
      <c r="F16" s="1389"/>
      <c r="G16" s="2230"/>
      <c r="H16" s="2233" t="s">
        <v>1935</v>
      </c>
      <c r="I16" s="2234"/>
      <c r="J16" s="1389"/>
      <c r="K16" s="3090" t="s">
        <v>1935</v>
      </c>
      <c r="L16" s="3091"/>
      <c r="M16" s="3091"/>
      <c r="N16" s="3091"/>
      <c r="O16" s="3091"/>
      <c r="P16" s="3092"/>
    </row>
    <row r="17" spans="1:19" ht="15">
      <c r="A17" s="2235" t="s">
        <v>1936</v>
      </c>
      <c r="B17" s="2236" t="s">
        <v>1937</v>
      </c>
      <c r="C17" s="2237" t="s">
        <v>1938</v>
      </c>
      <c r="D17" s="2238" t="s">
        <v>1926</v>
      </c>
      <c r="E17" s="2239" t="s">
        <v>1927</v>
      </c>
      <c r="F17" s="2240"/>
      <c r="G17" s="2241"/>
      <c r="H17" s="2242" t="s">
        <v>1939</v>
      </c>
      <c r="I17" s="2243" t="s">
        <v>1924</v>
      </c>
      <c r="J17" s="1389"/>
      <c r="K17" s="3087" t="s">
        <v>1940</v>
      </c>
      <c r="L17" s="3088"/>
      <c r="M17" s="3089"/>
      <c r="N17" s="3087" t="s">
        <v>1941</v>
      </c>
      <c r="O17" s="3088"/>
      <c r="P17" s="3089"/>
      <c r="R17" s="2221" t="s">
        <v>1942</v>
      </c>
      <c r="S17" s="64"/>
    </row>
    <row r="18" spans="1:19" ht="15">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c r="A19" s="2252"/>
      <c r="B19" s="50" t="s">
        <v>1925</v>
      </c>
      <c r="C19" s="2948" t="s">
        <v>3107</v>
      </c>
      <c r="D19" s="48">
        <f>ROUND($D$3*E19/$E$3,2)</f>
        <v>19864.580000000002</v>
      </c>
      <c r="E19" s="56">
        <f t="shared" ref="E19:E26" si="1">SUM(F19:G19)</f>
        <v>78560.460000000006</v>
      </c>
      <c r="F19" s="57">
        <f>'数据-基础表'!I13+'数据-基础表'!I14</f>
        <v>60856.65</v>
      </c>
      <c r="G19" s="58">
        <f>'数据-基础表'!K13</f>
        <v>17703.810000000001</v>
      </c>
      <c r="H19" s="721">
        <f>ROUND($D$3*I19/$E$3,2)</f>
        <v>186.38</v>
      </c>
      <c r="I19" s="51">
        <f t="shared" ref="I19:I26" si="2">IF($I$17="自定义",P19,M19)</f>
        <v>737.09</v>
      </c>
      <c r="J19" s="1389"/>
      <c r="K19" s="1388">
        <f t="shared" ref="K19:K26" si="3">ROUND(E$28*E19/E$27,2)</f>
        <v>737.09</v>
      </c>
      <c r="L19" s="1244">
        <f t="shared" ref="L19:L26" si="4">ROUND(IF(COUNTIF(C19,"*住宅*")&gt;0,E$29*E19/E$32,0),2)</f>
        <v>0</v>
      </c>
      <c r="M19" s="1400">
        <f>K19+L19</f>
        <v>737.09</v>
      </c>
      <c r="N19" s="2254"/>
      <c r="O19" s="2255"/>
      <c r="P19" s="1400">
        <f>N19+O19</f>
        <v>0</v>
      </c>
      <c r="R19" s="1244">
        <f t="shared" ref="R19:S26" si="5">D19+H19</f>
        <v>20050.960000000003</v>
      </c>
      <c r="S19" s="1245">
        <f t="shared" si="5"/>
        <v>79297.55</v>
      </c>
    </row>
    <row r="20" spans="1:19">
      <c r="A20" s="2256"/>
      <c r="B20" s="50" t="s">
        <v>1953</v>
      </c>
      <c r="C20" s="2948" t="s">
        <v>3334</v>
      </c>
      <c r="D20" s="48">
        <f t="shared" ref="D20:D26" si="6">ROUND($D$3*E20/$E$3,2)</f>
        <v>5562.95</v>
      </c>
      <c r="E20" s="56">
        <f t="shared" si="1"/>
        <v>22000.37</v>
      </c>
      <c r="F20" s="57"/>
      <c r="G20" s="58">
        <f>'数据-基础表'!M5</f>
        <v>22000.37</v>
      </c>
      <c r="H20" s="721">
        <f t="shared" ref="H20:H26" si="7">ROUND($D$3*I20/$E$3,2)</f>
        <v>52.19</v>
      </c>
      <c r="I20" s="51">
        <f t="shared" si="2"/>
        <v>206.42</v>
      </c>
      <c r="J20" s="1389"/>
      <c r="K20" s="1388">
        <f t="shared" si="3"/>
        <v>206.42</v>
      </c>
      <c r="L20" s="1244">
        <f t="shared" si="4"/>
        <v>0</v>
      </c>
      <c r="M20" s="1400">
        <f t="shared" ref="M20:M26" si="8">K20+L20</f>
        <v>206.42</v>
      </c>
      <c r="N20" s="2254"/>
      <c r="O20" s="2255"/>
      <c r="P20" s="1400">
        <f t="shared" ref="P20:P26" si="9">N20+O20</f>
        <v>0</v>
      </c>
      <c r="R20" s="1244">
        <f t="shared" si="5"/>
        <v>5615.1399999999994</v>
      </c>
      <c r="S20" s="1245">
        <f t="shared" si="5"/>
        <v>22206.789999999997</v>
      </c>
    </row>
    <row r="21" spans="1:19">
      <c r="A21" s="2256"/>
      <c r="B21" s="50" t="s">
        <v>1953</v>
      </c>
      <c r="C21" s="2253"/>
      <c r="D21" s="48">
        <f t="shared" si="6"/>
        <v>0</v>
      </c>
      <c r="E21" s="56">
        <f t="shared" si="1"/>
        <v>0</v>
      </c>
      <c r="F21" s="57"/>
      <c r="G21" s="58"/>
      <c r="H21" s="721">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1954</v>
      </c>
      <c r="D27" s="1390">
        <f>SUM(D19:D26)</f>
        <v>25427.530000000002</v>
      </c>
      <c r="E27" s="1391">
        <f>IF(SUM(E19:E26)='数据-基础表'!BA5,SUM(E19:E26),IF(F27="地上面积有误","面积有误","地下面积有误"))</f>
        <v>100560.83</v>
      </c>
      <c r="F27" s="1390">
        <f>IF(SUM(F19:F26)=E8,SUM(F19:F26),"地上面积有误")</f>
        <v>60856.65</v>
      </c>
      <c r="G27" s="1392">
        <f>SUM(G19:G26)</f>
        <v>39704.18</v>
      </c>
      <c r="H27" s="1393">
        <f>SUM(H19:H26)</f>
        <v>238.57</v>
      </c>
      <c r="I27" s="1394">
        <f>SUM(I19:I26)</f>
        <v>943.51</v>
      </c>
      <c r="J27" s="1389"/>
      <c r="K27" s="1397">
        <f>SUM(K19:K26)</f>
        <v>943.51</v>
      </c>
      <c r="L27" s="1398">
        <f>SUM(L19:L26)</f>
        <v>0</v>
      </c>
      <c r="M27" s="1401">
        <f>SUM(M19:M26)</f>
        <v>943.51</v>
      </c>
      <c r="N27" s="1397">
        <f t="shared" ref="N27:O27" si="10">SUM(N19:N26)</f>
        <v>0</v>
      </c>
      <c r="O27" s="1398">
        <f t="shared" si="10"/>
        <v>0</v>
      </c>
      <c r="P27" s="1399">
        <f>SUM(P19:P26)</f>
        <v>0</v>
      </c>
      <c r="R27" s="1246">
        <f>IF(SUM(R19:R26)=$D$3,SUM(R19:R26),SUM(R19:R26)&amp;"误差"&amp;ROUND(SUM(R19:R26)-$D$3,2))</f>
        <v>25666.100000000002</v>
      </c>
      <c r="S27" s="1244">
        <f>IF(SUM(S19:S26)=$E$3,SUM(S19:S26),SUM(S19:S26)&amp;"误差"&amp;ROUND(SUM(S19:S26)-E3,2))</f>
        <v>101504.34</v>
      </c>
    </row>
    <row r="28" spans="1:19">
      <c r="A28" s="2256"/>
      <c r="B28" s="50" t="s">
        <v>1955</v>
      </c>
      <c r="C28" s="1256" t="s">
        <v>1956</v>
      </c>
      <c r="D28" s="48">
        <f>ROUND($D$3*E28/$E$3,2)</f>
        <v>238.57</v>
      </c>
      <c r="E28" s="56">
        <f>SUM(F28:G28)</f>
        <v>943.51</v>
      </c>
      <c r="F28" s="64">
        <f>'数据-基础表'!BQ5+'数据-基础表'!BS5</f>
        <v>443.51</v>
      </c>
      <c r="G28" s="65">
        <f>'数据-基础表'!BR5+'数据-基础表'!BT5</f>
        <v>500</v>
      </c>
      <c r="H28" s="1389"/>
      <c r="I28" s="1389"/>
      <c r="J28" s="1389"/>
      <c r="K28" s="1389"/>
      <c r="L28" s="1389"/>
      <c r="M28" s="1389"/>
      <c r="N28" s="1389"/>
      <c r="O28" s="1389"/>
      <c r="P28" s="1389"/>
    </row>
    <row r="29" spans="1:19">
      <c r="A29" s="2256"/>
      <c r="B29" s="50" t="s">
        <v>1955</v>
      </c>
      <c r="C29" s="2260"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1954</v>
      </c>
      <c r="D30" s="1390">
        <f>SUM(D28:D29)</f>
        <v>238.57</v>
      </c>
      <c r="E30" s="1390">
        <f>SUM(E28:E29)</f>
        <v>943.51</v>
      </c>
      <c r="F30" s="1390">
        <f>SUM(F28:F29)</f>
        <v>443.51</v>
      </c>
      <c r="G30" s="1392">
        <f>SUM(G28:G29)</f>
        <v>500</v>
      </c>
      <c r="H30" s="1389"/>
      <c r="I30" s="1389"/>
      <c r="J30" s="1389"/>
      <c r="K30" s="1389"/>
      <c r="L30" s="1389"/>
      <c r="M30" s="1389"/>
      <c r="N30" s="1389"/>
      <c r="O30" s="1389"/>
      <c r="P30" s="1389"/>
    </row>
    <row r="31" spans="1:19" ht="15.75" thickBot="1">
      <c r="A31" s="2262"/>
      <c r="B31" s="2263"/>
      <c r="C31" s="1004" t="s">
        <v>1958</v>
      </c>
      <c r="D31" s="726">
        <f>D27+D30</f>
        <v>25666.100000000002</v>
      </c>
      <c r="E31" s="726">
        <f>E27+E30</f>
        <v>101504.34</v>
      </c>
      <c r="F31" s="727">
        <f>F27+F30</f>
        <v>61300.160000000003</v>
      </c>
      <c r="G31" s="728">
        <f>G27+G30</f>
        <v>40204.18</v>
      </c>
      <c r="H31" s="1389"/>
      <c r="I31" s="1389"/>
      <c r="J31" s="1389"/>
      <c r="K31" s="1389"/>
      <c r="L31" s="1389"/>
      <c r="M31" s="1389"/>
      <c r="N31" s="1389"/>
      <c r="O31" s="1389"/>
      <c r="P31" s="1389"/>
    </row>
    <row r="32" spans="1:19">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X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3" width="7.25" style="2268" customWidth="1"/>
    <col min="34" max="34" width="11.6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1961</v>
      </c>
      <c r="B2" s="1263">
        <f>项目基本情况!D3</f>
        <v>43756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0.5">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3060</v>
      </c>
      <c r="O5" s="2289" t="s">
        <v>1981</v>
      </c>
      <c r="P5" s="2292" t="s">
        <v>1982</v>
      </c>
      <c r="Q5" s="69" t="s">
        <v>1983</v>
      </c>
      <c r="R5" s="2293" t="s">
        <v>1984</v>
      </c>
      <c r="S5" s="2294" t="s">
        <v>1985</v>
      </c>
      <c r="T5" s="2295" t="s">
        <v>1986</v>
      </c>
      <c r="U5" s="1264" t="s">
        <v>1987</v>
      </c>
      <c r="V5" s="1265" t="s">
        <v>1988</v>
      </c>
      <c r="W5" s="1265" t="s">
        <v>1989</v>
      </c>
      <c r="X5" s="71"/>
      <c r="Y5" s="70" t="s">
        <v>1990</v>
      </c>
      <c r="Z5" s="2296" t="s">
        <v>1987</v>
      </c>
      <c r="AA5" s="1265" t="s">
        <v>1988</v>
      </c>
      <c r="AB5" s="1265" t="s">
        <v>1989</v>
      </c>
      <c r="AC5" s="71"/>
      <c r="AD5" s="71" t="s">
        <v>1990</v>
      </c>
      <c r="AE5" s="1264" t="s">
        <v>1991</v>
      </c>
      <c r="AF5" s="1265" t="s">
        <v>1992</v>
      </c>
      <c r="AG5" s="70" t="s">
        <v>1993</v>
      </c>
      <c r="AH5" s="1264" t="s">
        <v>1994</v>
      </c>
      <c r="AI5" s="2296" t="s">
        <v>1995</v>
      </c>
      <c r="AJ5" s="2296" t="s">
        <v>1996</v>
      </c>
      <c r="AK5" s="1265" t="s">
        <v>1997</v>
      </c>
      <c r="AL5" s="1265" t="s">
        <v>1998</v>
      </c>
      <c r="AM5" s="70" t="s">
        <v>1999</v>
      </c>
      <c r="AN5" s="2297" t="s">
        <v>2000</v>
      </c>
      <c r="AO5" s="2067" t="s">
        <v>2001</v>
      </c>
      <c r="AP5" s="1246"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v>
      </c>
      <c r="B6" s="2300" t="str">
        <f>IF(A6=0,"","经营性")</f>
        <v>经营性</v>
      </c>
      <c r="C6" s="2301" t="s">
        <v>1373</v>
      </c>
      <c r="D6" s="1048">
        <f>SUMIF(项目基本情况!D$12:I$12,C6,项目基本情况!D$14:I$14)</f>
        <v>40</v>
      </c>
      <c r="E6" s="1045">
        <f>IF(B6="","",SUMIF(项目基本情况!D$12:I$12,C6,项目基本情况!D$13:I$13))</f>
        <v>52093</v>
      </c>
      <c r="F6" s="72">
        <f>SUMIF(项目基本情况!D$12:I$12,C6,项目基本情况!D$15:I$15)</f>
        <v>22.84</v>
      </c>
      <c r="G6" s="73">
        <f>IF(ISERROR(ROUND(POWER(1+H6,D6-F6)*(POWER(1+H6,F6)-1)/(POWER(1+H6,D6)-1),3)),0,ROUND(POWER(1+H6,D6-F6)*(POWER(1+H6,F6)-1)/(POWER(1+H6,D6)-1),3))</f>
        <v>0.78300000000000003</v>
      </c>
      <c r="H6" s="799">
        <v>0.05</v>
      </c>
      <c r="I6" s="799">
        <v>5.5E-2</v>
      </c>
      <c r="J6" s="74">
        <v>0.09</v>
      </c>
      <c r="K6" s="1248">
        <f>SUMIF('数据-汇总表'!C$19:C$33,A6,'数据-汇总表'!E$19:E$33)</f>
        <v>78560.460000000006</v>
      </c>
      <c r="L6" s="2976">
        <v>4300</v>
      </c>
      <c r="M6" s="75">
        <f t="shared" ref="M6:M14" si="0">ROUND(K6*L6/10000,0)</f>
        <v>33781</v>
      </c>
      <c r="N6" s="2964">
        <v>0.92</v>
      </c>
      <c r="O6" s="75" t="str">
        <f>IF($N$5="成新度","——",ROUND(M6*N6,0))</f>
        <v>——</v>
      </c>
      <c r="P6" s="76" t="str">
        <f>IF($N$5="成新度","——",M6-O6)</f>
        <v>——</v>
      </c>
      <c r="Q6" s="801">
        <v>0.25</v>
      </c>
      <c r="R6" s="77">
        <f ca="1">SUMIF('数据-汇总表'!C$19:C$33,A6,'数据-汇总表'!R$19:R$27)</f>
        <v>20050.960000000003</v>
      </c>
      <c r="S6" s="54">
        <f>IF('数据-汇总表'!$I$17="按面积比例",SUMIF('数据-汇总表'!C$19:C$33,A6,'数据-汇总表'!K$19:K$33),SUMIF('数据-汇总表'!C$19:C$33,A6,'数据-汇总表'!N$19:N$33))</f>
        <v>737.09</v>
      </c>
      <c r="T6" s="1440">
        <f>ROUND($L$14*S6/10000,0)</f>
        <v>317</v>
      </c>
      <c r="U6" s="3010">
        <v>5.7</v>
      </c>
      <c r="V6" s="2965">
        <v>0.03</v>
      </c>
      <c r="W6" s="2965">
        <v>0.05</v>
      </c>
      <c r="X6" s="1258"/>
      <c r="Y6" s="80">
        <f>N6</f>
        <v>0.92</v>
      </c>
      <c r="Z6" s="81"/>
      <c r="AA6" s="74"/>
      <c r="AB6" s="74"/>
      <c r="AC6" s="1258"/>
      <c r="AD6" s="82"/>
      <c r="AE6" s="1259">
        <f ca="1">IF(AN6="",0,SUMIF(INDIRECT("'"&amp;AN6&amp;"'"&amp;"!E:E"),$AE$5,INDIRECT("'"&amp;AN6&amp;"'"&amp;"!F:F")))</f>
        <v>22.84</v>
      </c>
      <c r="AF6" s="1800"/>
      <c r="AG6" s="145">
        <f>IF(AF6="",0,AE6-AF6)</f>
        <v>0</v>
      </c>
      <c r="AH6" s="3011">
        <f>K6+K7</f>
        <v>100560.83</v>
      </c>
      <c r="AI6" s="85">
        <v>365</v>
      </c>
      <c r="AJ6" s="86"/>
      <c r="AK6" s="94">
        <v>1.4999999999999999E-2</v>
      </c>
      <c r="AL6" s="95">
        <v>2E-3</v>
      </c>
      <c r="AM6" s="96">
        <v>0.02</v>
      </c>
      <c r="AN6" s="2302" t="s">
        <v>3061</v>
      </c>
      <c r="AO6" s="55">
        <f ca="1">SUMIF(INDIRECT("'"&amp;AN6&amp;"'"&amp;"!A:A"),"总价",INDIRECT("'"&amp;AN6&amp;"'"&amp;"!B:B"))</f>
        <v>257250</v>
      </c>
      <c r="AP6" s="2303">
        <f>IF(C6="住宅",K6*L6,0)</f>
        <v>0</v>
      </c>
      <c r="AQ6" s="55">
        <f>ROUND($L$14*$N$14*S6/10000,0)</f>
        <v>292</v>
      </c>
      <c r="AR6" s="55">
        <f>ROUND($L$14*(1-$N$14)*S6/10000,0)</f>
        <v>25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车库</v>
      </c>
      <c r="B7" s="2300" t="str">
        <f t="shared" ref="B7:B13" si="1">IF(A7=0,"","经营性")</f>
        <v>经营性</v>
      </c>
      <c r="C7" s="2301" t="s">
        <v>3332</v>
      </c>
      <c r="D7" s="1048">
        <f>SUMIF(项目基本情况!D$12:I$12,C7,项目基本情况!D$14:I$14)</f>
        <v>50</v>
      </c>
      <c r="E7" s="1045">
        <f>IF(B7="","",SUMIF(项目基本情况!D$12:I$12,C7,项目基本情况!D$13:I$13))</f>
        <v>55746</v>
      </c>
      <c r="F7" s="72">
        <f>SUMIF(项目基本情况!D$12:I$12,C7,项目基本情况!D$15:I$15)</f>
        <v>32.840000000000003</v>
      </c>
      <c r="G7" s="73">
        <f t="shared" ref="G7:G11" si="2">IF(ISERROR(ROUND(POWER(1+H7,D7-F7)*(POWER(1+H7,F7)-1)/(POWER(1+H7,D7)-1),3)),0,ROUND(POWER(1+H7,D7-F7)*(POWER(1+H7,F7)-1)/(POWER(1+H7,D7)-1),3))</f>
        <v>0.84299999999999997</v>
      </c>
      <c r="H7" s="799">
        <v>0.04</v>
      </c>
      <c r="I7" s="799">
        <v>4.4999999999999998E-2</v>
      </c>
      <c r="J7" s="74">
        <v>0.09</v>
      </c>
      <c r="K7" s="1248">
        <f>SUMIF('数据-汇总表'!C$19:C$33,A7,'数据-汇总表'!E$19:E$33)</f>
        <v>22000.37</v>
      </c>
      <c r="L7" s="800">
        <f>L6</f>
        <v>4300</v>
      </c>
      <c r="M7" s="75">
        <f t="shared" si="0"/>
        <v>9460</v>
      </c>
      <c r="N7" s="798">
        <v>0.92</v>
      </c>
      <c r="O7" s="75" t="str">
        <f t="shared" ref="O7:O14" si="3">IF($N$5="成新度","——",ROUND(M7*N7,0))</f>
        <v>——</v>
      </c>
      <c r="P7" s="76" t="str">
        <f t="shared" ref="P7:P14" si="4">IF($N$5="成新度","——",M7-O7)</f>
        <v>——</v>
      </c>
      <c r="Q7" s="801">
        <v>0.25</v>
      </c>
      <c r="R7" s="77">
        <f ca="1">SUMIF('数据-汇总表'!C$19:C$33,A7,'数据-汇总表'!R$19:R$27)</f>
        <v>5615.1399999999994</v>
      </c>
      <c r="S7" s="54">
        <f>IF('数据-汇总表'!$I$17="按面积比例",SUMIF('数据-汇总表'!C$19:C$33,A7,'数据-汇总表'!K$19:K$33),SUMIF('数据-汇总表'!C$19:C$33,A7,'数据-汇总表'!N$19:N$33))</f>
        <v>206.42</v>
      </c>
      <c r="T7" s="1440">
        <f t="shared" ref="T7:T13" si="5">ROUND($L$14*S7/10000,0)</f>
        <v>89</v>
      </c>
      <c r="U7" s="78"/>
      <c r="V7" s="79"/>
      <c r="W7" s="79"/>
      <c r="X7" s="1258"/>
      <c r="Y7" s="80"/>
      <c r="Z7" s="81"/>
      <c r="AA7" s="74"/>
      <c r="AB7" s="74"/>
      <c r="AC7" s="1258"/>
      <c r="AD7" s="82"/>
      <c r="AE7" s="1259">
        <f t="shared" ref="AE7:AE13" ca="1" si="6">IF(AN7="",0,SUMIF(INDIRECT("'"&amp;AN7&amp;"'"&amp;"!E:E"),$AE$5,INDIRECT("'"&amp;AN7&amp;"'"&amp;"!F:F")))</f>
        <v>0</v>
      </c>
      <c r="AF7" s="1800"/>
      <c r="AG7" s="145">
        <f t="shared" ref="AG7:AG13" si="7">IF(AF7="",0,AE7-AF7)</f>
        <v>0</v>
      </c>
      <c r="AH7" s="83"/>
      <c r="AI7" s="85">
        <v>365</v>
      </c>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82</v>
      </c>
      <c r="AR7" s="55">
        <f t="shared" ref="AR7:AR13" si="11">ROUND($L$14*(1-$N$14)*S7/10000,0)</f>
        <v>7</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0"/>
      <c r="AG8" s="145">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5">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5">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5">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2005</v>
      </c>
      <c r="B14" s="2300" t="s">
        <v>2006</v>
      </c>
      <c r="C14" s="2305" t="s">
        <v>2005</v>
      </c>
      <c r="D14" s="1048"/>
      <c r="E14" s="1045"/>
      <c r="F14" s="72"/>
      <c r="G14" s="73"/>
      <c r="H14" s="1247"/>
      <c r="I14" s="1247"/>
      <c r="J14" s="1247"/>
      <c r="K14" s="1248">
        <f>SUMIF('数据-汇总表'!C$19:C$33,A14,'数据-汇总表'!E$19:E$33)</f>
        <v>943.51</v>
      </c>
      <c r="L14" s="91">
        <f>L7</f>
        <v>4300</v>
      </c>
      <c r="M14" s="75">
        <f t="shared" si="0"/>
        <v>406</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1"/>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2007</v>
      </c>
      <c r="B15" s="2300" t="s">
        <v>2006</v>
      </c>
      <c r="C15" s="2305"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1"/>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2009</v>
      </c>
      <c r="B16" s="97"/>
      <c r="C16" s="1002"/>
      <c r="D16" s="2307"/>
      <c r="E16" s="97"/>
      <c r="F16" s="97"/>
      <c r="G16" s="98">
        <f>ROUND(SUMPRODUCT(G6:G13,K6:K13)/SUMPRODUCT((G6:G13&gt;0)*(K6:K13)),3)</f>
        <v>0.79600000000000004</v>
      </c>
      <c r="H16" s="99">
        <f>ROUND(SUMPRODUCT(H6:H13,K6:K13)/SUMPRODUCT((H6:H13&gt;0)*(K6:K13)),3)</f>
        <v>4.8000000000000001E-2</v>
      </c>
      <c r="I16" s="100"/>
      <c r="J16" s="100"/>
      <c r="K16" s="101">
        <f>SUM(K6:K15)</f>
        <v>101504.34</v>
      </c>
      <c r="L16" s="102">
        <f>ROUND(M16*10000/SUM(K6:K14),0)</f>
        <v>4300</v>
      </c>
      <c r="M16" s="102">
        <f>SUM(M6:M14)</f>
        <v>43647</v>
      </c>
      <c r="N16" s="103">
        <f>ROUND(SUMPRODUCT(M6:M14,N6:N14)/M16,3)</f>
        <v>0.92</v>
      </c>
      <c r="O16" s="102">
        <f>SUM(O6:O14)</f>
        <v>0</v>
      </c>
      <c r="P16" s="102">
        <f>SUM(P6:P14)</f>
        <v>0</v>
      </c>
      <c r="Q16" s="104">
        <f>ROUND(SUMPRODUCT(Q6:Q13,K6:K13)/SUMPRODUCT((Q6:Q13&gt;0)*(K6:K13)),2)</f>
        <v>0.25</v>
      </c>
      <c r="R16" s="1252">
        <f ca="1">SUM(R6:R13)</f>
        <v>25666.100000000002</v>
      </c>
      <c r="S16" s="105">
        <f>SUM(S6:S13)</f>
        <v>943.51</v>
      </c>
      <c r="T16" s="106">
        <f>IF(SUMIF(T6:T13,"&lt;9E307")=M14,SUMIF(T6:T13,"&lt;9E307"),"有误，请检查")</f>
        <v>406</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t="s">
        <v>3352</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2011</v>
      </c>
      <c r="B19" s="112">
        <v>0</v>
      </c>
      <c r="C19" s="2270" t="s">
        <v>2012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2013</v>
      </c>
      <c r="B20" s="113">
        <v>2</v>
      </c>
      <c r="C20" s="2270" t="s">
        <v>2014</v>
      </c>
      <c r="D20" s="2271"/>
      <c r="E20" s="2270"/>
      <c r="F20" s="2270"/>
      <c r="G20" s="2270"/>
      <c r="H20" s="2270"/>
      <c r="I20" s="2270"/>
      <c r="J20" s="2270"/>
      <c r="K20" s="3004" t="s">
        <v>3358</v>
      </c>
      <c r="L20" s="3004" t="s">
        <v>3359</v>
      </c>
      <c r="M20" s="3005" t="s">
        <v>3362</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2015</v>
      </c>
      <c r="B21" s="113">
        <v>2</v>
      </c>
      <c r="C21" s="2270"/>
      <c r="D21" s="2271"/>
      <c r="E21" s="2270"/>
      <c r="F21" s="2270"/>
      <c r="G21" s="2270"/>
      <c r="H21" s="2270"/>
      <c r="I21" s="3104" t="s">
        <v>3356</v>
      </c>
      <c r="J21" s="3104"/>
      <c r="K21" s="166">
        <f>'数据-基础表'!I5</f>
        <v>60856.65</v>
      </c>
      <c r="L21" s="166">
        <v>5800</v>
      </c>
      <c r="M21" s="1577">
        <f>ROUND(L21*K21/10000,0)</f>
        <v>35297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2016</v>
      </c>
      <c r="B22" s="114">
        <f>B19+B20</f>
        <v>2</v>
      </c>
      <c r="C22" s="2270"/>
      <c r="D22" s="2271"/>
      <c r="E22" s="2270"/>
      <c r="F22" s="2270"/>
      <c r="G22" s="2270"/>
      <c r="H22" s="2270"/>
      <c r="I22" s="3104" t="s">
        <v>3357</v>
      </c>
      <c r="J22" s="3104"/>
      <c r="K22" s="2962">
        <f>'数据-基础表'!K5</f>
        <v>17703.810000000001</v>
      </c>
      <c r="L22" s="166">
        <v>2500</v>
      </c>
      <c r="M22" s="1577">
        <f t="shared" ref="M22:M24" si="12">ROUND(L22*K22/10000,0)</f>
        <v>4426</v>
      </c>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2017</v>
      </c>
      <c r="B23" s="114">
        <f>B19+B21</f>
        <v>2</v>
      </c>
      <c r="C23" s="2270"/>
      <c r="D23" s="2271"/>
      <c r="E23" s="2270"/>
      <c r="F23" s="2270"/>
      <c r="G23" s="2270"/>
      <c r="H23" s="2270"/>
      <c r="I23" s="3104" t="s">
        <v>3360</v>
      </c>
      <c r="J23" s="3104"/>
      <c r="K23" s="2962">
        <f>'数据-基础表'!M5</f>
        <v>22000.37</v>
      </c>
      <c r="L23" s="166">
        <v>2000</v>
      </c>
      <c r="M23" s="1577">
        <f t="shared" si="12"/>
        <v>4400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2018</v>
      </c>
      <c r="B24" s="115">
        <f>B20-B21</f>
        <v>0</v>
      </c>
      <c r="C24" s="2270"/>
      <c r="D24" s="2271"/>
      <c r="E24" s="2270"/>
      <c r="F24" s="2270"/>
      <c r="G24" s="2270"/>
      <c r="H24" s="2270"/>
      <c r="I24" s="3104" t="s">
        <v>3361</v>
      </c>
      <c r="J24" s="3104"/>
      <c r="K24" s="166">
        <f>'数据-基础表'!AL5+'数据-基础表'!AN5</f>
        <v>943.51</v>
      </c>
      <c r="L24" s="166">
        <v>2000</v>
      </c>
      <c r="M24" s="1577">
        <f t="shared" si="12"/>
        <v>189</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3104"/>
      <c r="J25" s="3104"/>
      <c r="K25" s="166">
        <f>SUM(K21:K24)</f>
        <v>101504.34</v>
      </c>
      <c r="L25" s="166">
        <f>ROUND(M25*10000/K25,0)</f>
        <v>4366</v>
      </c>
      <c r="M25" s="1577">
        <f>SUM(M21:M24)</f>
        <v>44312</v>
      </c>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2019</v>
      </c>
      <c r="B26" s="2313" t="s">
        <v>2020</v>
      </c>
      <c r="C26" s="2314" t="s">
        <v>2021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2022</v>
      </c>
      <c r="B27" s="116">
        <v>160</v>
      </c>
      <c r="C27" s="1760" t="s">
        <v>2023</v>
      </c>
      <c r="D27" s="2316"/>
      <c r="E27" s="1424"/>
      <c r="F27" s="1424"/>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2024</v>
      </c>
      <c r="B28" s="119">
        <v>200</v>
      </c>
      <c r="C28" s="2319"/>
      <c r="D28" s="2316"/>
      <c r="E28" s="1424"/>
      <c r="F28" s="1424"/>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2025</v>
      </c>
      <c r="B29" s="2958">
        <f ca="1">成本法!C10</f>
        <v>2030</v>
      </c>
      <c r="C29" s="1760" t="s">
        <v>2026</v>
      </c>
      <c r="D29" s="2316"/>
      <c r="E29" s="1424"/>
      <c r="F29" s="1424"/>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2027</v>
      </c>
      <c r="B30" s="722">
        <v>200</v>
      </c>
      <c r="C30" s="2319"/>
      <c r="D30" s="2316"/>
      <c r="E30" s="1424"/>
      <c r="F30" s="1424"/>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2028</v>
      </c>
      <c r="B31" s="120">
        <f>B30-B32</f>
        <v>200</v>
      </c>
      <c r="C31" s="1760"/>
      <c r="D31" s="2316"/>
      <c r="E31" s="1424"/>
      <c r="F31" s="1424"/>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2029</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2030</v>
      </c>
      <c r="B33" s="2963">
        <v>0.05</v>
      </c>
      <c r="C33" s="1759" t="s">
        <v>2031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2032</v>
      </c>
      <c r="B34" s="121">
        <v>0.05</v>
      </c>
      <c r="C34" s="1759" t="s">
        <v>2033</v>
      </c>
      <c r="D34" s="2271" t="s">
        <v>2034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2035</v>
      </c>
      <c r="B35" s="119">
        <v>200</v>
      </c>
      <c r="C35" s="1759" t="s">
        <v>2036</v>
      </c>
      <c r="D35" s="2316"/>
      <c r="E35" s="1424"/>
      <c r="F35" s="1424"/>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2">
        <v>1.4999999999999999E-2</v>
      </c>
      <c r="C36" s="1759" t="s">
        <v>2038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2039</v>
      </c>
      <c r="B37" s="123">
        <v>0.03</v>
      </c>
      <c r="C37" s="1759" t="s">
        <v>2040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2041</v>
      </c>
      <c r="B38" s="121">
        <v>0.03</v>
      </c>
      <c r="C38" s="1759" t="s">
        <v>2040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2043</v>
      </c>
      <c r="B40" s="1297">
        <f ca="1">存贷款利率!G1</f>
        <v>4.7500000000000001E-2</v>
      </c>
      <c r="C40" s="1759" t="s">
        <v>2044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2045</v>
      </c>
      <c r="B41" s="124">
        <f>B42+B43</f>
        <v>5.5000000000000007E-2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2046</v>
      </c>
      <c r="B42" s="125">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2047</v>
      </c>
      <c r="B43" s="126">
        <f>B42*(B44+B45+B46)+B47</f>
        <v>5.000000000000001E-3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2048</v>
      </c>
      <c r="B44" s="2960">
        <v>0.05</v>
      </c>
      <c r="C44" s="1759" t="s">
        <v>2049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2050</v>
      </c>
      <c r="B45" s="125">
        <v>0.03</v>
      </c>
      <c r="C45" s="1760" t="s">
        <v>2051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2052</v>
      </c>
      <c r="B46" s="125">
        <v>0.02</v>
      </c>
      <c r="C46" s="1760" t="s">
        <v>2053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2054</v>
      </c>
      <c r="B47" s="127"/>
      <c r="C47" s="1760" t="s">
        <v>2055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2056</v>
      </c>
      <c r="B48" s="128">
        <v>0.03</v>
      </c>
      <c r="C48" s="1767" t="s">
        <v>2057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2058</v>
      </c>
      <c r="B49" s="125">
        <v>5.0000000000000001E-4</v>
      </c>
      <c r="C49" s="1767" t="s">
        <v>2059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2060</v>
      </c>
      <c r="B50" s="129">
        <v>1.2E-2</v>
      </c>
      <c r="C50" s="1424"/>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2061</v>
      </c>
      <c r="B51" s="130">
        <v>0.12</v>
      </c>
      <c r="C51" s="1424"/>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2062</v>
      </c>
      <c r="B52" s="131">
        <f>SUMIF(A54:A63,B53,B54:B63)</f>
        <v>1.5</v>
      </c>
      <c r="C52" s="1424"/>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2063</v>
      </c>
      <c r="B53" s="2329" t="s">
        <v>56</v>
      </c>
      <c r="C53" s="1424" t="s">
        <v>2064</v>
      </c>
      <c r="D53" s="2330" t="s">
        <v>2065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2066</v>
      </c>
      <c r="B54" s="84"/>
      <c r="C54" s="1424">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2067</v>
      </c>
      <c r="B55" s="84"/>
      <c r="C55" s="1424">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2068</v>
      </c>
      <c r="B56" s="84"/>
      <c r="C56" s="1424">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2069</v>
      </c>
      <c r="B57" s="84"/>
      <c r="C57" s="1424">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2070</v>
      </c>
      <c r="B58" s="84"/>
      <c r="C58" s="1424">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2071</v>
      </c>
      <c r="B59" s="84">
        <v>1.5</v>
      </c>
      <c r="C59" s="1424">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2072</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2073</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2074</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formatCells="0" formatColumns="0" formatRows="0"/>
  <mergeCells count="5">
    <mergeCell ref="I21:J21"/>
    <mergeCell ref="I22:J22"/>
    <mergeCell ref="I23:J23"/>
    <mergeCell ref="I24:J24"/>
    <mergeCell ref="I25:J25"/>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05" t="s">
        <v>2076</v>
      </c>
      <c r="B1" s="3106"/>
      <c r="C1" s="3106"/>
      <c r="D1" s="3106"/>
      <c r="E1" s="3106"/>
      <c r="F1" s="3106"/>
      <c r="G1" s="310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54">
      <c r="A3" s="413" t="s">
        <v>2079</v>
      </c>
      <c r="B3" s="1265" t="s">
        <v>2080</v>
      </c>
      <c r="C3" s="2363" t="s">
        <v>2081</v>
      </c>
      <c r="D3" s="2364"/>
      <c r="E3" s="429" t="s">
        <v>2079</v>
      </c>
      <c r="F3" s="2365" t="s">
        <v>2082</v>
      </c>
      <c r="G3" s="2951" t="s">
        <v>3075</v>
      </c>
      <c r="H3" s="2361"/>
      <c r="I3" s="2361"/>
      <c r="J3" s="2361"/>
      <c r="K3" s="2361"/>
      <c r="L3" s="2361"/>
      <c r="M3" s="2361"/>
      <c r="N3" s="2361"/>
      <c r="O3" s="2361"/>
      <c r="P3" s="2361"/>
      <c r="Q3" s="2361"/>
      <c r="R3" s="2361"/>
    </row>
    <row r="4" spans="1:29" ht="67.5">
      <c r="A4" s="429"/>
      <c r="B4" s="1791" t="s">
        <v>2083</v>
      </c>
      <c r="C4" s="2366" t="s">
        <v>2084</v>
      </c>
      <c r="D4" s="2364"/>
      <c r="E4" s="2367"/>
      <c r="F4" s="42" t="s">
        <v>2085</v>
      </c>
      <c r="G4" s="2952" t="s">
        <v>3076</v>
      </c>
      <c r="H4" s="2361"/>
      <c r="I4" s="2361"/>
      <c r="J4" s="2361"/>
      <c r="K4" s="2361"/>
      <c r="L4" s="2361"/>
      <c r="M4" s="2361"/>
      <c r="N4" s="2361"/>
      <c r="O4" s="2361"/>
      <c r="P4" s="2361"/>
      <c r="Q4" s="2361"/>
      <c r="R4" s="2361"/>
    </row>
    <row r="5" spans="1:29" ht="41.25">
      <c r="A5" s="429"/>
      <c r="B5" s="1791" t="s">
        <v>2087</v>
      </c>
      <c r="C5" s="2366" t="s">
        <v>2088</v>
      </c>
      <c r="D5" s="2364"/>
      <c r="E5" s="2367"/>
      <c r="F5" s="1791" t="s">
        <v>2089</v>
      </c>
      <c r="G5" s="2952" t="s">
        <v>3079</v>
      </c>
      <c r="H5" s="2361"/>
      <c r="I5" s="2361"/>
      <c r="J5" s="2361"/>
      <c r="K5" s="2361"/>
      <c r="L5" s="2361"/>
      <c r="M5" s="2361"/>
      <c r="N5" s="2361"/>
      <c r="O5" s="2361"/>
      <c r="P5" s="2361"/>
      <c r="Q5" s="2361"/>
      <c r="R5" s="2361"/>
    </row>
    <row r="6" spans="1:29" ht="54">
      <c r="A6" s="429"/>
      <c r="B6" s="1791" t="s">
        <v>2091</v>
      </c>
      <c r="C6" s="2368" t="s">
        <v>2086</v>
      </c>
      <c r="D6" s="2364"/>
      <c r="E6" s="2367"/>
      <c r="F6" s="1791" t="s">
        <v>2092</v>
      </c>
      <c r="G6" s="2952" t="s">
        <v>3077</v>
      </c>
      <c r="H6" s="2361"/>
      <c r="I6" s="2361"/>
      <c r="J6" s="2361"/>
      <c r="K6" s="2361"/>
      <c r="L6" s="2361"/>
      <c r="M6" s="2361"/>
      <c r="N6" s="2361"/>
      <c r="O6" s="2361"/>
      <c r="P6" s="2361"/>
      <c r="Q6" s="2361"/>
      <c r="R6" s="2361"/>
    </row>
    <row r="7" spans="1:29" ht="54.75" thickBot="1">
      <c r="A7" s="429"/>
      <c r="B7" s="1791" t="s">
        <v>2089</v>
      </c>
      <c r="C7" s="2368" t="s">
        <v>2090</v>
      </c>
      <c r="D7" s="2369"/>
      <c r="E7" s="2370"/>
      <c r="F7" s="2371" t="s">
        <v>2094</v>
      </c>
      <c r="G7" s="2953" t="s">
        <v>3078</v>
      </c>
      <c r="H7" s="2361"/>
      <c r="I7" s="2361"/>
      <c r="J7" s="2361"/>
      <c r="K7" s="2361"/>
      <c r="L7" s="2361"/>
      <c r="M7" s="2361"/>
      <c r="N7" s="2361"/>
      <c r="O7" s="2361"/>
      <c r="P7" s="2361"/>
      <c r="Q7" s="2361"/>
      <c r="R7" s="2361"/>
    </row>
    <row r="8" spans="1:29" ht="27">
      <c r="A8" s="429"/>
      <c r="B8" s="1791" t="s">
        <v>2092</v>
      </c>
      <c r="C8" s="2368" t="s">
        <v>2093</v>
      </c>
      <c r="D8" s="2369"/>
      <c r="E8" s="2369"/>
      <c r="F8" s="1130"/>
      <c r="G8" s="1130"/>
      <c r="H8" s="2361"/>
      <c r="I8" s="2361"/>
      <c r="J8" s="2361"/>
      <c r="K8" s="2361"/>
      <c r="L8" s="2361"/>
      <c r="M8" s="2361"/>
      <c r="N8" s="2361"/>
      <c r="O8" s="2361"/>
      <c r="P8" s="2361"/>
      <c r="Q8" s="2361"/>
      <c r="R8" s="2361"/>
    </row>
    <row r="9" spans="1:29" ht="27">
      <c r="A9" s="429"/>
      <c r="B9" s="1791" t="s">
        <v>2095</v>
      </c>
      <c r="C9" s="2366" t="s">
        <v>2096</v>
      </c>
      <c r="D9" s="2364"/>
      <c r="E9" s="2369"/>
      <c r="F9" s="1130"/>
      <c r="G9" s="1130"/>
      <c r="H9" s="2361"/>
      <c r="I9" s="2361"/>
      <c r="J9" s="2361"/>
      <c r="K9" s="2361"/>
      <c r="L9" s="2361"/>
      <c r="M9" s="2361"/>
      <c r="N9" s="2361"/>
      <c r="O9" s="2361"/>
      <c r="P9" s="2361"/>
      <c r="Q9" s="2361"/>
      <c r="R9" s="2361"/>
    </row>
    <row r="10" spans="1:29" s="117" customFormat="1" ht="15.75" thickBot="1">
      <c r="A10" s="2372"/>
      <c r="B10" s="2373" t="s">
        <v>2097</v>
      </c>
      <c r="C10" s="2374"/>
      <c r="D10" s="2364"/>
      <c r="E10" s="2364"/>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4"/>
      <c r="E14" s="2393"/>
      <c r="F14" s="2393"/>
      <c r="G14" s="2358" t="s">
        <v>2100</v>
      </c>
    </row>
    <row r="15" spans="1:29" ht="57">
      <c r="A15" s="68" t="s">
        <v>2101</v>
      </c>
      <c r="B15" s="1264" t="s">
        <v>2080</v>
      </c>
      <c r="C15" s="2394" t="str">
        <f>C3</f>
        <v>估价对象周边居住用地比例、居住小区规模和社区发展完善程度，综合评价居住社区成熟度一般</v>
      </c>
      <c r="D15" s="2364"/>
      <c r="E15" s="2395" t="s">
        <v>2102</v>
      </c>
      <c r="F15" s="1264" t="s">
        <v>2103</v>
      </c>
      <c r="G15" s="133" t="str">
        <f>G3</f>
        <v>估价对象位于亦庄经济技术开发区，园区建设较成熟，产业集聚程度较好</v>
      </c>
    </row>
    <row r="16" spans="1:29" ht="71.25">
      <c r="A16" s="643"/>
      <c r="B16" s="2396" t="s">
        <v>2083</v>
      </c>
      <c r="C16" s="2397" t="str">
        <f>C4</f>
        <v>估价对象位于XX商圈，周边商业氛围成熟，人流量大，商业繁华度好</v>
      </c>
      <c r="D16" s="2364"/>
      <c r="E16" s="2398"/>
      <c r="F16" s="2399" t="s">
        <v>2085</v>
      </c>
      <c r="G16" s="134" t="str">
        <f>G4</f>
        <v>估价对象临西环南路、永昌南路，距京沪高速约1.1公里，临地铁亦庄线，公共交通通达、停车便捷程度较好，综合评价交通便捷度较好</v>
      </c>
    </row>
    <row r="17" spans="1:18" ht="42.75">
      <c r="A17" s="643"/>
      <c r="B17" s="2396" t="s">
        <v>2087</v>
      </c>
      <c r="C17" s="2397" t="str">
        <f>C5</f>
        <v>估价对象位于XX商圈，周边办公楼项目较多，入驻率高，办公集聚程度较好</v>
      </c>
      <c r="D17" s="2369"/>
      <c r="E17" s="2398"/>
      <c r="F17" s="2399" t="s">
        <v>2104</v>
      </c>
      <c r="G17" s="2949" t="s">
        <v>3063</v>
      </c>
    </row>
    <row r="18" spans="1:18" ht="57">
      <c r="A18" s="643"/>
      <c r="B18" s="2399" t="s">
        <v>2091</v>
      </c>
      <c r="C18" s="134" t="str">
        <f>C6</f>
        <v>估价对象周边道路状况、公共交通通达情况、停车便捷程度，综合评价交通便捷度较好</v>
      </c>
      <c r="D18" s="2369"/>
      <c r="E18" s="2398"/>
      <c r="F18" s="2399" t="s">
        <v>2094</v>
      </c>
      <c r="G18" s="134" t="str">
        <f>G7</f>
        <v>该园区内多为机械、光电为主企业，绿化情况较好，卫生条件较好，临凉水河公园、亦庄湿地，整体环境状况较好</v>
      </c>
    </row>
    <row r="19" spans="1:18" ht="28.5">
      <c r="A19" s="643"/>
      <c r="B19" s="2399" t="s">
        <v>2105</v>
      </c>
      <c r="C19" s="1565"/>
      <c r="D19" s="2364"/>
      <c r="E19" s="2398"/>
      <c r="F19" s="1791" t="s">
        <v>2089</v>
      </c>
      <c r="G19" s="134" t="str">
        <f>G5</f>
        <v>估价对象所在区域公共配套设施齐备情况较好</v>
      </c>
    </row>
    <row r="20" spans="1:18" ht="28.5">
      <c r="A20" s="643"/>
      <c r="B20" s="2399" t="s">
        <v>2106</v>
      </c>
      <c r="C20" s="2397" t="str">
        <f>C9</f>
        <v>区域自然环境：；人文环境；综合评价环境状况一般</v>
      </c>
      <c r="D20" s="2369"/>
      <c r="E20" s="2398"/>
      <c r="F20" s="1791" t="s">
        <v>2107</v>
      </c>
      <c r="G20" s="134" t="str">
        <f>G6</f>
        <v>估价对象所在区域基础设施水平达七通</v>
      </c>
    </row>
    <row r="21" spans="1:18" ht="28.5">
      <c r="A21" s="643"/>
      <c r="B21" s="1791" t="s">
        <v>2089</v>
      </c>
      <c r="C21" s="134" t="str">
        <f>C7</f>
        <v>估价对象所在区域公共配套设施齐备情况</v>
      </c>
      <c r="D21" s="2364"/>
      <c r="E21" s="2398"/>
      <c r="F21" s="2399" t="s">
        <v>2108</v>
      </c>
      <c r="G21" s="2400" t="s">
        <v>3062</v>
      </c>
    </row>
    <row r="22" spans="1:18" ht="13.5" customHeight="1">
      <c r="A22" s="643"/>
      <c r="B22" s="1791" t="s">
        <v>2092</v>
      </c>
      <c r="C22" s="134" t="str">
        <f>C8</f>
        <v>估价对象所在区域基础设施水平</v>
      </c>
      <c r="D22" s="2364"/>
      <c r="E22" s="2398"/>
      <c r="F22" s="2399" t="s">
        <v>2097</v>
      </c>
      <c r="G22" s="2949" t="s">
        <v>3085</v>
      </c>
    </row>
    <row r="23" spans="1:18" s="2361" customFormat="1" ht="15.75" thickBot="1">
      <c r="A23" s="643"/>
      <c r="B23" s="2399" t="s">
        <v>2108</v>
      </c>
      <c r="C23" s="2400" t="s">
        <v>3062</v>
      </c>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119180.70999999999</v>
      </c>
      <c r="C1" s="1738"/>
      <c r="D1" s="1738"/>
      <c r="E1" s="1738"/>
      <c r="F1" s="1738"/>
      <c r="G1" s="1736"/>
    </row>
    <row r="2" spans="1:10" ht="16.5">
      <c r="A2" s="1739" t="s">
        <v>1349</v>
      </c>
      <c r="B2" s="1739">
        <f>SUM(C14:C23)</f>
        <v>25666.1</v>
      </c>
      <c r="C2" s="1738"/>
      <c r="D2" s="1738"/>
      <c r="E2" s="1738"/>
      <c r="F2" s="1738"/>
      <c r="G2" s="1736"/>
    </row>
    <row r="3" spans="1:10" ht="16.5">
      <c r="A3" s="1739" t="s">
        <v>1358</v>
      </c>
      <c r="B3" s="1740">
        <f>项目基本情况!D3</f>
        <v>43756</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300053</v>
      </c>
      <c r="C5" s="1739">
        <f ca="1">ROUND(B5*10000/$B$1,0)</f>
        <v>25176</v>
      </c>
      <c r="D5" s="1739">
        <f ca="1">ROUND(B5*10000/$B$2,0)</f>
        <v>116906</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300053</v>
      </c>
      <c r="C7" s="1739">
        <f ca="1">ROUND(B7*10000/$B$1,0)</f>
        <v>25176</v>
      </c>
      <c r="D7" s="1739">
        <f ca="1">ROUND(B7*10000/$B$2,0)</f>
        <v>116906</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101504.34</v>
      </c>
      <c r="C14" s="1737">
        <f>结果表!C118</f>
        <v>25666.1</v>
      </c>
      <c r="D14" s="1737">
        <f ca="1">结果表!H118</f>
        <v>241017</v>
      </c>
      <c r="E14" s="1737">
        <f ca="1">ROUND(D14*10000/B14,0)</f>
        <v>23745</v>
      </c>
      <c r="F14" s="1737">
        <f ca="1">ROUND(D14*10000/C14,0)</f>
        <v>93905</v>
      </c>
      <c r="G14" s="1737" t="str">
        <f>结果表!D122</f>
        <v>——</v>
      </c>
      <c r="H14" s="1737">
        <f ca="1">结果表!D124</f>
        <v>241017</v>
      </c>
      <c r="I14" s="1737" t="str">
        <f>结果表!D126</f>
        <v>——</v>
      </c>
      <c r="J14" s="1736"/>
    </row>
    <row r="15" spans="1:10" ht="16.5">
      <c r="A15" s="1735" t="s">
        <v>1345</v>
      </c>
      <c r="B15" s="1742">
        <f>'[1]数据-基础表'!$I$13</f>
        <v>17676.37</v>
      </c>
      <c r="C15" s="1742">
        <v>0</v>
      </c>
      <c r="D15" s="1742">
        <f>[1]结果表!$G$19</f>
        <v>59036</v>
      </c>
      <c r="E15" s="1737">
        <f t="shared" ref="E15:E23" si="0">ROUND(D15*10000/B15,0)</f>
        <v>33398</v>
      </c>
      <c r="F15" s="1737" t="e">
        <f t="shared" ref="F15:F23" si="1">ROUND(D15*10000/C15,0)</f>
        <v>#DIV/0!</v>
      </c>
      <c r="G15" s="1743"/>
      <c r="H15" s="1743">
        <f>D15</f>
        <v>59036</v>
      </c>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c r="D1" s="2410"/>
      <c r="E1" s="2410"/>
      <c r="F1" s="2412" t="s">
        <v>2112</v>
      </c>
      <c r="G1" s="2063" t="s">
        <v>3050</v>
      </c>
      <c r="H1" s="2413" t="str">
        <f>IF(G1="现房","——","估价对象范围")</f>
        <v>——</v>
      </c>
      <c r="I1" s="2414" t="s">
        <v>3072</v>
      </c>
    </row>
    <row r="2" spans="1:12" ht="21.75" customHeight="1" thickBot="1">
      <c r="A2" s="3179" t="str">
        <f>项目基本情况!S2</f>
        <v>北京市大兴区欣旺北大街8号1幢商业用房房地产</v>
      </c>
      <c r="B2" s="3180"/>
      <c r="C2" s="3180"/>
      <c r="D2" s="3180"/>
      <c r="E2" s="3180"/>
      <c r="F2" s="3180"/>
      <c r="G2" s="3180"/>
      <c r="H2" s="3180"/>
      <c r="I2" s="3181"/>
    </row>
    <row r="3" spans="1:12" ht="12.75">
      <c r="A3" s="3183" t="s">
        <v>2113</v>
      </c>
      <c r="B3" s="3184"/>
      <c r="C3" s="3184"/>
      <c r="D3" s="3184"/>
      <c r="E3" s="3184"/>
      <c r="F3" s="3184"/>
      <c r="G3" s="3184"/>
      <c r="H3" s="3184"/>
      <c r="I3" s="3184"/>
    </row>
    <row r="4" spans="1:12" ht="14.25">
      <c r="A4" s="2417" t="s">
        <v>2114</v>
      </c>
      <c r="B4" s="2418" t="s">
        <v>2115</v>
      </c>
      <c r="C4" s="2419" t="s">
        <v>3073</v>
      </c>
      <c r="D4" s="2419" t="s">
        <v>3061</v>
      </c>
      <c r="E4" s="3163" t="s">
        <v>2116</v>
      </c>
      <c r="F4" s="3176"/>
      <c r="G4" s="3176"/>
      <c r="H4" s="3176"/>
      <c r="I4" s="316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54" t="s">
        <v>2117</v>
      </c>
      <c r="B5" s="3079">
        <v>25</v>
      </c>
      <c r="C5" s="3185"/>
      <c r="D5" s="3182"/>
      <c r="E5" s="138" t="s">
        <v>2118</v>
      </c>
      <c r="F5" s="2421"/>
      <c r="G5" s="2421"/>
      <c r="H5" s="2421"/>
      <c r="I5" s="1827"/>
    </row>
    <row r="6" spans="1:12" ht="12.75">
      <c r="A6" s="3154"/>
      <c r="B6" s="3079"/>
      <c r="C6" s="3187"/>
      <c r="D6" s="3182"/>
      <c r="E6" s="138" t="s">
        <v>2119</v>
      </c>
      <c r="F6" s="2421"/>
      <c r="G6" s="2421"/>
      <c r="H6" s="2421"/>
      <c r="I6" s="1827"/>
    </row>
    <row r="7" spans="1:12" ht="12.75">
      <c r="A7" s="3154"/>
      <c r="B7" s="3079"/>
      <c r="C7" s="3186"/>
      <c r="D7" s="3182"/>
      <c r="E7" s="138" t="s">
        <v>2120</v>
      </c>
      <c r="F7" s="2421"/>
      <c r="G7" s="2421"/>
      <c r="H7" s="2421"/>
      <c r="I7" s="1827"/>
    </row>
    <row r="8" spans="1:12" ht="12.75">
      <c r="A8" s="3154" t="s">
        <v>2121</v>
      </c>
      <c r="B8" s="3079">
        <v>15</v>
      </c>
      <c r="C8" s="3185"/>
      <c r="D8" s="3182"/>
      <c r="E8" s="138" t="s">
        <v>2122</v>
      </c>
      <c r="F8" s="2421"/>
      <c r="G8" s="2421"/>
      <c r="H8" s="2421"/>
      <c r="I8" s="1827"/>
    </row>
    <row r="9" spans="1:12" ht="12.75">
      <c r="A9" s="3154"/>
      <c r="B9" s="3079"/>
      <c r="C9" s="3186"/>
      <c r="D9" s="3182"/>
      <c r="E9" s="138" t="s">
        <v>2123</v>
      </c>
      <c r="F9" s="2421"/>
      <c r="G9" s="2421"/>
      <c r="H9" s="2421"/>
      <c r="I9" s="1827"/>
    </row>
    <row r="10" spans="1:12" ht="12.75">
      <c r="A10" s="3154" t="s">
        <v>2124</v>
      </c>
      <c r="B10" s="3079">
        <v>15</v>
      </c>
      <c r="C10" s="3185"/>
      <c r="D10" s="3182"/>
      <c r="E10" s="138" t="s">
        <v>2125</v>
      </c>
      <c r="F10" s="2421"/>
      <c r="G10" s="2421"/>
      <c r="H10" s="2421"/>
      <c r="I10" s="1827"/>
    </row>
    <row r="11" spans="1:12" ht="12.75">
      <c r="A11" s="3154"/>
      <c r="B11" s="3079"/>
      <c r="C11" s="3186"/>
      <c r="D11" s="3182"/>
      <c r="E11" s="138" t="s">
        <v>2126</v>
      </c>
      <c r="F11" s="2421"/>
      <c r="G11" s="2421"/>
      <c r="H11" s="2421"/>
      <c r="I11" s="1827"/>
    </row>
    <row r="12" spans="1:12" ht="12.75">
      <c r="A12" s="3154" t="s">
        <v>2127</v>
      </c>
      <c r="B12" s="3079">
        <v>15</v>
      </c>
      <c r="C12" s="3185"/>
      <c r="D12" s="3182"/>
      <c r="E12" s="138" t="s">
        <v>2128</v>
      </c>
      <c r="F12" s="2421"/>
      <c r="G12" s="2421"/>
      <c r="H12" s="2421"/>
      <c r="I12" s="1827"/>
    </row>
    <row r="13" spans="1:12" ht="12.75">
      <c r="A13" s="3154"/>
      <c r="B13" s="3079"/>
      <c r="C13" s="3186"/>
      <c r="D13" s="3182"/>
      <c r="E13" s="138" t="s">
        <v>2129</v>
      </c>
      <c r="F13" s="2421"/>
      <c r="G13" s="2421"/>
      <c r="H13" s="2421"/>
      <c r="I13" s="1827"/>
    </row>
    <row r="14" spans="1:12" ht="12.75">
      <c r="A14" s="3154" t="s">
        <v>2130</v>
      </c>
      <c r="B14" s="3079">
        <v>30</v>
      </c>
      <c r="C14" s="3198">
        <v>5</v>
      </c>
      <c r="D14" s="3172">
        <v>5</v>
      </c>
      <c r="E14" s="138" t="s">
        <v>2131</v>
      </c>
      <c r="F14" s="2421"/>
      <c r="G14" s="2421"/>
      <c r="H14" s="2421"/>
      <c r="I14" s="1827"/>
    </row>
    <row r="15" spans="1:12" ht="12.75">
      <c r="A15" s="3154"/>
      <c r="B15" s="3079"/>
      <c r="C15" s="3199"/>
      <c r="D15" s="3172"/>
      <c r="E15" s="138" t="s">
        <v>2132</v>
      </c>
      <c r="F15" s="2421"/>
      <c r="G15" s="2421"/>
      <c r="H15" s="2421"/>
      <c r="I15" s="1827"/>
    </row>
    <row r="16" spans="1:12" ht="12.75">
      <c r="A16" s="3154"/>
      <c r="B16" s="3079"/>
      <c r="C16" s="3200"/>
      <c r="D16" s="3172"/>
      <c r="E16" s="138" t="s">
        <v>2133</v>
      </c>
      <c r="F16" s="2421"/>
      <c r="G16" s="2421"/>
      <c r="H16" s="2421"/>
      <c r="I16" s="1827"/>
    </row>
    <row r="17" spans="1:35" ht="15">
      <c r="A17" s="2422" t="s">
        <v>2134</v>
      </c>
      <c r="B17" s="64"/>
      <c r="C17" s="139">
        <f>SUM(C5:C16)</f>
        <v>5</v>
      </c>
      <c r="D17" s="139">
        <f>SUM(D5:D16)</f>
        <v>5</v>
      </c>
      <c r="E17" s="136"/>
      <c r="F17" s="136"/>
      <c r="G17" s="136"/>
      <c r="H17" s="136"/>
      <c r="I17" s="136"/>
      <c r="K17" s="2420"/>
      <c r="L17" s="2423" t="s">
        <v>2135</v>
      </c>
      <c r="M17" s="2423" t="s">
        <v>2136</v>
      </c>
    </row>
    <row r="18" spans="1:35" ht="15.7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101504.34</v>
      </c>
      <c r="M18" s="2420">
        <f>IF(C1="",'数据-汇总表'!E3,SUMIF(项目类型,C1,'数据-汇总表'!E17:E26))</f>
        <v>101504.34</v>
      </c>
    </row>
    <row r="19" spans="1:35" ht="15">
      <c r="A19" s="2426" t="s">
        <v>2139</v>
      </c>
      <c r="B19" s="2427" t="s">
        <v>2140</v>
      </c>
      <c r="C19" s="141">
        <f ca="1">SUMIF(INDIRECT("'"&amp;C4&amp;"'"&amp;"!A:A"),结果表!B19,INDIRECT("'"&amp;C4&amp;"'"&amp;"!B:B"))</f>
        <v>224783</v>
      </c>
      <c r="D19" s="142">
        <f ca="1">SUMIF(INDIRECT("'"&amp;D4&amp;"'"&amp;"!A:A"),结果表!B19,INDIRECT("'"&amp;D4&amp;"'"&amp;"!B:B"))</f>
        <v>257250</v>
      </c>
      <c r="E19" s="2426" t="s">
        <v>2141</v>
      </c>
      <c r="F19" s="2427" t="s">
        <v>2140</v>
      </c>
      <c r="G19" s="143">
        <f ca="1">ROUND(C19*$C$18+D19*$D$18,0)</f>
        <v>241017</v>
      </c>
      <c r="H19" s="2428" t="s">
        <v>2142</v>
      </c>
      <c r="I19" s="136"/>
      <c r="K19" s="2420" t="s">
        <v>2143</v>
      </c>
      <c r="L19" s="2420">
        <f>IF(C1="",'数据-汇总表'!D3,SUMIF(项目类型,C1,'数据-汇总表'!D17:D26)+SUMIF(项目类型,C1,'数据-汇总表'!H17:H27))</f>
        <v>25666.1</v>
      </c>
      <c r="M19" s="2420">
        <f>IF(C1="",'数据-汇总表'!D3,SUMIF(项目类型,C1,'数据-汇总表'!D17:D26))</f>
        <v>25666.1</v>
      </c>
    </row>
    <row r="20" spans="1:35" ht="15">
      <c r="A20" s="2429"/>
      <c r="B20" s="1244" t="s">
        <v>2144</v>
      </c>
      <c r="C20" s="144">
        <f ca="1">SUMIF(INDIRECT("'"&amp;C4&amp;"'"&amp;"!A:A"),结果表!B20,INDIRECT("'"&amp;C4&amp;"'"&amp;"!B:B"))</f>
        <v>22145</v>
      </c>
      <c r="D20" s="145">
        <f ca="1">SUMIF(INDIRECT("'"&amp;D4&amp;"'"&amp;"!A:A"),结果表!B20,INDIRECT("'"&amp;D4&amp;"'"&amp;"!B:B"))</f>
        <v>32745</v>
      </c>
      <c r="E20" s="2429"/>
      <c r="F20" s="1244" t="s">
        <v>2144</v>
      </c>
      <c r="G20" s="146">
        <f ca="1">ROUND(C20*$C$18+D20*$D$18,0)</f>
        <v>27445</v>
      </c>
      <c r="H20" s="977" t="s">
        <v>2145</v>
      </c>
      <c r="I20" s="136"/>
    </row>
    <row r="21" spans="1:35" ht="15" customHeight="1" thickBot="1">
      <c r="A21" s="997"/>
      <c r="B21" s="2430" t="s">
        <v>2146</v>
      </c>
      <c r="C21" s="786">
        <f ca="1">ROUND(C19*10000/L19,0)</f>
        <v>87580</v>
      </c>
      <c r="D21" s="787">
        <f ca="1">ROUND(D19*10000/L19,0)</f>
        <v>100229</v>
      </c>
      <c r="E21" s="997"/>
      <c r="F21" s="2430" t="s">
        <v>2146</v>
      </c>
      <c r="G21" s="147">
        <f ca="1">ROUND(G19*10000/L19,0)</f>
        <v>93905</v>
      </c>
      <c r="H21" s="2431" t="s">
        <v>2145</v>
      </c>
      <c r="I21" s="136"/>
      <c r="J21" s="792">
        <f ca="1">G19/'数据-汇总表'!F31</f>
        <v>3.9317515647593742</v>
      </c>
    </row>
    <row r="22" spans="1:35" ht="15" thickBot="1">
      <c r="A22" s="2274" t="s">
        <v>2147</v>
      </c>
      <c r="B22" s="2432"/>
      <c r="C22" s="2433"/>
      <c r="D22" s="788">
        <f ca="1">IF(C19&lt;D19,D19/C19-1,C19/D19-1)</f>
        <v>0.14443707931649641</v>
      </c>
      <c r="E22" s="136"/>
      <c r="F22" s="136"/>
      <c r="G22" s="136"/>
      <c r="H22" s="136"/>
      <c r="I22" s="136"/>
    </row>
    <row r="23" spans="1:35" ht="13.5" thickBot="1">
      <c r="A23" s="2410"/>
      <c r="B23" s="2410"/>
      <c r="C23" s="2410"/>
      <c r="D23" s="2410"/>
      <c r="E23" s="136"/>
      <c r="F23" s="136"/>
      <c r="G23" s="136"/>
      <c r="H23" s="136"/>
      <c r="I23" s="136"/>
    </row>
    <row r="24" spans="1:35" ht="14.25">
      <c r="A24" s="3194" t="s">
        <v>2148</v>
      </c>
      <c r="B24" s="2427" t="s">
        <v>2140</v>
      </c>
      <c r="C24" s="143">
        <f>IF(B30=0,0,D30)</f>
        <v>0</v>
      </c>
      <c r="D24" s="2434"/>
      <c r="E24" s="136"/>
      <c r="F24" s="136"/>
      <c r="G24" s="136"/>
      <c r="H24" s="136"/>
      <c r="I24" s="136"/>
    </row>
    <row r="25" spans="1:35" ht="14.25">
      <c r="A25" s="3195"/>
      <c r="B25" s="1244"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2153</v>
      </c>
      <c r="B30" s="149"/>
      <c r="C30" s="149"/>
      <c r="D30" s="149"/>
      <c r="E30" s="2909" t="s">
        <v>3023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2154</v>
      </c>
      <c r="B32" s="2440"/>
      <c r="C32" s="151">
        <f ca="1">IF(D32="总价",G19-C24,G20-C25)</f>
        <v>241017</v>
      </c>
      <c r="D32" s="2441" t="s">
        <v>2155</v>
      </c>
      <c r="E32" s="136"/>
      <c r="F32" s="136"/>
      <c r="G32" s="136"/>
      <c r="H32" s="136"/>
      <c r="I32" s="136"/>
    </row>
    <row r="33" spans="1:15" ht="15">
      <c r="A33" s="954" t="s">
        <v>2156</v>
      </c>
      <c r="B33" s="2442"/>
      <c r="C33" s="2443" t="s">
        <v>3083</v>
      </c>
      <c r="D33" s="2444" t="s">
        <v>3073</v>
      </c>
      <c r="E33" s="2445" t="s">
        <v>2157</v>
      </c>
      <c r="F33" s="2446" t="str">
        <f>IF(D32="楼面单价","取值（单价）","取值（总价）")</f>
        <v>取值（总价）</v>
      </c>
      <c r="G33" s="136"/>
      <c r="H33" s="136"/>
      <c r="I33" s="136"/>
    </row>
    <row r="34" spans="1:15" ht="15">
      <c r="A34" s="2447"/>
      <c r="B34" s="2448" t="s">
        <v>2158</v>
      </c>
      <c r="C34" s="155">
        <f ca="1">IF(C33="自定义",F34,C32-C35)</f>
        <v>170640</v>
      </c>
      <c r="D34" s="1052">
        <f ca="1">IF(C33="自定义",ROUND(C34/C32,3),IF(C33="收益比率",SUMIF(INDIRECT("'"&amp;D33&amp;"'"&amp;"!b:b"),"土地收益比率",INDIRECT("'"&amp;D33&amp;"'"&amp;"!c:c")),SUMIF(INDIRECT("'"&amp;D33&amp;"'"&amp;"!b:b"),"土地成本比率",INDIRECT("'"&amp;D33&amp;"'"&amp;"!c:c"))))</f>
        <v>0.70799999999999996</v>
      </c>
      <c r="E34" s="2449" t="s">
        <v>2159</v>
      </c>
      <c r="F34" s="1732"/>
      <c r="G34" s="136"/>
      <c r="H34" s="136"/>
      <c r="I34" s="136"/>
    </row>
    <row r="35" spans="1:15" ht="15.75" thickBot="1">
      <c r="A35" s="2450"/>
      <c r="B35" s="2451" t="s">
        <v>2160</v>
      </c>
      <c r="C35" s="1438">
        <f ca="1">IF(C33="自定义",F35,ROUND(C32*D35,0))</f>
        <v>70377</v>
      </c>
      <c r="D35" s="1439">
        <f ca="1">IF(C33="自定义",ROUND(C35/C32,3),IF(C33="收益比率",SUMIF(INDIRECT("'"&amp;D33&amp;"'"&amp;"!b:b"),"建筑物收益比率",INDIRECT("'"&amp;D33&amp;"'"&amp;"!c:c")),SUMIF(INDIRECT("'"&amp;D33&amp;"'"&amp;"!b:b"),"建筑物成本比率",INDIRECT("'"&amp;D33&amp;"'"&amp;"!c:c"))))</f>
        <v>0.29199999999999998</v>
      </c>
      <c r="E35" s="2452" t="s">
        <v>2161</v>
      </c>
      <c r="F35" s="161"/>
      <c r="G35" s="136"/>
      <c r="H35" s="136"/>
      <c r="I35" s="136"/>
    </row>
    <row r="36" spans="1:15" ht="15.75" thickBot="1">
      <c r="A36" s="3173" t="s">
        <v>2162</v>
      </c>
      <c r="B36" s="2453" t="s">
        <v>2163</v>
      </c>
      <c r="C36" s="152"/>
      <c r="D36" s="2454"/>
      <c r="E36" s="2455"/>
      <c r="F36" s="2456"/>
      <c r="G36" s="136"/>
      <c r="H36" s="136"/>
      <c r="I36" s="136"/>
    </row>
    <row r="37" spans="1:15" ht="15.75" thickBot="1">
      <c r="A37" s="3174"/>
      <c r="B37" s="2260" t="s">
        <v>2164</v>
      </c>
      <c r="C37" s="154"/>
      <c r="D37" s="1389"/>
      <c r="E37" s="1389"/>
      <c r="F37" s="2456"/>
      <c r="G37" s="136"/>
      <c r="H37" s="136"/>
      <c r="I37" s="136"/>
    </row>
    <row r="38" spans="1:15" ht="15.75" thickBot="1">
      <c r="A38" s="3175"/>
      <c r="B38" s="2457" t="s">
        <v>2165</v>
      </c>
      <c r="C38" s="724"/>
      <c r="D38" s="2458" t="s">
        <v>2166</v>
      </c>
      <c r="E38" s="1389"/>
      <c r="F38" s="2456"/>
      <c r="G38" s="136"/>
      <c r="H38" s="136"/>
      <c r="I38" s="136"/>
    </row>
    <row r="39" spans="1:15" ht="15">
      <c r="A39" s="2429" t="s">
        <v>2167</v>
      </c>
      <c r="B39" s="2459" t="s">
        <v>2168</v>
      </c>
      <c r="C39" s="2460" t="s">
        <v>2169</v>
      </c>
      <c r="D39" s="2460" t="s">
        <v>2170</v>
      </c>
      <c r="E39" s="2461" t="s">
        <v>2171</v>
      </c>
      <c r="F39" s="2456"/>
      <c r="G39" s="136"/>
      <c r="H39" s="136"/>
      <c r="I39" s="136"/>
    </row>
    <row r="40" spans="1:15" ht="14.25">
      <c r="A40" s="2462" t="s">
        <v>2172</v>
      </c>
      <c r="B40" s="156"/>
      <c r="C40" s="157"/>
      <c r="D40" s="157"/>
      <c r="E40" s="158"/>
      <c r="F40" s="2456"/>
      <c r="G40" s="136"/>
      <c r="H40" s="136"/>
      <c r="I40" s="136"/>
    </row>
    <row r="41" spans="1:15" ht="14.25">
      <c r="A41" s="2462" t="s">
        <v>2173</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91" t="s">
        <v>2176</v>
      </c>
      <c r="B45" s="3192"/>
      <c r="C45" s="3193"/>
      <c r="D45" s="162">
        <f ca="1">ROUND(H101*F45,0)</f>
        <v>241017</v>
      </c>
      <c r="E45" s="163" t="s">
        <v>2177</v>
      </c>
      <c r="F45" s="164">
        <v>1</v>
      </c>
      <c r="G45" s="165" t="s">
        <v>2178</v>
      </c>
      <c r="H45" s="136"/>
      <c r="I45" s="136"/>
      <c r="J45" s="3109" t="s">
        <v>2179</v>
      </c>
      <c r="K45" s="3109"/>
      <c r="L45" s="3109"/>
      <c r="M45" s="3109"/>
      <c r="N45" s="3109"/>
      <c r="O45" s="3109"/>
    </row>
    <row r="46" spans="1:15" ht="14.25" customHeight="1">
      <c r="A46" s="3188" t="s">
        <v>2180</v>
      </c>
      <c r="B46" s="3189"/>
      <c r="C46" s="3189"/>
      <c r="D46" s="3189"/>
      <c r="E46" s="3189"/>
      <c r="F46" s="3189"/>
      <c r="G46" s="3190"/>
      <c r="H46" s="2472"/>
      <c r="I46" s="166"/>
      <c r="J46" s="1805">
        <v>1</v>
      </c>
      <c r="K46" s="3109" t="s">
        <v>2181</v>
      </c>
      <c r="L46" s="3109"/>
      <c r="M46" s="3110"/>
      <c r="N46" s="3110"/>
      <c r="O46" s="3110"/>
    </row>
    <row r="47" spans="1:15" ht="12" customHeight="1">
      <c r="A47" s="167" t="s">
        <v>2182</v>
      </c>
      <c r="B47" s="168"/>
      <c r="C47" s="169"/>
      <c r="D47" s="170" t="s">
        <v>2183</v>
      </c>
      <c r="E47" s="24" t="s">
        <v>2184</v>
      </c>
      <c r="F47" s="171" t="s">
        <v>2185</v>
      </c>
      <c r="G47" s="172" t="s">
        <v>2186</v>
      </c>
      <c r="H47" s="2472"/>
      <c r="I47" s="166"/>
      <c r="J47" s="1805">
        <v>2</v>
      </c>
      <c r="K47" s="3109" t="s">
        <v>2187</v>
      </c>
      <c r="L47" s="3109"/>
      <c r="M47" s="3111">
        <f>'数据-取费表'!B2</f>
        <v>43756</v>
      </c>
      <c r="N47" s="3111"/>
      <c r="O47" s="3111"/>
    </row>
    <row r="48" spans="1:15" ht="25.5">
      <c r="A48" s="3177" t="s">
        <v>2188</v>
      </c>
      <c r="B48" s="3178"/>
      <c r="C48" s="3178"/>
      <c r="D48" s="138">
        <f>IF(H48="情况1",0,IF(H48="情况2",D52,IF(H48="情况3",D53,IF(H48="情况4",D54))))</f>
        <v>0</v>
      </c>
      <c r="E48" s="1794" t="str">
        <f>IF(H48="情况4","(销售额-原购置价)×税（费）率","销售额×税（费）率")</f>
        <v>销售额×税（费）率</v>
      </c>
      <c r="F48" s="173" t="str">
        <f>IF(H48="情况1","免征",'数据-取费表'!B41)</f>
        <v>免征</v>
      </c>
      <c r="G48" s="2473" t="s">
        <v>2189</v>
      </c>
      <c r="H48" s="2474" t="s">
        <v>2190</v>
      </c>
      <c r="I48" s="2472"/>
      <c r="J48" s="1805">
        <v>3</v>
      </c>
      <c r="K48" s="3109" t="s">
        <v>2191</v>
      </c>
      <c r="L48" s="3109"/>
      <c r="M48" s="3112">
        <f ca="1">H101</f>
        <v>241017</v>
      </c>
      <c r="N48" s="3112"/>
      <c r="O48" s="3112"/>
    </row>
    <row r="49" spans="1:35" ht="25.5" customHeight="1">
      <c r="A49" s="174" t="s">
        <v>2192</v>
      </c>
      <c r="B49" s="3157" t="s">
        <v>2193</v>
      </c>
      <c r="C49" s="3157"/>
      <c r="D49" s="175">
        <v>0</v>
      </c>
      <c r="E49" s="23" t="s">
        <v>2194</v>
      </c>
      <c r="F49" s="28" t="s">
        <v>34</v>
      </c>
      <c r="G49" s="3138"/>
      <c r="H49" s="136"/>
      <c r="I49" s="2475"/>
      <c r="J49" s="1805">
        <v>4</v>
      </c>
      <c r="K49" s="3109" t="str">
        <f>IF(项目基本情况!E8="房地产抵押价值","房地产抵押价值","抵押担保权已注销时的房地产抵押价值")</f>
        <v>抵押担保权已注销时的房地产抵押价值</v>
      </c>
      <c r="L49" s="3109"/>
      <c r="M49" s="3112">
        <f ca="1">IF(项目基本情况!E8="房地产抵押价值",H107,H109)</f>
        <v>241017</v>
      </c>
      <c r="N49" s="3112"/>
      <c r="O49" s="3112"/>
    </row>
    <row r="50" spans="1:35" ht="25.5" customHeight="1">
      <c r="A50" s="176"/>
      <c r="B50" s="3157" t="s">
        <v>2195</v>
      </c>
      <c r="C50" s="3157"/>
      <c r="D50" s="177"/>
      <c r="E50" s="31"/>
      <c r="F50" s="178"/>
      <c r="G50" s="3139"/>
      <c r="H50" s="136"/>
      <c r="I50" s="2475"/>
      <c r="J50" s="3109" t="s">
        <v>2196</v>
      </c>
      <c r="K50" s="3109"/>
      <c r="L50" s="3109"/>
      <c r="M50" s="3109"/>
      <c r="N50" s="3109"/>
      <c r="O50" s="3109"/>
    </row>
    <row r="51" spans="1:35" ht="12" customHeight="1">
      <c r="A51" s="179"/>
      <c r="B51" s="3157" t="s">
        <v>2197</v>
      </c>
      <c r="C51" s="3157"/>
      <c r="D51" s="180"/>
      <c r="E51" s="30"/>
      <c r="F51" s="178"/>
      <c r="G51" s="3140"/>
      <c r="H51" s="136"/>
      <c r="I51" s="2475"/>
      <c r="J51" s="2476" t="s">
        <v>2198</v>
      </c>
      <c r="K51" s="3109" t="s">
        <v>2199</v>
      </c>
      <c r="L51" s="3109"/>
      <c r="M51" s="2476" t="s">
        <v>2200</v>
      </c>
      <c r="N51" s="2476" t="s">
        <v>2201</v>
      </c>
      <c r="O51" s="2476" t="s">
        <v>2202</v>
      </c>
    </row>
    <row r="52" spans="1:35" ht="24" customHeight="1">
      <c r="A52" s="181" t="s">
        <v>2203</v>
      </c>
      <c r="B52" s="3157" t="s">
        <v>2204</v>
      </c>
      <c r="C52" s="3157"/>
      <c r="D52" s="180">
        <f ca="1">ROUND(D45*'数据-取费表'!B41/(1+'数据-取费表'!C42),0)</f>
        <v>12625</v>
      </c>
      <c r="E52" s="11" t="s">
        <v>2205</v>
      </c>
      <c r="F52" s="182">
        <f>'数据-取费表'!B41</f>
        <v>5.5000000000000007E-2</v>
      </c>
      <c r="G52" s="2477"/>
      <c r="H52" s="136"/>
      <c r="I52" s="2475"/>
      <c r="J52" s="1805">
        <v>1</v>
      </c>
      <c r="K52" s="3132" t="s">
        <v>2206</v>
      </c>
      <c r="L52" s="3132"/>
      <c r="M52" s="1747">
        <f>D48</f>
        <v>0</v>
      </c>
      <c r="N52" s="1805" t="str">
        <f>E48</f>
        <v>销售额×税（费）率</v>
      </c>
      <c r="O52" s="1748" t="str">
        <f>F48</f>
        <v>免征</v>
      </c>
    </row>
    <row r="53" spans="1:35" ht="12" customHeight="1">
      <c r="A53" s="181" t="s">
        <v>2207</v>
      </c>
      <c r="B53" s="3158" t="s">
        <v>2208</v>
      </c>
      <c r="C53" s="3159"/>
      <c r="D53" s="180">
        <f ca="1">ROUND(D45*'数据-取费表'!B41/(1+'数据-取费表'!C42),0)</f>
        <v>12625</v>
      </c>
      <c r="E53" s="11" t="s">
        <v>2205</v>
      </c>
      <c r="F53" s="182">
        <f>'数据-取费表'!B41</f>
        <v>5.5000000000000007E-2</v>
      </c>
      <c r="G53" s="2477"/>
      <c r="H53" s="136"/>
      <c r="I53" s="2475"/>
      <c r="J53" s="1805">
        <v>2</v>
      </c>
      <c r="K53" s="3132" t="s">
        <v>2209</v>
      </c>
      <c r="L53" s="3132"/>
      <c r="M53" s="1747">
        <f t="shared" ref="M53:O54" ca="1" si="0">D55</f>
        <v>121</v>
      </c>
      <c r="N53" s="1805" t="str">
        <f t="shared" si="0"/>
        <v>销售额×税（费）率</v>
      </c>
      <c r="O53" s="1748">
        <f t="shared" si="0"/>
        <v>5.0000000000000001E-4</v>
      </c>
    </row>
    <row r="54" spans="1:35" ht="12" customHeight="1">
      <c r="A54" s="181" t="s">
        <v>2210</v>
      </c>
      <c r="B54" s="3158" t="s">
        <v>2211</v>
      </c>
      <c r="C54" s="3159"/>
      <c r="D54" s="180">
        <f ca="1">C68</f>
        <v>12625</v>
      </c>
      <c r="E54" s="30" t="s">
        <v>2212</v>
      </c>
      <c r="F54" s="182">
        <f>'数据-取费表'!B41</f>
        <v>5.5000000000000007E-2</v>
      </c>
      <c r="G54" s="2477"/>
      <c r="H54" s="2478"/>
      <c r="I54" s="2475"/>
      <c r="J54" s="1805">
        <v>3</v>
      </c>
      <c r="K54" s="3132" t="s">
        <v>2213</v>
      </c>
      <c r="L54" s="3132"/>
      <c r="M54" s="1747">
        <f t="shared" ca="1" si="0"/>
        <v>136633</v>
      </c>
      <c r="N54" s="1805" t="str">
        <f t="shared" si="0"/>
        <v>增值额×税（费）率</v>
      </c>
      <c r="O54" s="1749" t="str">
        <f t="shared" si="0"/>
        <v>——</v>
      </c>
    </row>
    <row r="55" spans="1:35" ht="24" customHeight="1">
      <c r="A55" s="3197" t="s">
        <v>2214</v>
      </c>
      <c r="B55" s="3178"/>
      <c r="C55" s="3178"/>
      <c r="D55" s="183">
        <f ca="1">IF(H55="个人住宅",0,ROUND(D45*I55,0))</f>
        <v>121</v>
      </c>
      <c r="E55" s="11" t="s">
        <v>2215</v>
      </c>
      <c r="F55" s="182">
        <f>IF(H55="正常",I55,"免征")</f>
        <v>5.0000000000000001E-4</v>
      </c>
      <c r="G55" s="2477"/>
      <c r="H55" s="2474" t="s">
        <v>2216</v>
      </c>
      <c r="I55" s="184">
        <f>'数据-取费表'!B49</f>
        <v>5.0000000000000001E-4</v>
      </c>
      <c r="J55" s="1805" t="str">
        <f>IF(H59="非个人房产","",4)</f>
        <v/>
      </c>
      <c r="K55" s="3132" t="str">
        <f>IF(H59="非个人房产","——","个人所得税")</f>
        <v>——</v>
      </c>
      <c r="L55" s="3132"/>
      <c r="M55" s="1750" t="str">
        <f>D59</f>
        <v>——</v>
      </c>
      <c r="N55" s="1803" t="str">
        <f>E59</f>
        <v>——</v>
      </c>
      <c r="O55" s="1751" t="str">
        <f>F59</f>
        <v>——</v>
      </c>
    </row>
    <row r="56" spans="1:35" ht="24.75">
      <c r="A56" s="3197" t="s">
        <v>2217</v>
      </c>
      <c r="B56" s="3178"/>
      <c r="C56" s="3178"/>
      <c r="D56" s="183">
        <f ca="1">IF(H56="个人住宅",D57,D58)</f>
        <v>136633</v>
      </c>
      <c r="E56" s="11" t="s">
        <v>2218</v>
      </c>
      <c r="F56" s="182" t="str">
        <f>IF(H56="正常",F58,"免征")</f>
        <v>——</v>
      </c>
      <c r="G56" s="2479" t="s">
        <v>2219</v>
      </c>
      <c r="H56" s="2480" t="s">
        <v>2216</v>
      </c>
      <c r="I56" s="2481"/>
      <c r="J56" s="1805" t="str">
        <f>IF(项目基本情况!K6="上海银行",IF(J55="",4,J55+1),"")</f>
        <v/>
      </c>
      <c r="K56" s="3115" t="str">
        <f>IF(项目基本情况!K6="上海银行","其他处置费用","")</f>
        <v/>
      </c>
      <c r="L56" s="3116"/>
      <c r="M56" s="1747" t="str">
        <f>IF(项目基本情况!K6="上海银行",M69,"")</f>
        <v/>
      </c>
      <c r="N56" s="3118" t="str">
        <f>IF(项目基本情况!K6="上海银行","包含处置中涉及的律师、诉讼、拍卖、评估等费用","")</f>
        <v/>
      </c>
      <c r="O56" s="3119"/>
    </row>
    <row r="57" spans="1:35" ht="12.75">
      <c r="A57" s="181" t="s">
        <v>2192</v>
      </c>
      <c r="B57" s="3163" t="s">
        <v>2220</v>
      </c>
      <c r="C57" s="3164"/>
      <c r="D57" s="185">
        <v>0</v>
      </c>
      <c r="E57" s="23" t="s">
        <v>2194</v>
      </c>
      <c r="F57" s="153"/>
      <c r="G57" s="2477"/>
      <c r="H57" s="2481"/>
      <c r="I57" s="2481"/>
      <c r="J57" s="3132">
        <f>IF(AND(J55="",J56=""),4,IF(项目基本情况!K6="上海银行",结果表!J56+1,结果表!J55+1))</f>
        <v>4</v>
      </c>
      <c r="K57" s="3132" t="s">
        <v>2221</v>
      </c>
      <c r="L57" s="2482" t="s">
        <v>2222</v>
      </c>
      <c r="M57" s="1752"/>
      <c r="N57" s="1753">
        <f ca="1">SUMIF(M52:M56,"&lt;9e307")</f>
        <v>136754</v>
      </c>
      <c r="O57" s="2483"/>
      <c r="P57" s="1746">
        <f ca="1">N57/M49</f>
        <v>0.56740395905683005</v>
      </c>
    </row>
    <row r="58" spans="1:35" ht="24.75">
      <c r="A58" s="181" t="s">
        <v>2203</v>
      </c>
      <c r="B58" s="3163" t="s">
        <v>2223</v>
      </c>
      <c r="C58" s="3176"/>
      <c r="D58" s="183">
        <f ca="1">IF(H58="转让取得",C81,C97)</f>
        <v>136633</v>
      </c>
      <c r="E58" s="11" t="s">
        <v>2218</v>
      </c>
      <c r="F58" s="24" t="s">
        <v>34</v>
      </c>
      <c r="G58" s="2477"/>
      <c r="H58" s="2480" t="s">
        <v>2224</v>
      </c>
      <c r="I58" s="2481"/>
      <c r="J58" s="3132"/>
      <c r="K58" s="3132"/>
      <c r="L58" s="2482" t="s">
        <v>2225</v>
      </c>
      <c r="M58" s="1754"/>
      <c r="N58" s="2484" t="str">
        <f ca="1">NUMBERSTRING(INT(N57*10000),2)&amp;"元整"</f>
        <v>壹拾叁亿陆仟柒佰伍拾肆万元整</v>
      </c>
      <c r="O58" s="2485"/>
    </row>
    <row r="59" spans="1:35" ht="24.75" thickBot="1">
      <c r="A59" s="3136" t="s">
        <v>2226</v>
      </c>
      <c r="B59" s="3137"/>
      <c r="C59" s="3137"/>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134">
        <f>J57+1</f>
        <v>5</v>
      </c>
      <c r="K59" s="3132" t="s">
        <v>2228</v>
      </c>
      <c r="L59" s="1805" t="s">
        <v>2222</v>
      </c>
      <c r="M59" s="1755"/>
      <c r="N59" s="1756">
        <f ca="1">M49-N57</f>
        <v>104263</v>
      </c>
      <c r="O59" s="2487"/>
    </row>
    <row r="60" spans="1:35" ht="12" customHeight="1">
      <c r="A60" s="2488"/>
      <c r="B60" s="2410"/>
      <c r="C60" s="2410"/>
      <c r="D60" s="2410"/>
      <c r="E60" s="2159"/>
      <c r="F60" s="2481"/>
      <c r="G60" s="2481"/>
      <c r="H60" s="2489"/>
      <c r="I60" s="136"/>
      <c r="J60" s="3135"/>
      <c r="K60" s="3132"/>
      <c r="L60" s="2482" t="s">
        <v>2225</v>
      </c>
      <c r="M60" s="1754"/>
      <c r="N60" s="2484" t="str">
        <f ca="1">NUMBERSTRING(INT(N59*10000),2)&amp;"元整"</f>
        <v>壹拾亿肆仟贰佰陆拾叁万元整</v>
      </c>
      <c r="O60" s="2485"/>
    </row>
    <row r="61" spans="1:35" ht="13.5" thickBot="1">
      <c r="A61" s="3196" t="s">
        <v>2229</v>
      </c>
      <c r="B61" s="3196"/>
      <c r="C61" s="3196"/>
      <c r="D61" s="3196"/>
      <c r="E61" s="3196"/>
      <c r="F61" s="2481"/>
      <c r="G61" s="2481"/>
      <c r="H61" s="2489"/>
      <c r="I61" s="136"/>
      <c r="J61" s="1805">
        <f>J59+1</f>
        <v>6</v>
      </c>
      <c r="K61" s="3132" t="s">
        <v>2230</v>
      </c>
      <c r="L61" s="3132"/>
      <c r="M61" s="1757"/>
      <c r="N61" s="1758">
        <f ca="1">ROUND(N59*10000/'数据-汇总表'!E3,0)</f>
        <v>10272</v>
      </c>
      <c r="O61" s="2490"/>
    </row>
    <row r="62" spans="1:35" ht="12.75">
      <c r="A62" s="3152" t="s">
        <v>2231</v>
      </c>
      <c r="B62" s="3153"/>
      <c r="C62" s="1797"/>
      <c r="D62" s="1797" t="s">
        <v>2232</v>
      </c>
      <c r="E62" s="190" t="s">
        <v>2233</v>
      </c>
      <c r="F62" s="2481"/>
      <c r="G62" s="2481"/>
      <c r="H62" s="2489"/>
      <c r="I62" s="136"/>
    </row>
    <row r="63" spans="1:35" ht="12.75">
      <c r="A63" s="201" t="s">
        <v>775</v>
      </c>
      <c r="B63" s="191" t="s">
        <v>2234</v>
      </c>
      <c r="C63" s="192">
        <f ca="1">ROUND((C64+C65)/(1+'数据-取费表'!C42),0)</f>
        <v>229540</v>
      </c>
      <c r="D63" s="193"/>
      <c r="E63" s="194"/>
      <c r="F63" s="2481"/>
      <c r="G63" s="2481"/>
      <c r="H63" s="2489"/>
      <c r="I63" s="136"/>
      <c r="J63" s="3117" t="s">
        <v>2235</v>
      </c>
      <c r="K63" s="2491" t="s">
        <v>2236</v>
      </c>
      <c r="L63" s="1745">
        <f ca="1">IF(M49&gt;10000,M49*0.5%,IF(AND(M49&gt;1000,M49&lt;=10000),M49*1%,IF(AND(M49&gt;100,M49&lt;=1000),M49*3%,IF(AND(M49&gt;10,M49&lt;=100),M49*5%,M49*8%))))</f>
        <v>1205.085</v>
      </c>
      <c r="M63" s="24">
        <f ca="1">ROUND(L63,1)</f>
        <v>1205.0999999999999</v>
      </c>
      <c r="Z63" s="2415"/>
      <c r="AI63" s="2416"/>
    </row>
    <row r="64" spans="1:35" ht="14.25" customHeight="1">
      <c r="A64" s="195" t="s">
        <v>770</v>
      </c>
      <c r="B64" s="196" t="s">
        <v>2237</v>
      </c>
      <c r="C64" s="197">
        <f ca="1">D45</f>
        <v>241017</v>
      </c>
      <c r="D64" s="198" t="s">
        <v>32</v>
      </c>
      <c r="E64" s="199"/>
      <c r="F64" s="2481"/>
      <c r="G64" s="2481"/>
      <c r="H64" s="2489"/>
      <c r="I64" s="136"/>
      <c r="J64" s="3117"/>
      <c r="K64" s="2491" t="s">
        <v>2238</v>
      </c>
      <c r="L64" s="1745">
        <f ca="1">IF(M49&gt;2000,M49*0.5%,IF(AND(M49&gt;1000,M49&lt;=2000),M49*0.6%,IF(AND(M49&gt;500,M49&lt;=1000),M49*0.7%,IF(AND(M49&gt;200,M49&lt;=500),M49*0.8%,IF(AND(M49&gt;100,M49&lt;=200),M49*0.9%,IF(AND(M49&gt;50,M49&lt;=100),M49*1%,IF(AND(M49&gt;20,M49&lt;=50),M49*1.5%,IF(AND(M49&gt;10,M49&lt;=20),M49*2%,IF(AND(M49&gt;1,M49&lt;=10),M49*2.5%)))))))))</f>
        <v>1205.085</v>
      </c>
      <c r="M64" s="24">
        <f t="shared" ref="M64:M65" ca="1" si="1">ROUND(L64,1)</f>
        <v>1205.0999999999999</v>
      </c>
      <c r="N64" s="136" t="s">
        <v>2239</v>
      </c>
      <c r="Z64" s="2415"/>
      <c r="AI64" s="2416"/>
    </row>
    <row r="65" spans="1:35" ht="14.25" customHeight="1">
      <c r="A65" s="195" t="s">
        <v>771</v>
      </c>
      <c r="B65" s="196" t="s">
        <v>2240</v>
      </c>
      <c r="C65" s="200"/>
      <c r="D65" s="198"/>
      <c r="E65" s="199"/>
      <c r="F65" s="2481"/>
      <c r="G65" s="2481"/>
      <c r="H65" s="2489"/>
      <c r="I65" s="136"/>
      <c r="J65" s="3117"/>
      <c r="K65" s="2491" t="s">
        <v>2241</v>
      </c>
      <c r="L65" s="1745">
        <f ca="1">IF(M49&gt;1000,M49*0.1%,IF(AND(M49&gt;500,M49&lt;=1000),M49*0.5%,IF(AND(M49&gt;50,M49&lt;=500),M49*1%,IF(AND(M49&gt;1,M49&lt;=50),M49*1.5%))))</f>
        <v>241.017</v>
      </c>
      <c r="M65" s="24">
        <f t="shared" ca="1" si="1"/>
        <v>241</v>
      </c>
      <c r="N65" s="136" t="s">
        <v>2239</v>
      </c>
      <c r="Z65" s="2415"/>
      <c r="AI65" s="2416"/>
    </row>
    <row r="66" spans="1:35" ht="14.25" customHeight="1">
      <c r="A66" s="201" t="s">
        <v>772</v>
      </c>
      <c r="B66" s="202" t="s">
        <v>2242</v>
      </c>
      <c r="C66" s="203"/>
      <c r="D66" s="204" t="s">
        <v>32</v>
      </c>
      <c r="E66" s="1769" t="s">
        <v>1367</v>
      </c>
      <c r="F66" s="2481"/>
      <c r="G66" s="2481"/>
      <c r="H66" s="2489"/>
      <c r="I66" s="136"/>
      <c r="J66" s="3117"/>
      <c r="K66" s="2491" t="s">
        <v>2243</v>
      </c>
      <c r="L66" s="1745">
        <f ca="1">M49*0.5%</f>
        <v>1205.085</v>
      </c>
      <c r="M66" s="24">
        <f ca="1">IF(L66&gt;0.5,0.5,ROUND(L66,0))</f>
        <v>0.5</v>
      </c>
      <c r="N66" s="136" t="s">
        <v>2244</v>
      </c>
      <c r="Z66" s="2415"/>
      <c r="AI66" s="2416"/>
    </row>
    <row r="67" spans="1:35" ht="14.25" customHeight="1">
      <c r="A67" s="201" t="s">
        <v>773</v>
      </c>
      <c r="B67" s="202" t="s">
        <v>2245</v>
      </c>
      <c r="C67" s="205">
        <f ca="1">C63-C66</f>
        <v>229540</v>
      </c>
      <c r="D67" s="198" t="s">
        <v>32</v>
      </c>
      <c r="E67" s="199"/>
      <c r="F67" s="2481"/>
      <c r="G67" s="2481"/>
      <c r="H67" s="2489"/>
      <c r="I67" s="136"/>
      <c r="J67" s="3117"/>
      <c r="K67" s="2491" t="s">
        <v>2246</v>
      </c>
      <c r="L67" s="1745">
        <f ca="1">IF(M49&gt;=10000,(8.25+(M49-10000)*0.01%),IF(AND(M49&gt;=8000,M49&lt;10000),(7.85+(M49-8000)*0.02%),IF(AND(M49&gt;=5000,M49&lt;8000),(6.65+(M49-5000)*0.04%),IF(AND(M49&gt;=2000,M49&lt;5000),(4.25+(PM49-2000)*0.08%),IF(AND(M49&gt;=1000,M49&lt;2000),(2.75+(M49-1000)*0.15%),IF(AND(M49&gt;=100,M49&lt;1000),(0.5+(M49-100)*0.25%),IF(AND(M49&gt;0,M49&lt;100),M49*0.5%)))))))</f>
        <v>31.351700000000001</v>
      </c>
      <c r="M67" s="24">
        <f ca="1">ROUND(L67*0.9,1)</f>
        <v>28.2</v>
      </c>
      <c r="Z67" s="2415"/>
      <c r="AI67" s="2416"/>
    </row>
    <row r="68" spans="1:35" ht="14.25" customHeight="1" thickBot="1">
      <c r="A68" s="206" t="s">
        <v>774</v>
      </c>
      <c r="B68" s="207" t="s">
        <v>2247</v>
      </c>
      <c r="C68" s="208">
        <f ca="1">IF(C67&lt;=0,0,ROUND(C67*D68,0))</f>
        <v>12625</v>
      </c>
      <c r="D68" s="209">
        <f>'数据-取费表'!B41</f>
        <v>5.5000000000000007E-2</v>
      </c>
      <c r="E68" s="210"/>
      <c r="F68" s="2481"/>
      <c r="G68" s="2481"/>
      <c r="H68" s="2489"/>
      <c r="I68" s="136"/>
      <c r="J68" s="3117"/>
      <c r="K68" s="2491" t="s">
        <v>2248</v>
      </c>
      <c r="L68" s="1745">
        <f ca="1">IF(M49&gt;10000,M49*0.5%,IF(AND(M49&gt;5000,M49&lt;=10000),M49*1%,IF(AND(M49&gt;1000,M49&lt;=5000),M49*2%,IF(AND(M49&gt;200,M49&lt;=1000),M49*3%,M49*5%))))</f>
        <v>1205.085</v>
      </c>
      <c r="M68" s="24">
        <f ca="1">ROUND(L68,1)</f>
        <v>1205.0999999999999</v>
      </c>
      <c r="Z68" s="2415"/>
      <c r="AI68" s="2416"/>
    </row>
    <row r="69" spans="1:35" s="2438" customFormat="1" ht="16.5" customHeight="1">
      <c r="A69" s="2492"/>
      <c r="B69" s="2493"/>
      <c r="C69" s="2494"/>
      <c r="D69" s="2495"/>
      <c r="E69" s="2496"/>
      <c r="F69" s="2159"/>
      <c r="G69" s="2159"/>
      <c r="H69" s="2158"/>
      <c r="I69" s="2410"/>
      <c r="J69" s="3117"/>
      <c r="K69" s="2491" t="s">
        <v>2249</v>
      </c>
      <c r="L69" s="2497"/>
      <c r="M69" s="24">
        <f ca="1">ROUND(SUM(M63:M68),0)</f>
        <v>3885</v>
      </c>
      <c r="N69" s="1746">
        <f ca="1">M69/M49</f>
        <v>1.6119194911562256E-2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61" t="s">
        <v>2250</v>
      </c>
      <c r="B70" s="3162"/>
      <c r="C70" s="3162"/>
      <c r="D70" s="3162"/>
      <c r="E70" s="3162"/>
      <c r="F70" s="3162"/>
      <c r="G70" s="3162"/>
      <c r="H70" s="316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2" t="s">
        <v>2231</v>
      </c>
      <c r="B71" s="3153"/>
      <c r="C71" s="1797"/>
      <c r="D71" s="1797"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2251</v>
      </c>
      <c r="C72" s="205">
        <f ca="1">ROUND(D45/(1+'数据-取费表'!C42),0)</f>
        <v>229540</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2252</v>
      </c>
      <c r="C73" s="205">
        <f ca="1">C74+C78</f>
        <v>1148</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158" t="s">
        <v>2259</v>
      </c>
      <c r="F76" s="3157"/>
      <c r="G76" s="3157"/>
      <c r="H76" s="316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5" t="s">
        <v>2262</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1148</v>
      </c>
      <c r="D78" s="224">
        <f>'数据-取费表'!B43</f>
        <v>5.000000000000001E-3</v>
      </c>
      <c r="E78" s="3149" t="s">
        <v>2264</v>
      </c>
      <c r="F78" s="3150"/>
      <c r="G78" s="3150"/>
      <c r="H78" s="315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2265</v>
      </c>
      <c r="C79" s="205">
        <f ca="1">C72-C73</f>
        <v>228392</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198.94773519163763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2267</v>
      </c>
      <c r="C81" s="226">
        <f ca="1">ROUND(IF(C79&lt;=0,0,IF(C80&gt;=200%,C79*60%-C73*35%,IF(C80&gt;=100%,C79*50%-C73*15%,IF(C80&gt;=50%,C79*40%-C73*5%,IF(C80&lt;50%,C79*30%,0))))),0)</f>
        <v>136633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61" t="s">
        <v>2268</v>
      </c>
      <c r="B83" s="3162"/>
      <c r="C83" s="3162"/>
      <c r="D83" s="3162"/>
      <c r="E83" s="3162"/>
      <c r="F83" s="3162"/>
      <c r="G83" s="3162"/>
      <c r="H83" s="316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2" t="s">
        <v>2231</v>
      </c>
      <c r="B84" s="3153"/>
      <c r="C84" s="1797"/>
      <c r="D84" s="1797"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2251</v>
      </c>
      <c r="C85" s="205">
        <f ca="1">ROUND(D45/(1+'数据-取费表'!C42),0)</f>
        <v>229540</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2252</v>
      </c>
      <c r="C86" s="205">
        <f ca="1">IF(H88="仅含出让金",C87+C90+C91+C92+C93+C94,C87+C91+C92+C93+C94)</f>
        <v>1148</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2269</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2270</v>
      </c>
      <c r="C88" s="234"/>
      <c r="D88" s="224"/>
      <c r="E88" s="235" t="s">
        <v>2271</v>
      </c>
      <c r="F88" s="1793"/>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2260</v>
      </c>
      <c r="C89" s="223">
        <f>ROUND(C88*D89,0)</f>
        <v>0</v>
      </c>
      <c r="D89" s="224">
        <f>'数据-取费表'!B48+'数据-取费表'!B49</f>
        <v>3.0499999999999999E-2</v>
      </c>
      <c r="E89" s="235" t="s">
        <v>2273</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2274</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149" t="s">
        <v>2277</v>
      </c>
      <c r="F91" s="3150"/>
      <c r="G91" s="3150"/>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149" t="s">
        <v>2281</v>
      </c>
      <c r="F92" s="3150"/>
      <c r="G92" s="3150"/>
      <c r="H92" s="315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1148</v>
      </c>
      <c r="D93" s="224">
        <f>'数据-取费表'!B43</f>
        <v>5.000000000000001E-3</v>
      </c>
      <c r="E93" s="3149" t="s">
        <v>2264</v>
      </c>
      <c r="F93" s="3150"/>
      <c r="G93" s="3150"/>
      <c r="H93" s="315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201" t="s">
        <v>2285</v>
      </c>
      <c r="F94" s="3202"/>
      <c r="G94" s="3202"/>
      <c r="H94" s="32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2265</v>
      </c>
      <c r="C95" s="205">
        <f ca="1">ROUND(C85-C86,0)</f>
        <v>228392</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198.94773519163763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2267</v>
      </c>
      <c r="C97" s="226">
        <f ca="1">ROUND(IF(C95&lt;=0,0,IF(C96&gt;=200%,C95*60%-C86*35%,IF(C96&gt;=100%,C95*50%-C86*15%,IF(C96&gt;=50%,C95*40%-C86*5%,IF(C96&lt;50%,C95*30%,0))))),0)</f>
        <v>136633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098" t="s">
        <v>2287</v>
      </c>
      <c r="B100" s="3099"/>
      <c r="C100" s="3099"/>
      <c r="D100" s="3133"/>
      <c r="E100" s="3099" t="s">
        <v>2288</v>
      </c>
      <c r="F100" s="3099"/>
      <c r="G100" s="3099"/>
      <c r="H100" s="3133"/>
      <c r="I100" s="136"/>
    </row>
    <row r="101" spans="1:35" ht="18.75" customHeight="1">
      <c r="A101" s="3141" t="s">
        <v>2289</v>
      </c>
      <c r="B101" s="3142"/>
      <c r="C101" s="733" t="str">
        <f>C4</f>
        <v>成本法</v>
      </c>
      <c r="D101" s="734" t="str">
        <f>D4</f>
        <v>收益法</v>
      </c>
      <c r="E101" s="3113" t="s">
        <v>2290</v>
      </c>
      <c r="F101" s="3114"/>
      <c r="G101" s="2512" t="s">
        <v>2291</v>
      </c>
      <c r="H101" s="1042">
        <f ca="1">H118</f>
        <v>241017</v>
      </c>
      <c r="I101" s="136"/>
    </row>
    <row r="102" spans="1:35" ht="18.75" customHeight="1">
      <c r="A102" s="3143" t="s">
        <v>2292</v>
      </c>
      <c r="B102" s="2512" t="s">
        <v>2291</v>
      </c>
      <c r="C102" s="733">
        <f ca="1">C19</f>
        <v>224783</v>
      </c>
      <c r="D102" s="734">
        <f ca="1">D19</f>
        <v>257250</v>
      </c>
      <c r="E102" s="3113"/>
      <c r="F102" s="3114"/>
      <c r="G102" s="2512" t="s">
        <v>2293</v>
      </c>
      <c r="H102" s="369">
        <f ca="1">I118</f>
        <v>23745</v>
      </c>
      <c r="I102" s="136"/>
    </row>
    <row r="103" spans="1:35" ht="42.75" customHeight="1">
      <c r="A103" s="3143"/>
      <c r="B103" s="2512" t="s">
        <v>2293</v>
      </c>
      <c r="C103" s="735">
        <f ca="1">C20</f>
        <v>22145</v>
      </c>
      <c r="D103" s="736">
        <f ca="1">D20</f>
        <v>32745</v>
      </c>
      <c r="E103" s="3107" t="s">
        <v>2294</v>
      </c>
      <c r="F103" s="3108"/>
      <c r="G103" s="2513" t="s">
        <v>2295</v>
      </c>
      <c r="H103" s="1042">
        <f>IF(D36="正常操作",H104+H105+H106,H105+H106)</f>
        <v>0</v>
      </c>
      <c r="I103" s="136"/>
    </row>
    <row r="104" spans="1:35" ht="18.75" customHeight="1">
      <c r="A104" s="3143" t="s">
        <v>2296</v>
      </c>
      <c r="B104" s="2514" t="s">
        <v>2291</v>
      </c>
      <c r="C104" s="737">
        <f ca="1">H118</f>
        <v>241017</v>
      </c>
      <c r="D104" s="738"/>
      <c r="E104" s="2260" t="s">
        <v>2297</v>
      </c>
      <c r="F104" s="2251"/>
      <c r="G104" s="2513" t="s">
        <v>2295</v>
      </c>
      <c r="H104" s="1043">
        <f>IF(D36="同一抵押权人同一抵押物续贷",C36&amp;"（未扣减，详见特别提示）",C36)</f>
        <v>0</v>
      </c>
      <c r="I104" s="136"/>
    </row>
    <row r="105" spans="1:35" ht="18.75" customHeight="1" thickBot="1">
      <c r="A105" s="3155"/>
      <c r="B105" s="2515" t="s">
        <v>2293</v>
      </c>
      <c r="C105" s="739">
        <f ca="1">I118</f>
        <v>23745</v>
      </c>
      <c r="D105" s="740"/>
      <c r="E105" s="2260" t="s">
        <v>2298</v>
      </c>
      <c r="F105" s="2251"/>
      <c r="G105" s="2513" t="s">
        <v>2295</v>
      </c>
      <c r="H105" s="1043">
        <f>C37</f>
        <v>0</v>
      </c>
      <c r="I105" s="136"/>
    </row>
    <row r="106" spans="1:35" ht="18.75" customHeight="1">
      <c r="A106" s="2410" t="s">
        <v>2299</v>
      </c>
      <c r="B106" s="2410"/>
      <c r="C106" s="2410"/>
      <c r="D106" s="2410"/>
      <c r="E106" s="2516" t="s">
        <v>2300</v>
      </c>
      <c r="F106" s="2251"/>
      <c r="G106" s="2513" t="s">
        <v>2295</v>
      </c>
      <c r="H106" s="1043">
        <f>C38</f>
        <v>0</v>
      </c>
      <c r="I106" s="136"/>
    </row>
    <row r="107" spans="1:35" ht="18.75" customHeight="1">
      <c r="A107" s="136"/>
      <c r="B107" s="136"/>
      <c r="C107" s="136"/>
      <c r="D107" s="136"/>
      <c r="E107" s="3144" t="str">
        <f>IF(项目基本情况!E8="已注销","——","3.房地产抵押价值")</f>
        <v>——</v>
      </c>
      <c r="F107" s="3114"/>
      <c r="G107" s="2512" t="s">
        <v>2291</v>
      </c>
      <c r="H107" s="1042" t="str">
        <f>IF(E107="——","——",H101-H103)</f>
        <v>——</v>
      </c>
      <c r="I107" s="136"/>
    </row>
    <row r="108" spans="1:35" ht="18.75" customHeight="1">
      <c r="A108" s="136"/>
      <c r="B108" s="136"/>
      <c r="C108" s="136"/>
      <c r="D108" s="136"/>
      <c r="E108" s="3144"/>
      <c r="F108" s="3114"/>
      <c r="G108" s="2512" t="s">
        <v>2293</v>
      </c>
      <c r="H108" s="369" t="e">
        <f>ROUND(H107*10000/'数据-汇总表'!E3,0)</f>
        <v>#VALUE!</v>
      </c>
      <c r="I108" s="136"/>
    </row>
    <row r="109" spans="1:35" ht="18.75" customHeight="1">
      <c r="A109" s="136"/>
      <c r="B109" s="136"/>
      <c r="C109" s="136"/>
      <c r="D109" s="136"/>
      <c r="E109" s="3144" t="str">
        <f>IF(项目基本情况!E8="已注销及未注销","4.抵押担保权已注销时的房地产抵押价值",IF(项目基本情况!E8="已注销","3.抵押担保权已注销时的房地产抵押价值","——"))</f>
        <v>3.抵押担保权已注销时的房地产抵押价值</v>
      </c>
      <c r="F109" s="3114"/>
      <c r="G109" s="2512" t="s">
        <v>2291</v>
      </c>
      <c r="H109" s="346">
        <f ca="1">IF(E109="——","——",H101-H105-H106)</f>
        <v>241017</v>
      </c>
      <c r="I109" s="136"/>
    </row>
    <row r="110" spans="1:35" ht="18.75" customHeight="1">
      <c r="A110" s="136"/>
      <c r="B110" s="136"/>
      <c r="C110" s="136"/>
      <c r="D110" s="136"/>
      <c r="E110" s="3144"/>
      <c r="F110" s="3114"/>
      <c r="G110" s="2512" t="s">
        <v>2293</v>
      </c>
      <c r="H110" s="369">
        <f ca="1">IF(H109="——","——",ROUND(H109*10000/'数据-汇总表'!E3,0))</f>
        <v>23745</v>
      </c>
      <c r="I110" s="136"/>
    </row>
    <row r="111" spans="1:35" ht="18.75" customHeight="1">
      <c r="A111" s="136"/>
      <c r="B111" s="136"/>
      <c r="C111" s="136"/>
      <c r="D111" s="136"/>
      <c r="E111" s="3145" t="str">
        <f>IF(项目基本情况!E9="抵押净值",IF(OR(项目基本情况!E8="已注销",项目基本情况!E8="房地产抵押价值"),"4.抵押净值","5.抵押净值"),"——")</f>
        <v>——</v>
      </c>
      <c r="F111" s="3146"/>
      <c r="G111" s="2512" t="s">
        <v>2291</v>
      </c>
      <c r="H111" s="1042" t="str">
        <f>IF(E111="——","——",N59)</f>
        <v>——</v>
      </c>
      <c r="I111" s="136"/>
    </row>
    <row r="112" spans="1:35" ht="18.75" customHeight="1" thickBot="1">
      <c r="A112" s="136"/>
      <c r="B112" s="136"/>
      <c r="C112" s="136"/>
      <c r="D112" s="136"/>
      <c r="E112" s="3147"/>
      <c r="F112" s="3148"/>
      <c r="G112" s="2517" t="s">
        <v>2293</v>
      </c>
      <c r="H112" s="787" t="str">
        <f>IF(E111="——","——",N61)</f>
        <v>——</v>
      </c>
      <c r="I112" s="136"/>
    </row>
    <row r="113" spans="1:11" ht="18.75" customHeight="1">
      <c r="A113" s="136"/>
      <c r="B113" s="136"/>
      <c r="C113" s="136"/>
      <c r="D113" s="136"/>
      <c r="E113" s="3156" t="s">
        <v>2299</v>
      </c>
      <c r="F113" s="3156"/>
      <c r="G113" s="3156"/>
      <c r="H113" s="3156"/>
      <c r="I113" s="136"/>
    </row>
    <row r="114" spans="1:11" ht="3.75" customHeight="1">
      <c r="A114" s="2410"/>
      <c r="B114" s="2410"/>
      <c r="C114" s="2410"/>
      <c r="D114" s="2410"/>
      <c r="E114" s="2488"/>
      <c r="F114" s="2488"/>
      <c r="G114" s="2488"/>
      <c r="H114" s="2488"/>
      <c r="I114" s="2410"/>
    </row>
    <row r="115" spans="1:11" ht="18.75" customHeight="1">
      <c r="A115" s="3169" t="s">
        <v>2301</v>
      </c>
      <c r="B115" s="3170"/>
      <c r="C115" s="3170"/>
      <c r="D115" s="3170"/>
      <c r="E115" s="3170"/>
      <c r="F115" s="3170"/>
      <c r="G115" s="3170"/>
      <c r="H115" s="3170"/>
      <c r="I115" s="3171"/>
    </row>
    <row r="116" spans="1:11" ht="27" customHeight="1">
      <c r="A116" s="3079" t="s">
        <v>2302</v>
      </c>
      <c r="B116" s="3123" t="s">
        <v>2303</v>
      </c>
      <c r="C116" s="3123" t="s">
        <v>2304</v>
      </c>
      <c r="D116" s="3129" t="s">
        <v>2305</v>
      </c>
      <c r="E116" s="3130"/>
      <c r="F116" s="3165" t="s">
        <v>2306</v>
      </c>
      <c r="G116" s="3165"/>
      <c r="H116" s="3079" t="s">
        <v>2307</v>
      </c>
      <c r="I116" s="3079"/>
    </row>
    <row r="117" spans="1:11" ht="18.75" customHeight="1">
      <c r="A117" s="3079"/>
      <c r="B117" s="3124"/>
      <c r="C117" s="3124"/>
      <c r="D117" s="1791" t="s">
        <v>2308</v>
      </c>
      <c r="E117" s="1791" t="s">
        <v>2309</v>
      </c>
      <c r="F117" s="1791" t="s">
        <v>2308</v>
      </c>
      <c r="G117" s="1791" t="s">
        <v>2310</v>
      </c>
      <c r="H117" s="1791" t="s">
        <v>2308</v>
      </c>
      <c r="I117" s="1791" t="s">
        <v>2310</v>
      </c>
    </row>
    <row r="118" spans="1:11" ht="24.75" customHeight="1">
      <c r="A118" s="2518" t="str">
        <f>项目基本情况!S2</f>
        <v>北京市大兴区欣旺北大街8号1幢商业用房房地产</v>
      </c>
      <c r="B118" s="1791">
        <f>M18</f>
        <v>101504.34</v>
      </c>
      <c r="C118" s="1791">
        <f>M19</f>
        <v>25666.1</v>
      </c>
      <c r="D118" s="1791">
        <f ca="1">ROUND(IF(D32="总价",C34,E118*B118/10000),0)</f>
        <v>170640</v>
      </c>
      <c r="E118" s="1791">
        <f ca="1">ROUND(IF(C33="自定义",IF(D32="楼面单价",C34,D118*10000/B118),I118-G118),0)</f>
        <v>16812</v>
      </c>
      <c r="F118" s="1791">
        <f ca="1">ROUND(IF(D32="总价",C35,G118*B118/10000),0)</f>
        <v>70377</v>
      </c>
      <c r="G118" s="1791">
        <f ca="1">ROUND(IF(D32="楼面单价",C35,F118*10000/B118),0)</f>
        <v>6933</v>
      </c>
      <c r="H118" s="1791">
        <f ca="1">ROUND(IF(D32="总价",C32,I118*B118/10000),0)</f>
        <v>241017</v>
      </c>
      <c r="I118" s="1791">
        <f ca="1">ROUND(IF(D32="楼面单价",C32,H118*10000/B118),0)</f>
        <v>23745</v>
      </c>
    </row>
    <row r="119" spans="1:11" ht="18.75" customHeight="1">
      <c r="A119" s="3079" t="s">
        <v>2311</v>
      </c>
      <c r="B119" s="3079"/>
      <c r="C119" s="3079"/>
      <c r="D119" s="3125" t="str">
        <f ca="1">NUMBERSTRING(INT(D118*10000),2)&amp;"元整"</f>
        <v>壹拾柒亿零陆佰肆拾万元整</v>
      </c>
      <c r="E119" s="3126"/>
      <c r="F119" s="3125" t="str">
        <f ca="1">NUMBERSTRING(INT(F118*10000),2)&amp;"元整"</f>
        <v>柒亿零叁佰柒拾柒万元整</v>
      </c>
      <c r="G119" s="3126"/>
      <c r="H119" s="3125" t="str">
        <f ca="1">NUMBERSTRING(INT(H118*10000),2)&amp;"元整"</f>
        <v>贰拾肆亿壹仟零壹拾柒万元整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15" t="str">
        <f>IF(D120=0,"故，本次评估不存在"&amp;A120,"故，本次评估"&amp;A120&amp;"为人民币"&amp;D120&amp;"万元整。")</f>
        <v>故，本次评估不存在估价师知悉的法定优先受偿款</v>
      </c>
    </row>
    <row r="121" spans="1:11" ht="18.75" customHeight="1">
      <c r="A121" s="3166" t="s">
        <v>2311</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
      </c>
      <c r="B122" s="3131"/>
      <c r="C122" s="3131"/>
      <c r="D122" s="3120" t="str">
        <f>H107</f>
        <v>——</v>
      </c>
      <c r="E122" s="3121"/>
      <c r="F122" s="3121"/>
      <c r="G122" s="3121"/>
      <c r="H122" s="3121"/>
      <c r="I122" s="3122"/>
    </row>
    <row r="123" spans="1:11" ht="18.75" customHeight="1">
      <c r="A123" s="3079" t="s">
        <v>2311</v>
      </c>
      <c r="B123" s="3079"/>
      <c r="C123" s="3079"/>
      <c r="D123" s="3125" t="e">
        <f>NUMBERSTRING(INT(D122*10000),2)&amp;"元整"</f>
        <v>#VALUE!</v>
      </c>
      <c r="E123" s="3127"/>
      <c r="F123" s="3127"/>
      <c r="G123" s="3127"/>
      <c r="H123" s="3127"/>
      <c r="I123" s="3126"/>
    </row>
    <row r="124" spans="1:11" ht="18.75" customHeight="1">
      <c r="A124" s="3131" t="str">
        <f>IF(项目基本情况!B9="房地产市场价值","",MID(E109,3,LEN(E109)-2))</f>
        <v>抵押担保权已注销时的房地产抵押价值</v>
      </c>
      <c r="B124" s="3131"/>
      <c r="C124" s="3131"/>
      <c r="D124" s="3120">
        <f ca="1">H109</f>
        <v>241017</v>
      </c>
      <c r="E124" s="3121"/>
      <c r="F124" s="3121"/>
      <c r="G124" s="3121"/>
      <c r="H124" s="3121"/>
      <c r="I124" s="3122"/>
    </row>
    <row r="125" spans="1:11" ht="18.75" customHeight="1">
      <c r="A125" s="3079" t="s">
        <v>2311</v>
      </c>
      <c r="B125" s="3079"/>
      <c r="C125" s="3079"/>
      <c r="D125" s="3125" t="str">
        <f ca="1">NUMBERSTRING(INT(D124*10000),2)&amp;"元整"</f>
        <v>贰拾肆亿壹仟零壹拾柒万元整</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79" t="s">
        <v>2311</v>
      </c>
      <c r="B127" s="3079"/>
      <c r="C127" s="3079"/>
      <c r="D127" s="3125" t="e">
        <f>NUMBERSTRING(INT(D126*10000),2)&amp;"元整"</f>
        <v>#VALUE!</v>
      </c>
      <c r="E127" s="3127"/>
      <c r="F127" s="3127"/>
      <c r="G127" s="3127"/>
      <c r="H127" s="3127"/>
      <c r="I127" s="3126"/>
    </row>
    <row r="128" spans="1:11" ht="21.75" customHeight="1">
      <c r="A128" s="3128" t="s">
        <v>2312</v>
      </c>
      <c r="B128" s="3128"/>
      <c r="C128" s="3128"/>
      <c r="D128" s="3128"/>
      <c r="E128" s="3128"/>
      <c r="F128" s="3128"/>
      <c r="G128" s="3128"/>
      <c r="H128" s="3128"/>
      <c r="I128" s="3128"/>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2315</v>
      </c>
      <c r="G135" s="2536"/>
      <c r="H135" s="2536"/>
      <c r="I135" s="2537" t="s">
        <v>2316</v>
      </c>
    </row>
    <row r="136" spans="1:35" ht="21.75" customHeight="1">
      <c r="A136" s="792"/>
      <c r="B136" s="2538"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2318</v>
      </c>
    </row>
    <row r="139" spans="1:35" ht="21.75" customHeight="1">
      <c r="A139" s="792"/>
      <c r="B139" s="2538" t="s">
        <v>2319</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2318</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2"/>
      <c r="C1" s="240"/>
      <c r="D1" s="240"/>
      <c r="E1" s="240"/>
      <c r="F1" s="240"/>
      <c r="G1" s="1376">
        <f>MATCH(B1,'数据-取费表'!A6:A16,0)+5</f>
        <v>8</v>
      </c>
    </row>
    <row r="2" spans="1:9" s="242" customFormat="1" ht="18" customHeight="1">
      <c r="A2" s="243" t="s">
        <v>2321</v>
      </c>
      <c r="B2" s="244">
        <f ca="1">IF(D2="——",C52,C52-E2)</f>
        <v>224783</v>
      </c>
      <c r="C2" s="241" t="s">
        <v>2322</v>
      </c>
      <c r="D2" s="2541" t="s">
        <v>70</v>
      </c>
      <c r="E2" s="1437">
        <f ca="1">SUMIF(INDIRECT("'"&amp;G2&amp;"'"&amp;"!A:A"),"承租人权益价值",INDIRECT("'"&amp;G2&amp;"'"&amp;"!c:c"))</f>
        <v>0</v>
      </c>
      <c r="F2" s="2542" t="s">
        <v>2322</v>
      </c>
      <c r="G2" s="2543" t="s">
        <v>3073</v>
      </c>
    </row>
    <row r="3" spans="1:9" s="242" customFormat="1" ht="18" customHeight="1" thickBot="1">
      <c r="A3" s="245" t="s">
        <v>2323</v>
      </c>
      <c r="B3" s="246">
        <f ca="1">ROUND(B2*10000/(IF(B1="",'数据-汇总表'!E3,INDIRECT("'数据-取费表'!k"&amp;$G$1))),0)</f>
        <v>22145</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102294</v>
      </c>
      <c r="D5" s="253" t="s">
        <v>2328</v>
      </c>
      <c r="E5" s="254" t="s">
        <v>2329</v>
      </c>
      <c r="F5" s="254" t="s">
        <v>2330</v>
      </c>
      <c r="G5" s="255"/>
    </row>
    <row r="6" spans="1:9" s="256" customFormat="1" ht="13.5" customHeight="1">
      <c r="A6" s="946" t="s">
        <v>2331</v>
      </c>
      <c r="B6" s="257" t="s">
        <v>2332</v>
      </c>
      <c r="C6" s="258">
        <f>'土地比较法-住宅、综合'!F66</f>
        <v>97296</v>
      </c>
      <c r="D6" s="259"/>
      <c r="E6" s="260"/>
      <c r="F6" s="260"/>
      <c r="G6" s="261"/>
    </row>
    <row r="7" spans="1:9" s="256" customFormat="1" ht="13.5" customHeight="1">
      <c r="A7" s="946" t="s">
        <v>2333</v>
      </c>
      <c r="B7" s="257" t="s">
        <v>2334</v>
      </c>
      <c r="C7" s="262">
        <f>ROUND(C6*F7,0)</f>
        <v>2968</v>
      </c>
      <c r="D7" s="262"/>
      <c r="E7" s="260"/>
      <c r="F7" s="263">
        <f>IF(项目基本情况!B8="出让",0,'数据-取费表'!B48+'数据-取费表'!B49)</f>
        <v>3.0499999999999999E-2</v>
      </c>
      <c r="G7" s="261"/>
    </row>
    <row r="8" spans="1:9" s="265" customFormat="1">
      <c r="A8" s="946" t="s">
        <v>2335</v>
      </c>
      <c r="B8" s="257" t="s">
        <v>2336</v>
      </c>
      <c r="C8" s="2959">
        <f ca="1">IF(G8="已包含在土地购买价格中","0",IF(B1="",'数据-取费表'!B29,IF(G9="全部缴纳",C9+C10,H9)))</f>
        <v>2030</v>
      </c>
      <c r="D8" s="264"/>
      <c r="E8" s="262"/>
      <c r="F8" s="263"/>
      <c r="G8" s="2544" t="s">
        <v>3071</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5" t="s">
        <v>3084</v>
      </c>
      <c r="H9" s="1387"/>
      <c r="I9" s="2546" t="s">
        <v>2338</v>
      </c>
    </row>
    <row r="10" spans="1:9" s="256" customFormat="1" ht="13.5" customHeight="1">
      <c r="A10" s="947" t="s">
        <v>801</v>
      </c>
      <c r="B10" s="266" t="s">
        <v>2339</v>
      </c>
      <c r="C10" s="267">
        <f ca="1">ROUND(D10*E10/10000,0)</f>
        <v>2030</v>
      </c>
      <c r="D10" s="1029">
        <f ca="1">IF(B1="",'数据-汇总表'!E6,IF(INDIRECT("'数据-取费表'!c"&amp;$G$1)="住宅",INDIRECT("'数据-取费表'!s"&amp;$G$1),INDIRECT("'数据-取费表'!k"&amp;$G$1)+INDIRECT("'数据-取费表'!s"&amp;$G$1)))</f>
        <v>101504.34</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2030</v>
      </c>
      <c r="D19" s="1033">
        <f ca="1">D9+D10</f>
        <v>101504.34</v>
      </c>
      <c r="E19" s="253">
        <f>'数据-取费表'!B31</f>
        <v>200</v>
      </c>
      <c r="F19" s="273"/>
      <c r="G19" s="2544" t="s">
        <v>1071</v>
      </c>
    </row>
    <row r="20" spans="1:7" s="256" customFormat="1" ht="13.5" customHeight="1">
      <c r="A20" s="297" t="s">
        <v>2352</v>
      </c>
      <c r="B20" s="252" t="s">
        <v>2353</v>
      </c>
      <c r="C20" s="274">
        <f ca="1">ROUND((C5+C19)*F20,0)</f>
        <v>3130</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10295</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9949</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197</v>
      </c>
      <c r="D24" s="280"/>
      <c r="E24" s="280"/>
      <c r="F24" s="281"/>
      <c r="G24" s="282" t="s">
        <v>2366</v>
      </c>
    </row>
    <row r="25" spans="1:7" s="256" customFormat="1" ht="24">
      <c r="A25" s="948" t="s">
        <v>2367</v>
      </c>
      <c r="B25" s="257" t="s">
        <v>2368</v>
      </c>
      <c r="C25" s="1352">
        <f ca="1">ROUND(IF('数据-取费表'!B22&lt;=1,C20*F22*'数据-取费表'!B23/2,C20*(POWER((1+F22),'数据-取费表'!B23/2)-1)),0)</f>
        <v>149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4.75">
      <c r="A27" s="297" t="s">
        <v>2371</v>
      </c>
      <c r="B27" s="286" t="s">
        <v>2372</v>
      </c>
      <c r="C27" s="287">
        <f ca="1">C28</f>
        <v>26864</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26864</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159143</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48514</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43647</v>
      </c>
      <c r="D34" s="259"/>
      <c r="E34" s="262"/>
      <c r="F34" s="299">
        <f ca="1">IF('数据-取费表'!B24=0,1,IF(B1="",'数据-取费表'!N16,INDIRECT("'数据-取费表'!n"&amp;$G$1)))</f>
        <v>1</v>
      </c>
      <c r="G34" s="261" t="s">
        <v>2385</v>
      </c>
    </row>
    <row r="35" spans="1:7" ht="13.5" customHeight="1">
      <c r="A35" s="948" t="s">
        <v>796</v>
      </c>
      <c r="B35" s="257" t="s">
        <v>2386</v>
      </c>
      <c r="C35" s="262">
        <f ca="1">ROUND(C34*F35,0)</f>
        <v>2182</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2030</v>
      </c>
      <c r="D37" s="259">
        <f ca="1">D19</f>
        <v>101504.34</v>
      </c>
      <c r="E37" s="291">
        <f>'数据-取费表'!B35</f>
        <v>200</v>
      </c>
      <c r="F37" s="301"/>
      <c r="G37" s="303" t="s">
        <v>2391</v>
      </c>
    </row>
    <row r="38" spans="1:7" ht="13.5" customHeight="1">
      <c r="A38" s="948" t="s">
        <v>799</v>
      </c>
      <c r="B38" s="257" t="s">
        <v>2392</v>
      </c>
      <c r="C38" s="262">
        <f ca="1">ROUND(C34*F38,0)</f>
        <v>655</v>
      </c>
      <c r="D38" s="262"/>
      <c r="E38" s="262"/>
      <c r="F38" s="301">
        <f>'数据-取费表'!B36</f>
        <v>1.4999999999999999E-2</v>
      </c>
      <c r="G38" s="261" t="s">
        <v>2387</v>
      </c>
    </row>
    <row r="39" spans="1:7" s="256" customFormat="1" ht="13.5" customHeight="1">
      <c r="A39" s="297" t="s">
        <v>2393</v>
      </c>
      <c r="B39" s="252" t="s">
        <v>2394</v>
      </c>
      <c r="C39" s="274">
        <f ca="1">ROUND(C33*F20,0)</f>
        <v>1455</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2373</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2304</v>
      </c>
      <c r="D42" s="280"/>
      <c r="E42" s="280"/>
      <c r="F42" s="281"/>
      <c r="G42" s="3204" t="s">
        <v>2403</v>
      </c>
    </row>
    <row r="43" spans="1:7" ht="13.5" customHeight="1">
      <c r="A43" s="948" t="s">
        <v>792</v>
      </c>
      <c r="B43" s="257" t="s">
        <v>2404</v>
      </c>
      <c r="C43" s="280">
        <f ca="1">ROUND(IF('数据-取费表'!B22&lt;=1,C39*F22*'数据-取费表'!B21/2,C39*(POWER((1+F22),'数据-取费表'!B21/2)-1)),0)</f>
        <v>69</v>
      </c>
      <c r="D43" s="280"/>
      <c r="E43" s="280"/>
      <c r="F43" s="281"/>
      <c r="G43" s="3205"/>
    </row>
    <row r="44" spans="1:7" ht="13.5" customHeight="1">
      <c r="A44" s="948" t="s">
        <v>793</v>
      </c>
      <c r="B44" s="257" t="s">
        <v>2405</v>
      </c>
      <c r="C44" s="280">
        <f ca="1">ROUND(IF('数据-取费表'!B22&lt;=1,C40*F22*'数据-取费表'!B21/2,C40*(POWER((1+F22),'数据-取费表'!B21/2)-1)),4)</f>
        <v>1.4E-3</v>
      </c>
      <c r="D44" s="280"/>
      <c r="E44" s="280"/>
      <c r="F44" s="281"/>
      <c r="G44" s="3206"/>
    </row>
    <row r="45" spans="1:7" s="256" customFormat="1" ht="13.5" customHeight="1">
      <c r="A45" s="297" t="s">
        <v>2406</v>
      </c>
      <c r="B45" s="286" t="s">
        <v>2372</v>
      </c>
      <c r="C45" s="287">
        <f ca="1">C46</f>
        <v>12492</v>
      </c>
      <c r="D45" s="277">
        <f ca="1">C47</f>
        <v>7.4999999999999997E-3</v>
      </c>
      <c r="E45" s="278" t="s">
        <v>2398</v>
      </c>
      <c r="F45" s="288"/>
      <c r="G45" s="289" t="s">
        <v>2407</v>
      </c>
    </row>
    <row r="46" spans="1:7" s="256" customFormat="1" ht="13.5" customHeight="1">
      <c r="A46" s="948" t="s">
        <v>791</v>
      </c>
      <c r="B46" s="290" t="s">
        <v>2408</v>
      </c>
      <c r="C46" s="291">
        <f ca="1">ROUND((C33+C39)*F27,0)</f>
        <v>12492</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71348</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65640</v>
      </c>
      <c r="D51" s="274"/>
      <c r="E51" s="274"/>
      <c r="F51" s="306"/>
      <c r="G51" s="276" t="s">
        <v>2419</v>
      </c>
    </row>
    <row r="52" spans="1:7" s="250" customFormat="1" ht="16.5" thickBot="1">
      <c r="A52" s="307" t="s">
        <v>2420</v>
      </c>
      <c r="B52" s="308"/>
      <c r="C52" s="309">
        <f ca="1">C31+C51</f>
        <v>224783</v>
      </c>
      <c r="D52" s="308"/>
      <c r="E52" s="308"/>
      <c r="F52" s="308"/>
      <c r="G52" s="310"/>
    </row>
    <row r="55" spans="1:7" ht="15">
      <c r="B55" s="312" t="s">
        <v>2421</v>
      </c>
      <c r="C55" s="313"/>
    </row>
    <row r="56" spans="1:7">
      <c r="B56" s="315" t="s">
        <v>1508</v>
      </c>
      <c r="C56" s="317">
        <f ca="1">1-C57</f>
        <v>0.70799999999999996</v>
      </c>
    </row>
    <row r="57" spans="1:7">
      <c r="B57" s="315" t="s">
        <v>1509</v>
      </c>
      <c r="C57" s="316">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3" t="str">
        <f>项目基本情况!B1</f>
        <v>北京市大兴区欣旺北大街8号1幢商业用房房地产抵押价值预评估</v>
      </c>
      <c r="C37" s="3013"/>
      <c r="D37" s="3013"/>
      <c r="E37" s="3013"/>
      <c r="F37" s="3013"/>
      <c r="G37" s="3013"/>
      <c r="H37" s="3013"/>
      <c r="I37" s="3013"/>
    </row>
    <row r="38" spans="1:9">
      <c r="A38" s="1013"/>
      <c r="B38" s="1013"/>
    </row>
    <row r="39" spans="1:9">
      <c r="A39" s="1011" t="s">
        <v>818</v>
      </c>
      <c r="B39" s="1011" t="s">
        <v>820</v>
      </c>
    </row>
    <row r="40" spans="1:9">
      <c r="A40" s="1011"/>
      <c r="B40" s="1937" t="str">
        <f>项目基本情况!B5</f>
        <v xml:space="preserve">北京鸿坤伟业房地产开发有限公司 </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2"/>
      <c r="C1" s="2547"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71835</v>
      </c>
      <c r="C2" s="241" t="s">
        <v>2322</v>
      </c>
      <c r="D2" s="2541" t="s">
        <v>70</v>
      </c>
      <c r="E2" s="1437"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7077</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20300868</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20300868</v>
      </c>
      <c r="D8" s="264"/>
      <c r="E8" s="262"/>
      <c r="F8" s="263"/>
      <c r="G8" s="2544"/>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20300868</v>
      </c>
      <c r="D10" s="1029">
        <f ca="1">IF(B1="",'数据-汇总表'!E6,IF(INDIRECT("'数据-取费表'!c"&amp;$G$1)="住宅",INDIRECT("'数据-取费表'!s"&amp;$G$1),INDIRECT("'数据-取费表'!k"&amp;$G$1)+INDIRECT("'数据-取费表'!s"&amp;$G$1)))</f>
        <v>101504.34</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20300868</v>
      </c>
      <c r="D19" s="1033">
        <f ca="1">D9+D10</f>
        <v>101504.34</v>
      </c>
      <c r="E19" s="253">
        <f>'数据-取费表'!B31</f>
        <v>200</v>
      </c>
      <c r="F19" s="273"/>
      <c r="G19" s="2544"/>
    </row>
    <row r="20" spans="1:7" s="256" customFormat="1" ht="13.5" customHeight="1">
      <c r="A20" s="297" t="s">
        <v>2433</v>
      </c>
      <c r="B20" s="252" t="s">
        <v>2434</v>
      </c>
      <c r="C20" s="274">
        <f ca="1">ROUND((C5+C19)*F20,0)</f>
        <v>1218052</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4006629</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1974386</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1974386</v>
      </c>
      <c r="D24" s="280"/>
      <c r="E24" s="280"/>
      <c r="F24" s="281"/>
      <c r="G24" s="282" t="s">
        <v>2445</v>
      </c>
    </row>
    <row r="25" spans="1:7" s="256" customFormat="1" ht="24">
      <c r="A25" s="948" t="s">
        <v>2335</v>
      </c>
      <c r="B25" s="257" t="s">
        <v>2446</v>
      </c>
      <c r="C25" s="1378">
        <f ca="1">ROUND(IF('数据-取费表'!B22&lt;=1,C20*F22*'数据-取费表'!B22/2,C20*(POWER((1+F22),'数据-取费表'!B22/2)-1)),0)</f>
        <v>57857</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4.75">
      <c r="A27" s="297" t="s">
        <v>2371</v>
      </c>
      <c r="B27" s="286" t="s">
        <v>2372</v>
      </c>
      <c r="C27" s="287">
        <f ca="1">C28</f>
        <v>10454947</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10454947</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61936133</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485139993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436468662</v>
      </c>
      <c r="D34" s="259"/>
      <c r="E34" s="262"/>
      <c r="F34" s="299"/>
      <c r="G34" s="261"/>
    </row>
    <row r="35" spans="1:7" ht="13.5" customHeight="1">
      <c r="A35" s="948" t="s">
        <v>796</v>
      </c>
      <c r="B35" s="257" t="s">
        <v>2386</v>
      </c>
      <c r="C35" s="262">
        <f ca="1">ROUND(C34*F35,0)</f>
        <v>21823433</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20300868</v>
      </c>
      <c r="D37" s="259">
        <f ca="1">D19</f>
        <v>101504.34</v>
      </c>
      <c r="E37" s="291">
        <f>'数据-取费表'!B35</f>
        <v>200</v>
      </c>
      <c r="F37" s="301"/>
      <c r="G37" s="303"/>
    </row>
    <row r="38" spans="1:7" ht="13.5" customHeight="1">
      <c r="A38" s="948" t="s">
        <v>799</v>
      </c>
      <c r="B38" s="257" t="s">
        <v>2392</v>
      </c>
      <c r="C38" s="262">
        <f ca="1">ROUND(C34*F38,0)</f>
        <v>6547030</v>
      </c>
      <c r="D38" s="262"/>
      <c r="E38" s="262"/>
      <c r="F38" s="301">
        <f>'数据-取费表'!B36</f>
        <v>1.4999999999999999E-2</v>
      </c>
      <c r="G38" s="261" t="s">
        <v>2387</v>
      </c>
    </row>
    <row r="39" spans="1:7" s="256" customFormat="1" ht="13.5" customHeight="1">
      <c r="A39" s="297" t="s">
        <v>2393</v>
      </c>
      <c r="B39" s="252" t="s">
        <v>2394</v>
      </c>
      <c r="C39" s="274">
        <f ca="1">ROUND(C33*F20,0)</f>
        <v>14554200</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23735475</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23044150</v>
      </c>
      <c r="D42" s="280"/>
      <c r="E42" s="280"/>
      <c r="F42" s="281"/>
      <c r="G42" s="3204" t="s">
        <v>2450</v>
      </c>
    </row>
    <row r="43" spans="1:7" ht="13.5" customHeight="1">
      <c r="A43" s="948" t="s">
        <v>792</v>
      </c>
      <c r="B43" s="257" t="s">
        <v>2404</v>
      </c>
      <c r="C43" s="280">
        <f ca="1">ROUND(IF('数据-取费表'!B22&lt;=1,C39*F22*'数据-取费表'!B20/2,C39*(POWER((1+F22),'数据-取费表'!B20/2)-1)),0)</f>
        <v>691325</v>
      </c>
      <c r="D43" s="280"/>
      <c r="E43" s="280"/>
      <c r="F43" s="281"/>
      <c r="G43" s="3205"/>
    </row>
    <row r="44" spans="1:7" ht="13.5" customHeight="1">
      <c r="A44" s="948" t="s">
        <v>793</v>
      </c>
      <c r="B44" s="257" t="s">
        <v>2405</v>
      </c>
      <c r="C44" s="280">
        <f ca="1">ROUND(IF('数据-取费表'!B22&lt;=1,C40*F22*'数据-取费表'!B20/2,C40*(POWER((1+F22),'数据-取费表'!B20/2)-1)),4)</f>
        <v>1.4E-3</v>
      </c>
      <c r="D44" s="280"/>
      <c r="E44" s="280"/>
      <c r="F44" s="281"/>
      <c r="G44" s="3206"/>
    </row>
    <row r="45" spans="1:7" s="256" customFormat="1" ht="13.5" customHeight="1">
      <c r="A45" s="297" t="s">
        <v>2406</v>
      </c>
      <c r="B45" s="286" t="s">
        <v>2372</v>
      </c>
      <c r="C45" s="287">
        <f ca="1">C46</f>
        <v>124923548</v>
      </c>
      <c r="D45" s="277">
        <f ca="1">C47</f>
        <v>7.4999999999999997E-3</v>
      </c>
      <c r="E45" s="278" t="s">
        <v>2398</v>
      </c>
      <c r="F45" s="288"/>
      <c r="G45" s="289" t="s">
        <v>2407</v>
      </c>
    </row>
    <row r="46" spans="1:7" s="256" customFormat="1" ht="13.5" customHeight="1">
      <c r="A46" s="948" t="s">
        <v>791</v>
      </c>
      <c r="B46" s="290" t="s">
        <v>2408</v>
      </c>
      <c r="C46" s="291">
        <f ca="1">ROUND((C33+C39)*F27,0)</f>
        <v>124923548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713495341</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656415714</v>
      </c>
      <c r="D51" s="274"/>
      <c r="E51" s="274"/>
      <c r="F51" s="306"/>
      <c r="G51" s="276" t="s">
        <v>2419</v>
      </c>
    </row>
    <row r="52" spans="1:7" s="250" customFormat="1" ht="16.5" thickBot="1">
      <c r="A52" s="307" t="s">
        <v>2420</v>
      </c>
      <c r="B52" s="308"/>
      <c r="C52" s="309">
        <f ca="1">C31+C51</f>
        <v>718351847</v>
      </c>
      <c r="D52" s="308"/>
      <c r="E52" s="308"/>
      <c r="F52" s="308"/>
      <c r="G52" s="310"/>
    </row>
    <row r="55" spans="1:7" ht="15">
      <c r="B55" s="312" t="s">
        <v>2421</v>
      </c>
      <c r="C55" s="313"/>
    </row>
    <row r="56" spans="1:7">
      <c r="B56" s="315" t="s">
        <v>1508</v>
      </c>
      <c r="C56" s="317">
        <f ca="1">1-C57</f>
        <v>8.5999999999999965E-2</v>
      </c>
    </row>
    <row r="57" spans="1:7">
      <c r="B57" s="315" t="s">
        <v>1509</v>
      </c>
      <c r="C57" s="316">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8" t="s">
        <v>2459</v>
      </c>
      <c r="D5" s="2548" t="s">
        <v>2460</v>
      </c>
      <c r="E5" s="2548" t="s">
        <v>2461</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101504.34</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101504.34</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50"/>
      <c r="H18" s="1573"/>
      <c r="I18" s="2551"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2030</v>
      </c>
      <c r="D20" s="1030">
        <f ca="1">IF(C1="",'数据-汇总表'!E6,IF(INDIRECT("'数据-取费表'!c"&amp;$K$1)="住宅",INDIRECT("'数据-取费表'!s"&amp;$K$1),INDIRECT("'数据-取费表'!k"&amp;$K$1)+INDIRECT("'数据-取费表'!s"&amp;$K$1)))</f>
        <v>101504.34</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6"/>
      <c r="I27" s="976"/>
      <c r="J27" s="976"/>
      <c r="K27" s="977"/>
    </row>
    <row r="28" spans="1:33" s="331" customFormat="1" ht="13.5" customHeight="1">
      <c r="A28" s="958" t="s">
        <v>2503</v>
      </c>
      <c r="B28" s="2553"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4"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9" customWidth="1"/>
    <col min="33" max="36" width="9.375" style="2782" customWidth="1"/>
    <col min="37" max="38" width="9.375" style="2714" customWidth="1"/>
    <col min="39" max="16384" width="12" style="2714"/>
  </cols>
  <sheetData>
    <row r="1" spans="1:36" ht="28.5">
      <c r="A1" s="238" t="s">
        <v>2796</v>
      </c>
      <c r="B1" s="239"/>
      <c r="C1" s="243" t="s">
        <v>2797</v>
      </c>
      <c r="D1" s="386">
        <f>SUM(D29:D30,D33:D39)</f>
        <v>100560.83</v>
      </c>
      <c r="E1" s="2711"/>
      <c r="F1" s="2711"/>
      <c r="G1" s="2711"/>
      <c r="H1" s="2711"/>
      <c r="I1" s="2711"/>
      <c r="J1" s="2711"/>
      <c r="K1" s="1367"/>
      <c r="L1" s="2712" t="s">
        <v>2798</v>
      </c>
      <c r="M1" s="1077">
        <f>SUMPRODUCT((区片价!B5:B9=I2)*(区片价!C3:F3=E2)*(区片价!C5:F9))</f>
        <v>0</v>
      </c>
      <c r="N1" s="1080">
        <f>SUMPRODUCT((因素修正幅度!B5:B9=I2)*(因素修正幅度!C3:F3=E2)*(因素修正幅度!C5:F9))</f>
        <v>0</v>
      </c>
      <c r="O1" s="2713"/>
      <c r="P1" s="2713"/>
      <c r="Q1" s="1367"/>
      <c r="R1" s="1598" t="s">
        <v>2799</v>
      </c>
      <c r="S1" s="1598" t="s">
        <v>2800</v>
      </c>
      <c r="T1" s="1598" t="s">
        <v>2801</v>
      </c>
      <c r="U1" s="1598" t="s">
        <v>2802</v>
      </c>
      <c r="V1" s="1598" t="s">
        <v>2803</v>
      </c>
      <c r="W1" s="1602"/>
      <c r="X1" s="1602"/>
      <c r="Y1" s="1602"/>
      <c r="Z1" s="1602"/>
      <c r="AA1" s="1602"/>
      <c r="AB1" s="1602"/>
      <c r="AC1" s="1603"/>
      <c r="AD1" s="1604"/>
      <c r="AE1" s="1604"/>
      <c r="AF1" s="1604"/>
      <c r="AG1" s="1604"/>
      <c r="AH1" s="1604"/>
      <c r="AI1" s="1604"/>
      <c r="AJ1" s="1605"/>
    </row>
    <row r="2" spans="1:36" ht="15.75">
      <c r="A2" s="243" t="s">
        <v>2804</v>
      </c>
      <c r="B2" s="246">
        <f ca="1">C26</f>
        <v>83234</v>
      </c>
      <c r="C2" s="2715" t="s">
        <v>2805</v>
      </c>
      <c r="D2" s="2716" t="s">
        <v>2806</v>
      </c>
      <c r="E2" s="2717" t="s">
        <v>1373</v>
      </c>
      <c r="F2" s="2716" t="s">
        <v>2807</v>
      </c>
      <c r="G2" s="2718" t="str">
        <f>IF(E2="商业",项目基本情况!B37,IF(E2="办公",项目基本情况!C37,IF(E2="住宅",项目基本情况!D37,项目基本情况!E37)))</f>
        <v>七级</v>
      </c>
      <c r="H2" s="2716" t="s">
        <v>2808</v>
      </c>
      <c r="I2" s="2718" t="str">
        <f>IF(E2="商业",项目基本情况!B38,IF(E2="办公",项目基本情况!C38,IF(E2="住宅",项目基本情况!D38,项目基本情况!E38)))</f>
        <v>Ⅶ-兴1</v>
      </c>
      <c r="J2" s="2719"/>
      <c r="K2" s="1367"/>
      <c r="L2" s="2720" t="s">
        <v>2809</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1.8629</v>
      </c>
      <c r="T2" s="1598">
        <f ca="1">ROUND($C$5*$C$18*$C$19*$C$20*S2*$C$24,0)</f>
        <v>20149</v>
      </c>
      <c r="U2" s="1599"/>
      <c r="V2" s="1598">
        <f ca="1">ROUND(T2*U2/10000,0)</f>
        <v>0</v>
      </c>
      <c r="W2" s="1602"/>
      <c r="X2" s="1602"/>
      <c r="Y2" s="1602"/>
      <c r="Z2" s="1602"/>
      <c r="AA2" s="1602"/>
      <c r="AB2" s="1602"/>
      <c r="AC2" s="1603"/>
      <c r="AD2" s="1604"/>
      <c r="AE2" s="1604"/>
      <c r="AF2" s="1604"/>
      <c r="AG2" s="1604"/>
      <c r="AH2" s="1604"/>
      <c r="AI2" s="1604"/>
      <c r="AJ2" s="1605"/>
    </row>
    <row r="3" spans="1:36" ht="25.5">
      <c r="A3" s="245" t="s">
        <v>2810</v>
      </c>
      <c r="B3" s="246">
        <f ca="1">ROUND(B2*10000/D1,0)</f>
        <v>8277</v>
      </c>
      <c r="C3" s="2715" t="s">
        <v>2811</v>
      </c>
      <c r="D3" s="2716" t="s">
        <v>2812</v>
      </c>
      <c r="E3" s="2721" t="s">
        <v>3108</v>
      </c>
      <c r="F3" s="2722" t="s">
        <v>3066</v>
      </c>
      <c r="G3" s="913">
        <f>IF(F3="宗地容积率",'数据-汇总表'!I4,IF(F3="估价对象容积率",'数据-汇总表'!I6,'数据-汇总表'!I7))</f>
        <v>2.39</v>
      </c>
      <c r="H3" s="196" t="s">
        <v>2813</v>
      </c>
      <c r="I3" s="941">
        <v>7</v>
      </c>
      <c r="J3" s="2719" t="s">
        <v>2814</v>
      </c>
      <c r="K3" s="1367"/>
      <c r="L3" s="2720" t="s">
        <v>2815</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1.3371999999999999</v>
      </c>
      <c r="T3" s="1598">
        <f t="shared" ref="T3:T16" ca="1" si="0">ROUND($C$5*$C$18*$C$19*$C$20*S3*$C$24,0)</f>
        <v>14463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23"/>
      <c r="B4" s="3224"/>
      <c r="C4" s="3224"/>
      <c r="D4" s="3225"/>
      <c r="E4" s="3225"/>
      <c r="F4" s="3225"/>
      <c r="G4" s="3225"/>
      <c r="H4" s="3225"/>
      <c r="I4" s="3225"/>
      <c r="J4" s="3226"/>
      <c r="K4" s="1367"/>
      <c r="L4" s="2720" t="s">
        <v>2816</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1.0788</v>
      </c>
      <c r="T4" s="1598">
        <f t="shared" ca="1" si="0"/>
        <v>11668</v>
      </c>
      <c r="U4" s="1599"/>
      <c r="V4" s="1598">
        <f t="shared" ca="1" si="1"/>
        <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2817</v>
      </c>
      <c r="C5" s="914">
        <f>ROUND(IF(E2="商业",C6*C7+C16,(IF(E2="住宅",C6*C12+C16,C6+C16))),0)</f>
        <v>8554</v>
      </c>
      <c r="D5" s="1783">
        <f>ROUND(C6+C16,0)</f>
        <v>8554</v>
      </c>
      <c r="E5" s="1783"/>
      <c r="F5" s="2725"/>
      <c r="G5" s="2726"/>
      <c r="H5" s="2726"/>
      <c r="I5" s="2726"/>
      <c r="J5" s="2727"/>
      <c r="K5" s="2728"/>
      <c r="L5" s="2720" t="s">
        <v>2818</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0.86560000000000004</v>
      </c>
      <c r="T5" s="1598">
        <f t="shared" ca="1" si="0"/>
        <v>9362</v>
      </c>
      <c r="U5" s="1599"/>
      <c r="V5" s="1598">
        <f t="shared" ca="1" si="1"/>
        <v>0</v>
      </c>
      <c r="W5" s="1602"/>
      <c r="X5" s="1602"/>
      <c r="Y5" s="1602"/>
      <c r="Z5" s="1602"/>
      <c r="AA5" s="1602"/>
      <c r="AB5" s="1602"/>
      <c r="AC5" s="2729"/>
      <c r="AD5" s="2730"/>
      <c r="AE5" s="2730"/>
      <c r="AF5" s="2730"/>
      <c r="AG5" s="2730"/>
      <c r="AH5" s="2730"/>
      <c r="AI5" s="2730"/>
      <c r="AJ5" s="2731"/>
    </row>
    <row r="6" spans="1:36" ht="15.75" thickBot="1">
      <c r="A6" s="2733" t="s">
        <v>2819</v>
      </c>
      <c r="B6" s="2734" t="s">
        <v>2820</v>
      </c>
      <c r="C6" s="915">
        <f>SUMIF(L1:L12,G2,M1:M12)</f>
        <v>8590</v>
      </c>
      <c r="D6" s="2735" t="s">
        <v>2821</v>
      </c>
      <c r="E6" s="2736"/>
      <c r="F6" s="2736"/>
      <c r="G6" s="2737"/>
      <c r="H6" s="2737"/>
      <c r="I6" s="2737"/>
      <c r="J6" s="2738"/>
      <c r="K6" s="1838"/>
      <c r="L6" s="2720" t="s">
        <v>2822</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0.73709999999999998</v>
      </c>
      <c r="T6" s="1598">
        <f t="shared" ca="1" si="0"/>
        <v>7972</v>
      </c>
      <c r="U6" s="1599"/>
      <c r="V6" s="1598">
        <f t="shared" ca="1" si="1"/>
        <v>0</v>
      </c>
      <c r="W6" s="1602"/>
      <c r="X6" s="1602"/>
      <c r="Y6" s="1602"/>
      <c r="Z6" s="1602"/>
      <c r="AA6" s="1602"/>
      <c r="AB6" s="1602"/>
      <c r="AC6" s="2729"/>
      <c r="AD6" s="2730"/>
      <c r="AE6" s="2730"/>
      <c r="AF6" s="2730"/>
      <c r="AG6" s="2730"/>
      <c r="AH6" s="2730"/>
      <c r="AI6" s="2730"/>
      <c r="AJ6" s="2731"/>
    </row>
    <row r="7" spans="1:36" ht="24">
      <c r="A7" s="3207" t="str">
        <f>IF(E2="商业",IF(C8="不临58条商业街","",2),"")</f>
        <v/>
      </c>
      <c r="B7" s="2739" t="s">
        <v>2823</v>
      </c>
      <c r="C7" s="916">
        <f>IF(C8="不临58条商业街",1,ROUND(1+(1.6*E8+1.2*E9+0.8*E10+0.4*E11)*C9,4))</f>
        <v>1</v>
      </c>
      <c r="D7" s="2740" t="s">
        <v>2824</v>
      </c>
      <c r="E7" s="942"/>
      <c r="F7" s="2741"/>
      <c r="G7" s="2742"/>
      <c r="H7" s="2742"/>
      <c r="I7" s="2742"/>
      <c r="J7" s="2743"/>
      <c r="K7" s="1838"/>
      <c r="L7" s="2720" t="s">
        <v>2825</v>
      </c>
      <c r="M7" s="1078">
        <f>SUMPRODUCT((区片价!B158:B205=I2)*(区片价!C3:F3=E2)*(区片价!C158:F205))</f>
        <v>8590</v>
      </c>
      <c r="N7" s="1080">
        <f>SUMPRODUCT((因素修正幅度!B158:B205=I2)*(因素修正幅度!C3:F3=E2)*(因素修正幅度!C158:F205))</f>
        <v>0.13</v>
      </c>
      <c r="O7" s="1367"/>
      <c r="P7" s="1367"/>
      <c r="Q7" s="1367"/>
      <c r="R7" s="1598">
        <v>6</v>
      </c>
      <c r="S7" s="1598">
        <f>ROUND(IF(G3&gt;1,IF(R7&lt;7,SUMPRODUCT((B93:B98=R7)*(C92:N92=G2)*(C93:N98)),SUMIF(C92:N92,G2,C100:N100)),IF(R7&lt;7,SUMPRODUCT((B102:B107=R7)*(C92:N92=G2)*(C102:N107)),SUMIF(C92:N92,G2,C109:N109))),4)</f>
        <v>0.6482</v>
      </c>
      <c r="T7" s="1598">
        <f t="shared" ca="1" si="0"/>
        <v>7011</v>
      </c>
      <c r="U7" s="1599"/>
      <c r="V7" s="1598">
        <f t="shared" ca="1" si="1"/>
        <v>0</v>
      </c>
      <c r="W7" s="1812" t="s">
        <v>2826</v>
      </c>
      <c r="X7" s="1600" t="str">
        <f>G2</f>
        <v>七级</v>
      </c>
      <c r="Y7" s="1600" t="s">
        <v>2827</v>
      </c>
      <c r="Z7" s="1601">
        <f>G3</f>
        <v>2.39</v>
      </c>
      <c r="AA7" s="1602"/>
      <c r="AB7" s="1602"/>
      <c r="AC7" s="1603"/>
      <c r="AD7" s="1604"/>
      <c r="AE7" s="1604"/>
      <c r="AF7" s="1604"/>
      <c r="AG7" s="1604"/>
      <c r="AH7" s="1604"/>
      <c r="AI7" s="1604"/>
      <c r="AJ7" s="1605"/>
    </row>
    <row r="8" spans="1:36" ht="25.5">
      <c r="A8" s="3227"/>
      <c r="B8" s="196" t="s">
        <v>2828</v>
      </c>
      <c r="C8" s="2744" t="s">
        <v>3110</v>
      </c>
      <c r="D8" s="917" t="s">
        <v>139</v>
      </c>
      <c r="E8" s="918" t="e">
        <f>ROUND(C11/E7,4)</f>
        <v>#DIV/0!</v>
      </c>
      <c r="F8" s="2745" t="s">
        <v>2829</v>
      </c>
      <c r="G8" s="2746"/>
      <c r="H8" s="2746"/>
      <c r="I8" s="2746"/>
      <c r="J8" s="2747"/>
      <c r="K8" s="1367"/>
      <c r="L8" s="2720" t="s">
        <v>2830</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20" t="s">
        <v>2831</v>
      </c>
      <c r="X8" s="3221"/>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227"/>
      <c r="B9" s="196" t="s">
        <v>2844</v>
      </c>
      <c r="C9" s="919">
        <f>SUMIF(修正!C59:C119,C8,修正!E59:E119)</f>
        <v>0</v>
      </c>
      <c r="D9" s="198" t="s">
        <v>140</v>
      </c>
      <c r="E9" s="198" t="e">
        <f>ROUND(C11/E7,4)</f>
        <v>#DIV/0!</v>
      </c>
      <c r="F9" s="2745" t="s">
        <v>2845</v>
      </c>
      <c r="G9" s="2746"/>
      <c r="H9" s="2746"/>
      <c r="I9" s="2746"/>
      <c r="J9" s="2747"/>
      <c r="K9" s="1367"/>
      <c r="L9" s="2720" t="s">
        <v>2846</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22"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27"/>
      <c r="B10" s="196" t="s">
        <v>2849</v>
      </c>
      <c r="C10" s="198">
        <f>SUMIF(修正!C59:C119,C8,修正!F59:F119)</f>
        <v>0</v>
      </c>
      <c r="D10" s="198" t="s">
        <v>141</v>
      </c>
      <c r="E10" s="198" t="e">
        <f>ROUND(C11/E7,4)</f>
        <v>#DIV/0!</v>
      </c>
      <c r="F10" s="2745" t="s">
        <v>2850</v>
      </c>
      <c r="G10" s="2746"/>
      <c r="H10" s="2746"/>
      <c r="I10" s="2746"/>
      <c r="J10" s="2747"/>
      <c r="K10" s="1367"/>
      <c r="L10" s="2720" t="s">
        <v>2851</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2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27"/>
      <c r="B11" s="2748" t="s">
        <v>2852</v>
      </c>
      <c r="C11" s="920">
        <f>C10/4</f>
        <v>0</v>
      </c>
      <c r="D11" s="920" t="s">
        <v>142</v>
      </c>
      <c r="E11" s="920" t="e">
        <f>ROUND(C11/E7,4)</f>
        <v>#DIV/0!</v>
      </c>
      <c r="F11" s="2749" t="s">
        <v>2853</v>
      </c>
      <c r="G11" s="2750"/>
      <c r="H11" s="2750"/>
      <c r="I11" s="2750"/>
      <c r="J11" s="2751"/>
      <c r="K11" s="1367"/>
      <c r="L11" s="2720" t="s">
        <v>2854</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22" t="s">
        <v>2855</v>
      </c>
      <c r="X11" s="1610" t="s">
        <v>2856</v>
      </c>
      <c r="Y11" s="1611">
        <f>$G$3</f>
        <v>2.39</v>
      </c>
      <c r="Z11" s="1611">
        <f t="shared" ref="Z11:AJ11" si="3">$G$3</f>
        <v>2.39</v>
      </c>
      <c r="AA11" s="1611">
        <f t="shared" si="3"/>
        <v>2.39</v>
      </c>
      <c r="AB11" s="1611">
        <f t="shared" si="3"/>
        <v>2.39</v>
      </c>
      <c r="AC11" s="1611">
        <f t="shared" si="3"/>
        <v>2.39</v>
      </c>
      <c r="AD11" s="1611">
        <f t="shared" si="3"/>
        <v>2.39</v>
      </c>
      <c r="AE11" s="1611">
        <f t="shared" si="3"/>
        <v>2.39</v>
      </c>
      <c r="AF11" s="1611">
        <f t="shared" si="3"/>
        <v>2.39</v>
      </c>
      <c r="AG11" s="1611">
        <f t="shared" si="3"/>
        <v>2.39</v>
      </c>
      <c r="AH11" s="1611">
        <f t="shared" si="3"/>
        <v>2.39</v>
      </c>
      <c r="AI11" s="1611">
        <f t="shared" si="3"/>
        <v>2.39</v>
      </c>
      <c r="AJ11" s="1611">
        <f t="shared" si="3"/>
        <v>2.39</v>
      </c>
    </row>
    <row r="12" spans="1:36" ht="25.5" hidden="1" thickBot="1">
      <c r="A12" s="3207" t="s">
        <v>2857</v>
      </c>
      <c r="B12" s="2752" t="s">
        <v>2858</v>
      </c>
      <c r="C12" s="916">
        <f>ROUND(C15*D15*E15*F15*G15*H15*I15*J15,4)</f>
        <v>1</v>
      </c>
      <c r="D12" s="2753" t="s">
        <v>2859</v>
      </c>
      <c r="E12" s="2754"/>
      <c r="F12" s="2754"/>
      <c r="G12" s="2755"/>
      <c r="H12" s="2755"/>
      <c r="I12" s="2755"/>
      <c r="J12" s="2756"/>
      <c r="K12" s="1367"/>
      <c r="L12" s="2757" t="s">
        <v>2860</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22"/>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28"/>
      <c r="B13" s="2758" t="s">
        <v>2862</v>
      </c>
      <c r="C13" s="2759" t="s">
        <v>2863</v>
      </c>
      <c r="D13" s="1804" t="s">
        <v>2864</v>
      </c>
      <c r="E13" s="1804" t="s">
        <v>2865</v>
      </c>
      <c r="F13" s="30" t="s">
        <v>2866</v>
      </c>
      <c r="G13" s="2760" t="s">
        <v>2867</v>
      </c>
      <c r="H13" s="2760" t="s">
        <v>2867</v>
      </c>
      <c r="I13" s="2760" t="s">
        <v>2867</v>
      </c>
      <c r="J13" s="2761" t="s">
        <v>2867</v>
      </c>
      <c r="K13" s="1367"/>
      <c r="L13" s="1367"/>
      <c r="M13" s="1367"/>
      <c r="N13" s="1367"/>
      <c r="O13" s="1367"/>
      <c r="P13" s="1367"/>
      <c r="Q13" s="1367"/>
      <c r="R13" s="1598">
        <v>12</v>
      </c>
      <c r="S13" s="1599"/>
      <c r="T13" s="1598">
        <f t="shared" ca="1" si="0"/>
        <v>0</v>
      </c>
      <c r="U13" s="1599"/>
      <c r="V13" s="1598">
        <f t="shared" ca="1" si="1"/>
        <v>0</v>
      </c>
      <c r="W13" s="3222"/>
      <c r="X13" s="1612"/>
      <c r="Y13" s="1609">
        <f>(-0.163*(Y12^2)-0.59*Y12+7617)*(10^(-4))/Y11</f>
        <v>0.31870292887029289</v>
      </c>
      <c r="Z13" s="1609">
        <f t="shared" ref="Z13:AJ13" si="5">(-0.163*(Z12^2)-0.59*Z12+7617)*(10^(-4))/Z11</f>
        <v>0.31870292887029289</v>
      </c>
      <c r="AA13" s="1609">
        <f t="shared" si="5"/>
        <v>0.31870292887029289</v>
      </c>
      <c r="AB13" s="1609">
        <f t="shared" si="5"/>
        <v>0.31870292887029289</v>
      </c>
      <c r="AC13" s="1609">
        <f t="shared" si="5"/>
        <v>0.31870292887029289</v>
      </c>
      <c r="AD13" s="1609">
        <f t="shared" si="5"/>
        <v>0.31870292887029289</v>
      </c>
      <c r="AE13" s="1609">
        <f t="shared" si="5"/>
        <v>0.31870292887029289</v>
      </c>
      <c r="AF13" s="1609">
        <f t="shared" si="5"/>
        <v>0.31870292887029289</v>
      </c>
      <c r="AG13" s="1609">
        <f t="shared" si="5"/>
        <v>0.31870292887029289</v>
      </c>
      <c r="AH13" s="1609">
        <f t="shared" si="5"/>
        <v>0.31870292887029289</v>
      </c>
      <c r="AI13" s="1609">
        <f t="shared" si="5"/>
        <v>0.31870292887029289</v>
      </c>
      <c r="AJ13" s="1609">
        <f t="shared" si="5"/>
        <v>0.31870292887029289</v>
      </c>
    </row>
    <row r="14" spans="1:36" ht="15" hidden="1">
      <c r="A14" s="3228"/>
      <c r="B14" s="2762"/>
      <c r="C14" s="2763"/>
      <c r="D14" s="2764"/>
      <c r="E14" s="2764"/>
      <c r="F14" s="2765"/>
      <c r="G14" s="2766" t="s">
        <v>2868</v>
      </c>
      <c r="H14" s="2767"/>
      <c r="I14" s="2768"/>
      <c r="J14" s="2769"/>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29"/>
      <c r="B15" s="2770" t="s">
        <v>2869</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07" t="s">
        <v>2874</v>
      </c>
      <c r="B16" s="2739" t="s">
        <v>2875</v>
      </c>
      <c r="C16" s="2926">
        <f>ROUND(IF(F17="与级别开发程度一致",0,(G17-E17)/C17),0)</f>
        <v>-36</v>
      </c>
      <c r="D16" s="3218" t="s">
        <v>2879</v>
      </c>
      <c r="E16" s="3219"/>
      <c r="F16" s="3218" t="s">
        <v>2876</v>
      </c>
      <c r="G16" s="3219"/>
      <c r="H16" s="2773" t="s">
        <v>3051</v>
      </c>
      <c r="I16" s="2773" t="s">
        <v>3052</v>
      </c>
      <c r="J16" s="2930" t="s">
        <v>3053</v>
      </c>
      <c r="K16" s="2773" t="s">
        <v>3054</v>
      </c>
      <c r="L16" s="2773" t="s">
        <v>3055</v>
      </c>
      <c r="M16" s="2773" t="s">
        <v>3087</v>
      </c>
      <c r="N16" s="2773" t="s">
        <v>70</v>
      </c>
      <c r="O16" s="2774"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08"/>
      <c r="B17" s="2937" t="s">
        <v>2878</v>
      </c>
      <c r="C17" s="2938">
        <f>SUMPRODUCT((修正!A2:A5=E2)*(修正!B1:M1=G2)*(修正!B2:M5))</f>
        <v>2.5</v>
      </c>
      <c r="D17" s="227" t="str">
        <f>IF(OR(G2="八级",G2="九级",G2="十级",G2="十一级",G2="十二级"),"五通一平","七通一平")</f>
        <v>七通一平</v>
      </c>
      <c r="E17" s="2927">
        <f>SUMPRODUCT((修正!B1:M1=G2)*(修正!B15:M15))</f>
        <v>300</v>
      </c>
      <c r="F17" s="2928" t="s">
        <v>3064</v>
      </c>
      <c r="G17" s="2929">
        <f>SUM(H17:O17)</f>
        <v>210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15</v>
      </c>
      <c r="N17" s="2938">
        <f>SUMPRODUCT((七通一平=N16)*(修正!B1:M1=G2)*(修正!B6:M14))</f>
        <v>0</v>
      </c>
      <c r="O17" s="2940">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75" thickBot="1">
      <c r="A18" s="2931" t="s">
        <v>808</v>
      </c>
      <c r="B18" s="2932" t="s">
        <v>2881</v>
      </c>
      <c r="C18" s="2933">
        <f>SUMIF(修正!C18:C39,E3,修正!E18:E39)</f>
        <v>1.1000000000000001</v>
      </c>
      <c r="D18" s="2934"/>
      <c r="E18" s="2935"/>
      <c r="F18" s="2935"/>
      <c r="G18" s="2935"/>
      <c r="H18" s="2935"/>
      <c r="I18" s="2935"/>
      <c r="J18" s="2936"/>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9.25" thickBot="1">
      <c r="A19" s="2778" t="s">
        <v>809</v>
      </c>
      <c r="B19" s="2779" t="s">
        <v>2882</v>
      </c>
      <c r="C19" s="921">
        <f>ROUND(IF(H19="按公示增长率计算",SUMPRODUCT((地价!A3:A28=YEAR(G19)&amp;"-"&amp;ROUNDUP(MONTH(G19)/3,0))*(地价!X2:AB2=E2)*(地价!X3:AB28)),IF(H19="地价指数",M20/M19,(1+I19)^O19)),4)</f>
        <v>1.3557999999999999</v>
      </c>
      <c r="D19" s="2783" t="s">
        <v>2883</v>
      </c>
      <c r="E19" s="922">
        <v>41640</v>
      </c>
      <c r="F19" s="2783" t="s">
        <v>2884</v>
      </c>
      <c r="G19" s="923">
        <f>'数据-取费表'!B2</f>
        <v>43756</v>
      </c>
      <c r="H19" s="2784" t="s">
        <v>3067</v>
      </c>
      <c r="I19" s="924" t="str">
        <f>IF(H19="季度增幅（自定义）",SUMIF(N21:N24,E2,O21:O24),"")</f>
        <v/>
      </c>
      <c r="J19" s="2781"/>
      <c r="K19" s="1374"/>
      <c r="L19" s="2785" t="s">
        <v>2885</v>
      </c>
      <c r="M19" s="1730">
        <f>ROUND(SUMIF(地价!B2:F2,E2,地价!B28:F28),0)</f>
        <v>258</v>
      </c>
      <c r="N19" s="2786" t="s">
        <v>2886</v>
      </c>
      <c r="O19" s="925">
        <f>ROUNDDOWN(DATEDIF(E19,G19,"M")/3,0)</f>
        <v>23</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7.75" thickBot="1">
      <c r="A20" s="2790" t="s">
        <v>810</v>
      </c>
      <c r="B20" s="2791" t="s">
        <v>2887</v>
      </c>
      <c r="C20" s="926">
        <f ca="1">ROUND(POWER(1+G20,J20-I20)*(POWER(1+G20,I20)-1)/(POWER(1+G20,J20)-1),4)</f>
        <v>0.79630000000000001</v>
      </c>
      <c r="D20" s="2792" t="s">
        <v>2888</v>
      </c>
      <c r="E20" s="1764">
        <f ca="1">存贷款利率!D4/100</f>
        <v>4.3499999999999997E-2</v>
      </c>
      <c r="F20" s="2792" t="s">
        <v>2880</v>
      </c>
      <c r="G20" s="931">
        <f ca="1">SUMIF(M26:P26,E2,M28:P28)</f>
        <v>5.3999999999999999E-2</v>
      </c>
      <c r="H20" s="2792" t="s">
        <v>2889</v>
      </c>
      <c r="I20" s="932">
        <f>SUMIF('数据-取费表'!C6:C15,E2,'数据-取费表'!F6:F15)/COUNTIF('数据-取费表'!C6:C15,E2)</f>
        <v>22.84</v>
      </c>
      <c r="J20" s="933">
        <f>IF(E2="住宅",70,IF(E2="商业",40,50))</f>
        <v>40</v>
      </c>
      <c r="K20" s="1374"/>
      <c r="L20" s="2793" t="s">
        <v>2890</v>
      </c>
      <c r="M20" s="1731">
        <f>ROUND(SUMPRODUCT((地价!A4:A28=YEAR(G19)&amp;"-"&amp;ROUNDUP(MONTH(G19)/3,0))*(地价!B2:F2=E2)*(地价!B4:F28)),0)</f>
        <v>350</v>
      </c>
      <c r="N20" s="2794" t="s">
        <v>2891</v>
      </c>
      <c r="O20" s="2795" t="s">
        <v>2892</v>
      </c>
      <c r="P20" s="2796" t="s">
        <v>2893</v>
      </c>
      <c r="R20" s="1373"/>
      <c r="S20" s="1373"/>
      <c r="T20" s="1368"/>
      <c r="U20" s="1368"/>
      <c r="V20" s="1368"/>
      <c r="W20" s="1367"/>
      <c r="X20" s="1367"/>
      <c r="Y20" s="1367"/>
      <c r="Z20" s="1374"/>
      <c r="AA20" s="1375"/>
      <c r="AB20" s="1375"/>
      <c r="AC20" s="1375"/>
      <c r="AD20" s="1375"/>
      <c r="AE20" s="1375"/>
      <c r="AF20" s="1375"/>
    </row>
    <row r="21" spans="1:37" s="2732" customFormat="1" ht="15">
      <c r="A21" s="2797" t="s">
        <v>811</v>
      </c>
      <c r="B21" s="2798" t="s">
        <v>3065</v>
      </c>
      <c r="C21" s="934">
        <f>IF(B21="容积率修正",IF(G3&lt;=10,D22,J22),C23)</f>
        <v>1.0172000000000001</v>
      </c>
      <c r="D21" s="2799"/>
      <c r="E21" s="2799"/>
      <c r="F21" s="2799"/>
      <c r="G21" s="2799"/>
      <c r="H21" s="2799"/>
      <c r="I21" s="2799"/>
      <c r="J21" s="2800"/>
      <c r="K21" s="1374"/>
      <c r="N21" s="2801" t="s">
        <v>2894</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2" customFormat="1" ht="14.25">
      <c r="A22" s="2658" t="s">
        <v>2895</v>
      </c>
      <c r="B22" s="2802" t="s">
        <v>2896</v>
      </c>
      <c r="C22" s="1806" t="s">
        <v>2897</v>
      </c>
      <c r="D22" s="1806">
        <f>IF(E22=G22,F22,IF(G3&lt;=10,ROUND(F22+(H22-F22)*(G3-E22)/(G22-E22),4),"——"))</f>
        <v>1.0172000000000001</v>
      </c>
      <c r="E22" s="913">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3">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5" t="str">
        <f>IF(G3&gt;10,D113,"——")</f>
        <v>——</v>
      </c>
      <c r="K22" s="1374"/>
      <c r="N22" s="2801" t="s">
        <v>2898</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8" t="s">
        <v>2899</v>
      </c>
      <c r="B23" s="2803" t="s">
        <v>2900</v>
      </c>
      <c r="C23" s="1010">
        <f>ROUND(IF(G3&gt;1,IF(I3&lt;7,SUMPRODUCT((B93:B98=I3)*(C92:N92=G2)*(C93:N98)),SUMIF(C92:N92,G2,C100:N100)),IF(I3&lt;7,SUMPRODUCT((B102:B107=I3)*(C92:N92=G2)*(C102:N107)),SUMIF(C92:N92,G2,C109:N109))),4)</f>
        <v>0.64729999999999999</v>
      </c>
      <c r="D23" s="2767"/>
      <c r="E23" s="2767"/>
      <c r="F23" s="2804"/>
      <c r="G23" s="2805"/>
      <c r="H23" s="2806"/>
      <c r="I23" s="2807"/>
      <c r="J23" s="2808"/>
      <c r="K23" s="1367"/>
      <c r="N23" s="2801" t="s">
        <v>2901</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2"/>
    </row>
    <row r="24" spans="1:37" s="2732" customFormat="1" ht="15.75" thickBot="1">
      <c r="A24" s="2790" t="s">
        <v>812</v>
      </c>
      <c r="B24" s="2779" t="s">
        <v>2902</v>
      </c>
      <c r="C24" s="921">
        <f>SUMIF(A45:A88,E2,B45:B88)</f>
        <v>1.0647</v>
      </c>
      <c r="D24" s="2780"/>
      <c r="E24" s="2809"/>
      <c r="F24" s="2809"/>
      <c r="G24" s="2809"/>
      <c r="H24" s="2809"/>
      <c r="I24" s="2809"/>
      <c r="J24" s="2810"/>
      <c r="K24" s="1374"/>
      <c r="N24" s="2811" t="s">
        <v>2903</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90" t="s">
        <v>813</v>
      </c>
      <c r="B25" s="2812" t="s">
        <v>2904</v>
      </c>
      <c r="C25" s="927"/>
      <c r="D25" s="2742"/>
      <c r="E25" s="2742"/>
      <c r="F25" s="2813"/>
      <c r="G25" s="2742"/>
      <c r="H25" s="2742"/>
      <c r="I25" s="2742"/>
      <c r="J25" s="2743"/>
      <c r="K25" s="1367"/>
      <c r="N25" s="2814" t="s">
        <v>2905</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5"/>
      <c r="B26" s="2802" t="s">
        <v>2906</v>
      </c>
      <c r="C26" s="204">
        <f ca="1">E29+SUM(E33:E39)</f>
        <v>83234</v>
      </c>
      <c r="D26" s="2816"/>
      <c r="E26" s="2767"/>
      <c r="F26" s="2817"/>
      <c r="G26" s="2767"/>
      <c r="H26" s="2767"/>
      <c r="I26" s="2767"/>
      <c r="J26" s="2818"/>
      <c r="K26" s="1367"/>
      <c r="L26" s="2771" t="s">
        <v>2806</v>
      </c>
      <c r="M26" s="917" t="s">
        <v>2870</v>
      </c>
      <c r="N26" s="917" t="s">
        <v>2871</v>
      </c>
      <c r="O26" s="917" t="s">
        <v>2872</v>
      </c>
      <c r="P26" s="2772" t="s">
        <v>2873</v>
      </c>
      <c r="R26" s="1373"/>
      <c r="S26" s="1373"/>
      <c r="T26" s="1368"/>
      <c r="U26" s="1368"/>
      <c r="V26" s="1368"/>
      <c r="W26" s="1367"/>
      <c r="X26" s="1367"/>
      <c r="Y26" s="1367"/>
      <c r="Z26" s="1374"/>
      <c r="AA26" s="1375"/>
      <c r="AB26" s="1375"/>
      <c r="AC26" s="1375"/>
      <c r="AD26" s="1375"/>
    </row>
    <row r="27" spans="1:37" ht="15.75" thickBot="1">
      <c r="A27" s="2815"/>
      <c r="B27" s="2819" t="s">
        <v>2907</v>
      </c>
      <c r="C27" s="928">
        <f ca="1">E30+SUM(I33:I39)</f>
        <v>4070</v>
      </c>
      <c r="D27" s="2820"/>
      <c r="E27" s="2821"/>
      <c r="F27" s="2822"/>
      <c r="G27" s="2821"/>
      <c r="H27" s="2821"/>
      <c r="I27" s="2821"/>
      <c r="J27" s="2823"/>
      <c r="K27" s="1367"/>
      <c r="L27" s="2775"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4"/>
      <c r="B28" s="2825" t="s">
        <v>2908</v>
      </c>
      <c r="C28" s="2826" t="s">
        <v>2909</v>
      </c>
      <c r="D28" s="2826" t="s">
        <v>2910</v>
      </c>
      <c r="E28" s="2827" t="s">
        <v>2911</v>
      </c>
      <c r="F28" s="2828"/>
      <c r="G28" s="2755"/>
      <c r="H28" s="2755"/>
      <c r="I28" s="2755"/>
      <c r="J28" s="2756"/>
      <c r="K28" s="1367"/>
      <c r="L28" s="2776" t="s">
        <v>2880</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2912</v>
      </c>
      <c r="C29" s="204">
        <f ca="1">ROUND(C5*C18*C19*C20*C21*C24,0)</f>
        <v>11002</v>
      </c>
      <c r="D29" s="2831">
        <f>'数据-基础表'!I5</f>
        <v>60856.65</v>
      </c>
      <c r="E29" s="939">
        <f ca="1">ROUND(C29*D29/10000,0)</f>
        <v>66954</v>
      </c>
      <c r="F29" s="2832" t="s">
        <v>2913</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5" thickBot="1">
      <c r="A30" s="2835"/>
      <c r="B30" s="2836" t="s">
        <v>2914</v>
      </c>
      <c r="C30" s="227">
        <f ca="1">ROUND(IF(E2="工业",C29*M39,C29*M38),0)</f>
        <v>2751</v>
      </c>
      <c r="D30" s="2837"/>
      <c r="E30" s="939">
        <f ca="1">ROUND(C30*D30/10000,0)</f>
        <v>0</v>
      </c>
      <c r="F30" s="2838" t="s">
        <v>2915</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4.25">
      <c r="A31" s="2841"/>
      <c r="B31" s="2842" t="s">
        <v>2916</v>
      </c>
      <c r="C31" s="2843" t="s">
        <v>2917</v>
      </c>
      <c r="D31" s="2755"/>
      <c r="E31" s="2843"/>
      <c r="F31" s="2843"/>
      <c r="G31" s="2753" t="s">
        <v>2918</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24">
      <c r="A32" s="2829"/>
      <c r="B32" s="2845"/>
      <c r="C32" s="499" t="s">
        <v>2909</v>
      </c>
      <c r="D32" s="496" t="s">
        <v>2910</v>
      </c>
      <c r="E32" s="496" t="s">
        <v>2911</v>
      </c>
      <c r="F32" s="386" t="s">
        <v>2919</v>
      </c>
      <c r="G32" s="2846" t="s">
        <v>2909</v>
      </c>
      <c r="H32" s="2846" t="s">
        <v>2910</v>
      </c>
      <c r="I32" s="2846" t="s">
        <v>2911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215" t="s">
        <v>2920</v>
      </c>
      <c r="B33" s="2847" t="s">
        <v>2921</v>
      </c>
      <c r="C33" s="204">
        <f ca="1">ROUND(D5*C19*C20*C24*F33,0)</f>
        <v>6883</v>
      </c>
      <c r="D33" s="2831">
        <f>'数据-基础表'!K13</f>
        <v>17703.810000000001</v>
      </c>
      <c r="E33" s="198">
        <f ca="1">ROUND(C33*D33/10000,0)</f>
        <v>12186</v>
      </c>
      <c r="F33" s="198">
        <f>SUMIF(修正!A45:A56,G2,修正!B45:B56)</f>
        <v>0.7</v>
      </c>
      <c r="G33" s="198">
        <f t="shared" ref="G33" ca="1" si="6">ROUND(IF(E2="工业",C33*$M$39,C33*$M$38),0)</f>
        <v>1721</v>
      </c>
      <c r="H33" s="198">
        <f>D33</f>
        <v>17703.810000000001</v>
      </c>
      <c r="I33" s="198">
        <f ca="1">ROUND(G33*H33/10000,0)</f>
        <v>3047</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16"/>
      <c r="B34" s="2759" t="s">
        <v>2922</v>
      </c>
      <c r="C34" s="204">
        <f ca="1">ROUND(D5*C19*C20*C24*F34,0)</f>
        <v>3933</v>
      </c>
      <c r="D34" s="2831"/>
      <c r="E34" s="198">
        <f t="shared" ref="E34:E39" ca="1" si="7">ROUND(C34*D34/10000,0)</f>
        <v>0</v>
      </c>
      <c r="F34" s="198">
        <f>SUMIF(修正!A45:A56,G2,修正!C45:C56)</f>
        <v>0.4</v>
      </c>
      <c r="G34" s="198">
        <f ca="1">ROUND(IF(E2="工业",C34*$M$39,C34*$M$38),0)</f>
        <v>983</v>
      </c>
      <c r="H34" s="198">
        <f t="shared" ref="H34:H39" si="8">D34</f>
        <v>0</v>
      </c>
      <c r="I34" s="198">
        <f t="shared" ref="I34:I39" ca="1" si="9">ROUND(G34*H34/10000,0)</f>
        <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16"/>
      <c r="B35" s="2759" t="s">
        <v>2923</v>
      </c>
      <c r="C35" s="204">
        <f ca="1">ROUND(D5*C19*C20*C24*F35,0)</f>
        <v>2753</v>
      </c>
      <c r="D35" s="2831"/>
      <c r="E35" s="198">
        <f t="shared" ca="1" si="7"/>
        <v>0</v>
      </c>
      <c r="F35" s="198">
        <f>SUMIF(修正!A45:A56,G2,修正!D45:D56)</f>
        <v>0.28000000000000003</v>
      </c>
      <c r="G35" s="198">
        <f ca="1">ROUND(IF(E2="工业",C35*$M$39,C35*$M$38),0)</f>
        <v>688</v>
      </c>
      <c r="H35" s="198">
        <f t="shared" si="8"/>
        <v>0</v>
      </c>
      <c r="I35" s="198">
        <f t="shared" ca="1" si="9"/>
        <v>0</v>
      </c>
      <c r="J35" s="2848"/>
      <c r="K35" s="1367"/>
      <c r="L35" s="1367"/>
      <c r="M35" s="1367"/>
      <c r="N35" s="1367"/>
      <c r="O35" s="1367"/>
      <c r="P35" s="1367"/>
      <c r="Q35" s="1367"/>
      <c r="R35" s="1367"/>
      <c r="S35" s="1367"/>
      <c r="T35" s="1367"/>
      <c r="U35" s="1367"/>
      <c r="V35" s="1367"/>
      <c r="W35" s="1367"/>
      <c r="X35" s="1367"/>
      <c r="Y35" s="1367"/>
      <c r="Z35" s="1368"/>
    </row>
    <row r="36" spans="1:37" ht="13.5" thickBot="1">
      <c r="A36" s="3217"/>
      <c r="B36" s="2759" t="s">
        <v>2924</v>
      </c>
      <c r="C36" s="204">
        <f ca="1">ROUND(D5*C19*C20*C24*F36,0)</f>
        <v>2458</v>
      </c>
      <c r="D36" s="2831"/>
      <c r="E36" s="198">
        <f t="shared" ca="1" si="7"/>
        <v>0</v>
      </c>
      <c r="F36" s="198">
        <f>SUMIF(修正!A45:A56,G2,修正!E45:E56)</f>
        <v>0.25</v>
      </c>
      <c r="G36" s="198">
        <f ca="1">ROUND(IF(E2="工业",C36*$M$39,C36*$M$38),0)</f>
        <v>615</v>
      </c>
      <c r="H36" s="198">
        <f t="shared" si="8"/>
        <v>0</v>
      </c>
      <c r="I36" s="198">
        <f t="shared" ca="1" si="9"/>
        <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2925</v>
      </c>
      <c r="C37" s="198">
        <f ca="1">ROUND(D5*C19*C20*C24*F37,0)</f>
        <v>2458</v>
      </c>
      <c r="D37" s="2831"/>
      <c r="E37" s="198">
        <f t="shared" ca="1" si="7"/>
        <v>0</v>
      </c>
      <c r="F37" s="204">
        <f>SUMIF(修正!A45:A56,G2,修正!F45:F56)</f>
        <v>0.25</v>
      </c>
      <c r="G37" s="198">
        <f ca="1">ROUND(IF(E2="工业",C37*$M$39,C37*$M$38),0)</f>
        <v>615</v>
      </c>
      <c r="H37" s="198">
        <f t="shared" si="8"/>
        <v>0</v>
      </c>
      <c r="I37" s="198">
        <f t="shared" ca="1" si="9"/>
        <v>0</v>
      </c>
      <c r="J37" s="2848"/>
      <c r="K37" s="1367"/>
      <c r="L37" s="2850" t="s">
        <v>2926</v>
      </c>
      <c r="M37" s="2851"/>
      <c r="N37" s="1367"/>
      <c r="O37" s="1367"/>
      <c r="P37" s="1367"/>
      <c r="Q37" s="1367"/>
      <c r="R37" s="1367"/>
      <c r="S37" s="1367"/>
      <c r="T37" s="1367"/>
      <c r="U37" s="1367"/>
      <c r="V37" s="1367"/>
      <c r="W37" s="1367"/>
      <c r="X37" s="1367"/>
      <c r="Y37" s="1367"/>
      <c r="Z37" s="1368"/>
    </row>
    <row r="38" spans="1:37">
      <c r="A38" s="2849"/>
      <c r="B38" s="2759" t="s">
        <v>2927</v>
      </c>
      <c r="C38" s="198">
        <f ca="1">ROUND(D5*C19*C41*C24*F38,0)</f>
        <v>2326</v>
      </c>
      <c r="D38" s="2831"/>
      <c r="E38" s="198">
        <f t="shared" ca="1" si="7"/>
        <v>0</v>
      </c>
      <c r="F38" s="204">
        <f>SUMIF(修正!A45:A56,G2,修正!G45:G56)</f>
        <v>0.25</v>
      </c>
      <c r="G38" s="198">
        <f ca="1">ROUND(IF(E2="工业",C38*$M$39,C38*$M$38),0)</f>
        <v>582</v>
      </c>
      <c r="H38" s="198">
        <f t="shared" si="8"/>
        <v>0</v>
      </c>
      <c r="I38" s="198">
        <f t="shared" ca="1" si="9"/>
        <v>0</v>
      </c>
      <c r="J38" s="2848"/>
      <c r="K38" s="1367"/>
      <c r="L38" s="1883" t="s">
        <v>2928</v>
      </c>
      <c r="M38" s="2852">
        <v>0.25</v>
      </c>
      <c r="N38" s="1367"/>
      <c r="O38" s="1367"/>
      <c r="P38" s="1367"/>
      <c r="Q38" s="1367"/>
      <c r="R38" s="1367"/>
      <c r="S38" s="1367"/>
      <c r="T38" s="1367"/>
      <c r="U38" s="1367"/>
      <c r="V38" s="1367"/>
      <c r="W38" s="1367"/>
      <c r="X38" s="1367"/>
      <c r="Y38" s="1367"/>
      <c r="Z38" s="1368"/>
    </row>
    <row r="39" spans="1:37" ht="13.5" thickBot="1">
      <c r="A39" s="2835"/>
      <c r="B39" s="2853" t="s">
        <v>2929</v>
      </c>
      <c r="C39" s="227">
        <f ca="1">ROUND(D5*C19*C41*C24*F39,0)</f>
        <v>1861</v>
      </c>
      <c r="D39" s="2837">
        <f>'数据-基础表'!M14</f>
        <v>22000.37</v>
      </c>
      <c r="E39" s="227">
        <f t="shared" ca="1" si="7"/>
        <v>4094</v>
      </c>
      <c r="F39" s="929">
        <f>SUMIF(修正!A45:A56,G2,修正!H45:H56)</f>
        <v>0.2</v>
      </c>
      <c r="G39" s="227">
        <f ca="1">ROUND(IF(E2="工业",C39*$M$39,C39*$M$38),0)</f>
        <v>465</v>
      </c>
      <c r="H39" s="227">
        <f t="shared" si="8"/>
        <v>22000.37</v>
      </c>
      <c r="I39" s="227">
        <f t="shared" ca="1" si="9"/>
        <v>1023</v>
      </c>
      <c r="J39" s="2854"/>
      <c r="K39" s="1367"/>
      <c r="L39" s="2855" t="s">
        <v>2873</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4" t="s">
        <v>3037</v>
      </c>
      <c r="C41" s="386">
        <f ca="1">ROUND(POWER(1+E41,H41-G41)*(POWER(1+E41,G41)-1)/(POWER(1+E41,H41)-1),4)</f>
        <v>0.75349999999999995</v>
      </c>
      <c r="D41" s="198" t="s">
        <v>2880</v>
      </c>
      <c r="E41" s="2923">
        <f ca="1">G20</f>
        <v>5.3999999999999999E-2</v>
      </c>
      <c r="F41" s="198" t="s">
        <v>2889</v>
      </c>
      <c r="G41" s="216">
        <f>'数据-取费表'!F6</f>
        <v>22.84</v>
      </c>
      <c r="H41" s="198">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75" thickBot="1">
      <c r="A45" s="2858" t="s">
        <v>2930</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5">
      <c r="A46" s="2860" t="s">
        <v>2931</v>
      </c>
      <c r="B46" s="2861">
        <f>1+E48</f>
        <v>1.0647</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4.75">
      <c r="A47" s="2864" t="s">
        <v>2932</v>
      </c>
      <c r="B47" s="1805" t="s">
        <v>2933</v>
      </c>
      <c r="C47" s="1805" t="s">
        <v>2934</v>
      </c>
      <c r="D47" s="1805" t="s">
        <v>2935</v>
      </c>
      <c r="E47" s="816" t="s">
        <v>2936</v>
      </c>
      <c r="F47" s="2865" t="s">
        <v>2937</v>
      </c>
      <c r="G47" s="1805" t="s">
        <v>754</v>
      </c>
      <c r="H47" s="2866" t="s">
        <v>2938</v>
      </c>
      <c r="I47" s="1805" t="s">
        <v>2939</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4" t="s">
        <v>2940</v>
      </c>
      <c r="B48" s="2867" t="str">
        <f>估价对象房地状况!C4</f>
        <v>估价对象位于XX商圈，周边商业氛围成熟，人流量大，商业繁华度好</v>
      </c>
      <c r="C48" s="2764" t="s">
        <v>3068</v>
      </c>
      <c r="D48" s="1283">
        <f t="shared" ref="D48:D56" si="10">SUMIF($J$47:$N$47,C48,J48:N48)</f>
        <v>2.1399999999999999E-2</v>
      </c>
      <c r="E48" s="818">
        <f>ROUND(SUM(D48:D56),4)</f>
        <v>6.4699999999999994E-2</v>
      </c>
      <c r="F48" s="2495">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4" t="s">
        <v>2941</v>
      </c>
      <c r="B49" s="2868" t="str">
        <f>估价对象房地状况!C18</f>
        <v>估价对象周边道路状况、公共交通通达情况、停车便捷程度，综合评价交通便捷度较好</v>
      </c>
      <c r="C49" s="2764" t="s">
        <v>3068</v>
      </c>
      <c r="D49" s="1283">
        <f t="shared" si="10"/>
        <v>1.6199999999999999E-2</v>
      </c>
      <c r="E49" s="819"/>
      <c r="F49" s="2495"/>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4" t="s">
        <v>2942</v>
      </c>
      <c r="B50" s="2868">
        <f>估价对象房地状况!C19</f>
        <v>0</v>
      </c>
      <c r="C50" s="2764" t="s">
        <v>3068</v>
      </c>
      <c r="D50" s="1283">
        <f t="shared" si="10"/>
        <v>3.2000000000000002E-3</v>
      </c>
      <c r="E50" s="819"/>
      <c r="F50" s="2495"/>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4" t="s">
        <v>2943</v>
      </c>
      <c r="B51" s="2869" t="s">
        <v>2944</v>
      </c>
      <c r="C51" s="2764" t="s">
        <v>3068</v>
      </c>
      <c r="D51" s="1283">
        <f t="shared" si="10"/>
        <v>3.2000000000000002E-3</v>
      </c>
      <c r="E51" s="819"/>
      <c r="F51" s="2495"/>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4" t="s">
        <v>2945</v>
      </c>
      <c r="B52" s="2868">
        <f>估价对象房地状况!C24</f>
        <v>0</v>
      </c>
      <c r="C52" s="2764" t="s">
        <v>3068</v>
      </c>
      <c r="D52" s="1283">
        <f t="shared" si="10"/>
        <v>5.1999999999999998E-3</v>
      </c>
      <c r="E52" s="819"/>
      <c r="F52" s="2495"/>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4" t="s">
        <v>2946</v>
      </c>
      <c r="B53" s="2870" t="s">
        <v>2947</v>
      </c>
      <c r="C53" s="2764" t="s">
        <v>3068</v>
      </c>
      <c r="D53" s="1283">
        <f t="shared" si="10"/>
        <v>1.9E-3</v>
      </c>
      <c r="E53" s="819"/>
      <c r="F53" s="2495"/>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71" t="s">
        <v>2948</v>
      </c>
      <c r="B54" s="1721" t="str">
        <f>估价对象房地状况!C21</f>
        <v>估价对象所在区域公共配套设施齐备情况</v>
      </c>
      <c r="C54" s="2764" t="s">
        <v>3068</v>
      </c>
      <c r="D54" s="1283">
        <f t="shared" si="10"/>
        <v>3.2000000000000002E-3</v>
      </c>
      <c r="E54" s="819"/>
      <c r="F54" s="2495"/>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71" t="s">
        <v>2949</v>
      </c>
      <c r="B55" s="2868" t="str">
        <f>估价对象房地状况!C22</f>
        <v>估价对象所在区域基础设施水平</v>
      </c>
      <c r="C55" s="2764" t="s">
        <v>3068</v>
      </c>
      <c r="D55" s="1283">
        <f t="shared" si="10"/>
        <v>6.4999999999999997E-3</v>
      </c>
      <c r="E55" s="819"/>
      <c r="F55" s="2495"/>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2" t="s">
        <v>2950</v>
      </c>
      <c r="B56" s="2873" t="str">
        <f>估价对象房地状况!C20</f>
        <v>区域自然环境：；人文环境；综合评价环境状况一般</v>
      </c>
      <c r="C56" s="2764" t="s">
        <v>3068</v>
      </c>
      <c r="D56" s="1283">
        <f t="shared" si="10"/>
        <v>3.8999999999999998E-3</v>
      </c>
      <c r="E56" s="822"/>
      <c r="F56" s="2495"/>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60" t="s">
        <v>2951</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4" t="s">
        <v>2932</v>
      </c>
      <c r="B58" s="1805"/>
      <c r="C58" s="1805" t="s">
        <v>2934</v>
      </c>
      <c r="D58" s="1805" t="s">
        <v>2935</v>
      </c>
      <c r="E58" s="816" t="s">
        <v>2936</v>
      </c>
      <c r="F58" s="2865" t="s">
        <v>2952</v>
      </c>
      <c r="G58" s="1805" t="s">
        <v>754</v>
      </c>
      <c r="H58" s="2866" t="s">
        <v>2938</v>
      </c>
      <c r="I58" s="1805" t="s">
        <v>2939</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4" t="s">
        <v>2953</v>
      </c>
      <c r="B59" s="2867" t="str">
        <f>估价对象房地状况!C17</f>
        <v>估价对象位于XX商圈，周边办公楼项目较多，入驻率高，办公集聚程度较好</v>
      </c>
      <c r="C59" s="2764"/>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4" t="s">
        <v>2941</v>
      </c>
      <c r="B60" s="2868" t="str">
        <f>估价对象房地状况!C18</f>
        <v>估价对象周边道路状况、公共交通通达情况、停车便捷程度，综合评价交通便捷度较好</v>
      </c>
      <c r="C60" s="2764"/>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2942</v>
      </c>
      <c r="B61" s="2868">
        <f>估价对象房地状况!C19</f>
        <v>0</v>
      </c>
      <c r="C61" s="2764"/>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4" t="s">
        <v>2943</v>
      </c>
      <c r="B62" s="2869" t="s">
        <v>2944</v>
      </c>
      <c r="C62" s="2764"/>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2945</v>
      </c>
      <c r="B63" s="2868">
        <f>估价对象房地状况!C24</f>
        <v>0</v>
      </c>
      <c r="C63" s="2764"/>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4" t="s">
        <v>2946</v>
      </c>
      <c r="B64" s="2870" t="s">
        <v>2947</v>
      </c>
      <c r="C64" s="2764"/>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4" t="s">
        <v>2948</v>
      </c>
      <c r="B65" s="1721" t="str">
        <f>估价对象房地状况!C21</f>
        <v>估价对象所在区域公共配套设施齐备情况</v>
      </c>
      <c r="C65" s="2764"/>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4" t="s">
        <v>2949</v>
      </c>
      <c r="B66" s="1721" t="str">
        <f>估价对象房地状况!C22</f>
        <v>估价对象所在区域基础设施水平</v>
      </c>
      <c r="C66" s="2764"/>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2" t="s">
        <v>2950</v>
      </c>
      <c r="B67" s="2874" t="str">
        <f>估价对象房地状况!C20</f>
        <v>区域自然环境：；人文环境；综合评价环境状况一般</v>
      </c>
      <c r="C67" s="2764"/>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0" t="s">
        <v>2954</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4" t="s">
        <v>2932</v>
      </c>
      <c r="B69" s="1805"/>
      <c r="C69" s="1805" t="s">
        <v>2934</v>
      </c>
      <c r="D69" s="1805" t="s">
        <v>2935</v>
      </c>
      <c r="E69" s="816" t="s">
        <v>2936</v>
      </c>
      <c r="F69" s="2865" t="s">
        <v>2952</v>
      </c>
      <c r="G69" s="1805" t="s">
        <v>754</v>
      </c>
      <c r="H69" s="2866" t="s">
        <v>2938</v>
      </c>
      <c r="I69" s="1805" t="s">
        <v>2939</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4" t="s">
        <v>2955</v>
      </c>
      <c r="B70" s="2867" t="str">
        <f>估价对象房地状况!C15</f>
        <v>估价对象周边居住用地比例、居住小区规模和社区发展完善程度，综合评价居住社区成熟度一般</v>
      </c>
      <c r="C70" s="2764"/>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4" t="s">
        <v>2941</v>
      </c>
      <c r="B71" s="2868" t="str">
        <f>估价对象房地状况!C18</f>
        <v>估价对象周边道路状况、公共交通通达情况、停车便捷程度，综合评价交通便捷度较好</v>
      </c>
      <c r="C71" s="2764"/>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2942</v>
      </c>
      <c r="B72" s="2868">
        <f>估价对象房地状况!C19</f>
        <v>0</v>
      </c>
      <c r="C72" s="2764"/>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4" t="s">
        <v>2956</v>
      </c>
      <c r="B73" s="2868">
        <f>估价对象房地状况!C24</f>
        <v>0</v>
      </c>
      <c r="C73" s="2764"/>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4" t="s">
        <v>2948</v>
      </c>
      <c r="B74" s="1721" t="str">
        <f>估价对象房地状况!C21</f>
        <v>估价对象所在区域公共配套设施齐备情况</v>
      </c>
      <c r="C74" s="2764"/>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4" t="s">
        <v>2949</v>
      </c>
      <c r="B75" s="1721" t="str">
        <f>估价对象房地状况!C22</f>
        <v>估价对象所在区域基础设施水平</v>
      </c>
      <c r="C75" s="2764"/>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64" t="s">
        <v>2946</v>
      </c>
      <c r="B76" s="2870" t="s">
        <v>2947</v>
      </c>
      <c r="C76" s="2764"/>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38.25">
      <c r="A77" s="2864" t="s">
        <v>2950</v>
      </c>
      <c r="B77" s="2867" t="str">
        <f>估价对象房地状况!C20</f>
        <v>区域自然环境：；人文环境；综合评价环境状况一般</v>
      </c>
      <c r="C77" s="2764"/>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24.75" thickBot="1">
      <c r="A78" s="2872" t="s">
        <v>2957</v>
      </c>
      <c r="B78" s="2876"/>
      <c r="C78" s="2764"/>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5">
      <c r="A79" s="2860" t="s">
        <v>2958</v>
      </c>
      <c r="B79" s="2861">
        <f>1+E81</f>
        <v>1.0190999999999999</v>
      </c>
      <c r="C79" s="811"/>
      <c r="D79" s="811"/>
      <c r="E79" s="812"/>
      <c r="F79" s="2863"/>
      <c r="G79" s="6"/>
      <c r="H79" s="6"/>
      <c r="I79" s="6"/>
      <c r="J79" s="7"/>
      <c r="K79" s="7"/>
      <c r="L79" s="7"/>
      <c r="M79" s="7"/>
      <c r="N79" s="7"/>
      <c r="Z79" s="2714"/>
      <c r="AA79" s="2782"/>
      <c r="AG79" s="1369"/>
      <c r="AK79" s="2782"/>
    </row>
    <row r="80" spans="1:37" ht="24.75">
      <c r="A80" s="2864" t="s">
        <v>2932</v>
      </c>
      <c r="B80" s="1805"/>
      <c r="C80" s="1805" t="s">
        <v>2934</v>
      </c>
      <c r="D80" s="1805" t="s">
        <v>2935</v>
      </c>
      <c r="E80" s="816" t="s">
        <v>2936</v>
      </c>
      <c r="F80" s="2865" t="s">
        <v>2952</v>
      </c>
      <c r="G80" s="1805" t="s">
        <v>754</v>
      </c>
      <c r="H80" s="2866" t="s">
        <v>2938</v>
      </c>
      <c r="I80" s="1805" t="s">
        <v>2939</v>
      </c>
      <c r="J80" s="601" t="s">
        <v>2591</v>
      </c>
      <c r="K80" s="601" t="s">
        <v>2592</v>
      </c>
      <c r="L80" s="601" t="s">
        <v>2593</v>
      </c>
      <c r="M80" s="601" t="s">
        <v>2594</v>
      </c>
      <c r="N80" s="601" t="s">
        <v>2595</v>
      </c>
      <c r="Z80" s="2714"/>
      <c r="AA80" s="2782"/>
      <c r="AG80" s="1369"/>
      <c r="AK80" s="2782"/>
    </row>
    <row r="81" spans="1:37" ht="38.25">
      <c r="A81" s="2864" t="s">
        <v>2959</v>
      </c>
      <c r="B81" s="2868" t="str">
        <f>估价对象房地状况!G15</f>
        <v>估价对象位于亦庄经济技术开发区，园区建设较成熟，产业集聚程度较好</v>
      </c>
      <c r="C81" s="2764" t="s">
        <v>3068</v>
      </c>
      <c r="D81" s="1283">
        <f t="shared" ref="D81:D88" si="25">SUMIF($J$80:$N$80,C81,J81:N81)</f>
        <v>6.4999999999999997E-3</v>
      </c>
      <c r="E81" s="818">
        <f>ROUND(SUM(D81:D88),4)</f>
        <v>1.9099999999999999E-2</v>
      </c>
      <c r="F81" s="2495"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4"/>
      <c r="AA81" s="2782"/>
      <c r="AG81" s="1369"/>
      <c r="AK81" s="2782"/>
    </row>
    <row r="82" spans="1:37" ht="76.5">
      <c r="A82" s="2864" t="s">
        <v>2941</v>
      </c>
      <c r="B82" s="2868" t="str">
        <f>估价对象房地状况!G16</f>
        <v>估价对象临西环南路、永昌南路，距京沪高速约1.1公里，临地铁亦庄线，公共交通通达、停车便捷程度较好，综合评价交通便捷度较好</v>
      </c>
      <c r="C82" s="2764" t="s">
        <v>3068</v>
      </c>
      <c r="D82" s="1283">
        <f t="shared" si="25"/>
        <v>8.2000000000000007E-3</v>
      </c>
      <c r="E82" s="823"/>
      <c r="F82" s="2495"/>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4"/>
      <c r="AA82" s="2782"/>
      <c r="AG82" s="1369"/>
      <c r="AK82" s="2782"/>
    </row>
    <row r="83" spans="1:37" ht="24">
      <c r="A83" s="2864" t="s">
        <v>2942</v>
      </c>
      <c r="B83" s="2868" t="str">
        <f>估价对象房地状况!G17</f>
        <v>较一致</v>
      </c>
      <c r="C83" s="2764" t="s">
        <v>3068</v>
      </c>
      <c r="D83" s="1283">
        <f t="shared" si="25"/>
        <v>1.1999999999999999E-3</v>
      </c>
      <c r="E83" s="823"/>
      <c r="F83" s="2495"/>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4"/>
      <c r="AA83" s="2782"/>
      <c r="AG83" s="1369"/>
      <c r="AK83" s="2782"/>
    </row>
    <row r="84" spans="1:37" ht="35.25" customHeight="1">
      <c r="A84" s="2864" t="s">
        <v>2956</v>
      </c>
      <c r="B84" s="2868" t="str">
        <f>估价对象房地状况!G22</f>
        <v>城市支路——永昌东四路</v>
      </c>
      <c r="C84" s="2961" t="s">
        <v>3086</v>
      </c>
      <c r="D84" s="1283">
        <f t="shared" si="25"/>
        <v>-1E-3</v>
      </c>
      <c r="E84" s="823"/>
      <c r="F84" s="2495"/>
      <c r="G84" s="1281">
        <v>1E-3</v>
      </c>
      <c r="H84" s="1285" t="str">
        <f t="shared" si="26"/>
        <v>——</v>
      </c>
      <c r="I84" s="817">
        <v>0.04</v>
      </c>
      <c r="J84" s="1282">
        <f t="shared" si="27"/>
        <v>2E-3</v>
      </c>
      <c r="K84" s="1282">
        <f t="shared" si="28"/>
        <v>1E-3</v>
      </c>
      <c r="L84" s="1282">
        <v>0</v>
      </c>
      <c r="M84" s="1282">
        <f t="shared" si="29"/>
        <v>-1E-3</v>
      </c>
      <c r="N84" s="1282">
        <f t="shared" si="29"/>
        <v>-2E-3</v>
      </c>
      <c r="Z84" s="2714"/>
      <c r="AA84" s="2782"/>
      <c r="AG84" s="1369"/>
      <c r="AK84" s="2782"/>
    </row>
    <row r="85" spans="1:37" ht="25.5">
      <c r="A85" s="2864" t="s">
        <v>2948</v>
      </c>
      <c r="B85" s="1721" t="str">
        <f>估价对象房地状况!G19</f>
        <v>估价对象所在区域公共配套设施齐备情况较好</v>
      </c>
      <c r="C85" s="2764" t="s">
        <v>3068</v>
      </c>
      <c r="D85" s="1283">
        <f t="shared" si="25"/>
        <v>1.5E-3</v>
      </c>
      <c r="E85" s="823"/>
      <c r="F85" s="2495"/>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4"/>
      <c r="AA85" s="2782"/>
      <c r="AG85" s="1369"/>
      <c r="AK85" s="2782"/>
    </row>
    <row r="86" spans="1:37" ht="25.5">
      <c r="A86" s="2864" t="s">
        <v>2949</v>
      </c>
      <c r="B86" s="1721" t="str">
        <f>估价对象房地状况!G20</f>
        <v>估价对象所在区域基础设施水平达七通</v>
      </c>
      <c r="C86" s="2961" t="s">
        <v>3080</v>
      </c>
      <c r="D86" s="1283">
        <f t="shared" si="25"/>
        <v>0</v>
      </c>
      <c r="E86" s="823"/>
      <c r="F86" s="2495"/>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4"/>
      <c r="AA86" s="2782"/>
      <c r="AG86" s="1369"/>
      <c r="AK86" s="2782"/>
    </row>
    <row r="87" spans="1:37" ht="24">
      <c r="A87" s="2864" t="s">
        <v>2946</v>
      </c>
      <c r="B87" s="2954" t="s">
        <v>3081</v>
      </c>
      <c r="C87" s="2764" t="s">
        <v>3068</v>
      </c>
      <c r="D87" s="1283">
        <f t="shared" si="25"/>
        <v>1.1999999999999999E-3</v>
      </c>
      <c r="E87" s="823"/>
      <c r="F87" s="2495"/>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4"/>
      <c r="AA87" s="2782"/>
      <c r="AG87" s="1369"/>
      <c r="AK87" s="2782"/>
    </row>
    <row r="88" spans="1:37" ht="64.5" thickBot="1">
      <c r="A88" s="2872" t="s">
        <v>2960</v>
      </c>
      <c r="B88" s="2877" t="str">
        <f>估价对象房地状况!G18</f>
        <v>该园区内多为机械、光电为主企业，绿化情况较好，卫生条件较好，临凉水河公园、亦庄湿地，整体环境状况较好</v>
      </c>
      <c r="C88" s="2764" t="s">
        <v>3068</v>
      </c>
      <c r="D88" s="1283">
        <f t="shared" si="25"/>
        <v>1.5E-3</v>
      </c>
      <c r="E88" s="824"/>
      <c r="F88" s="2495"/>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4"/>
      <c r="AA88" s="2782"/>
      <c r="AG88" s="1369"/>
      <c r="AK88" s="2782"/>
    </row>
    <row r="90" spans="1:37">
      <c r="A90" s="3209" t="s">
        <v>2961</v>
      </c>
      <c r="B90" s="3209"/>
      <c r="C90" s="3209"/>
      <c r="D90" s="3209"/>
      <c r="E90" s="3209"/>
      <c r="F90" s="3209"/>
      <c r="G90" s="3209"/>
      <c r="H90" s="3209"/>
      <c r="I90" s="3209"/>
      <c r="J90" s="3209"/>
      <c r="K90" s="2878"/>
      <c r="L90" s="2878"/>
      <c r="M90" s="2878"/>
      <c r="N90" s="2878"/>
    </row>
    <row r="91" spans="1:37">
      <c r="A91" s="3211" t="s">
        <v>2962</v>
      </c>
      <c r="B91" s="3211" t="s">
        <v>2963</v>
      </c>
      <c r="C91" s="2832" t="s">
        <v>2964</v>
      </c>
      <c r="D91" s="2833"/>
      <c r="E91" s="2833"/>
      <c r="F91" s="2833"/>
      <c r="G91" s="2833"/>
      <c r="H91" s="2833"/>
      <c r="I91" s="2833"/>
      <c r="J91" s="2879"/>
      <c r="K91" s="2880"/>
      <c r="L91" s="2880"/>
      <c r="M91" s="2880"/>
      <c r="N91" s="2880"/>
    </row>
    <row r="92" spans="1:37">
      <c r="A92" s="3211"/>
      <c r="B92" s="3211"/>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12" t="s">
        <v>2965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1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1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1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1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1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13"/>
      <c r="B99" s="2881" t="s">
        <v>2848</v>
      </c>
      <c r="C99" s="2883">
        <f>$I$3</f>
        <v>7</v>
      </c>
      <c r="D99" s="2883">
        <f t="shared" ref="D99:M99" si="30">$I$3</f>
        <v>7</v>
      </c>
      <c r="E99" s="2883">
        <f t="shared" si="30"/>
        <v>7</v>
      </c>
      <c r="F99" s="2883">
        <f t="shared" si="30"/>
        <v>7</v>
      </c>
      <c r="G99" s="2883">
        <f t="shared" si="30"/>
        <v>7</v>
      </c>
      <c r="H99" s="2883">
        <f t="shared" si="30"/>
        <v>7</v>
      </c>
      <c r="I99" s="2883">
        <f t="shared" si="30"/>
        <v>7</v>
      </c>
      <c r="J99" s="2883">
        <f t="shared" si="30"/>
        <v>7</v>
      </c>
      <c r="K99" s="2883">
        <f t="shared" si="30"/>
        <v>7</v>
      </c>
      <c r="L99" s="2883">
        <f t="shared" si="30"/>
        <v>7</v>
      </c>
      <c r="M99" s="2883">
        <f t="shared" si="30"/>
        <v>7</v>
      </c>
      <c r="N99" s="2883">
        <f>$I$3</f>
        <v>7</v>
      </c>
    </row>
    <row r="100" spans="1:14">
      <c r="A100" s="3214"/>
      <c r="B100" s="2881">
        <v>7</v>
      </c>
      <c r="C100" s="2884">
        <f>(-0.163*(C99^2)-0.59*C99+7617)*(10^(-4))</f>
        <v>0.76048830000000001</v>
      </c>
      <c r="D100" s="2884">
        <f>(-0.163*(D99^2)-0.59*D99+7617)*(10^(-4))</f>
        <v>0.76048830000000001</v>
      </c>
      <c r="E100" s="2884">
        <f>(-0.161*(E99^2)-7.509*E99+6533)*(10^(-4))</f>
        <v>0.64725480000000002</v>
      </c>
      <c r="F100" s="2884">
        <f>(-0.161*(F99^2)-7.509*F99+6533)*(10^(-4))</f>
        <v>0.64725480000000002</v>
      </c>
      <c r="G100" s="2884">
        <f>(-0.161*(G99^2)-7.509*G99+6533)*(10^(-4))</f>
        <v>0.64725480000000002</v>
      </c>
      <c r="H100" s="2884">
        <f>(-0.161*(H99^2)-7.509*H99+6533)*(10^(-4))</f>
        <v>0.64725480000000002</v>
      </c>
      <c r="I100" s="2884">
        <f>(-0.161*(I99^2)-7.509*I99+6533)*(10^(-4))</f>
        <v>0.64725480000000002</v>
      </c>
      <c r="J100" s="2884">
        <f>(-0.214*(J99^2)-21.991*J99+4665)*(10^(-4))</f>
        <v>0.45005770000000006</v>
      </c>
      <c r="K100" s="2884">
        <f>(-0.214*(K99^2)-21.991*K99+4665)*(10^(-4))</f>
        <v>0.45005770000000006</v>
      </c>
      <c r="L100" s="2884">
        <f>(-0.214*(L99^2)-21.991*L99+4665)*(10^(-4))</f>
        <v>0.45005770000000006</v>
      </c>
      <c r="M100" s="2884">
        <f>(-0.214*(M99^2)-21.991*M99+4665)*(10^(-4))</f>
        <v>0.45005770000000006</v>
      </c>
      <c r="N100" s="2884">
        <f>(-0.214*(N99^2)-21.991*N99+4665)*(10^(-4))</f>
        <v>0.45005770000000006</v>
      </c>
    </row>
    <row r="101" spans="1:14">
      <c r="A101" s="3212" t="s">
        <v>2966</v>
      </c>
      <c r="B101" s="2885" t="s">
        <v>2967</v>
      </c>
      <c r="C101" s="2886">
        <f>$G$3</f>
        <v>2.39</v>
      </c>
      <c r="D101" s="2886">
        <f t="shared" ref="D101:N101" si="31">$G$3</f>
        <v>2.39</v>
      </c>
      <c r="E101" s="2886">
        <f t="shared" si="31"/>
        <v>2.39</v>
      </c>
      <c r="F101" s="2886">
        <f t="shared" si="31"/>
        <v>2.39</v>
      </c>
      <c r="G101" s="2886">
        <f t="shared" si="31"/>
        <v>2.39</v>
      </c>
      <c r="H101" s="2886">
        <f t="shared" si="31"/>
        <v>2.39</v>
      </c>
      <c r="I101" s="2886">
        <f t="shared" si="31"/>
        <v>2.39</v>
      </c>
      <c r="J101" s="2886">
        <f t="shared" si="31"/>
        <v>2.39</v>
      </c>
      <c r="K101" s="2886">
        <f t="shared" si="31"/>
        <v>2.39</v>
      </c>
      <c r="L101" s="2886">
        <f t="shared" si="31"/>
        <v>2.39</v>
      </c>
      <c r="M101" s="2886">
        <f t="shared" si="31"/>
        <v>2.39</v>
      </c>
      <c r="N101" s="2886">
        <f t="shared" si="31"/>
        <v>2.39</v>
      </c>
    </row>
    <row r="102" spans="1:14">
      <c r="A102" s="3213"/>
      <c r="B102" s="2881">
        <v>1</v>
      </c>
      <c r="C102" s="2882">
        <f>1.9362/C101</f>
        <v>0.81012552301255225</v>
      </c>
      <c r="D102" s="2882">
        <f>1.9362/D101</f>
        <v>0.81012552301255225</v>
      </c>
      <c r="E102" s="2882">
        <f>1.8629/E101</f>
        <v>0.77945606694560665</v>
      </c>
      <c r="F102" s="2882">
        <f>1.8629/F101</f>
        <v>0.77945606694560665</v>
      </c>
      <c r="G102" s="2882">
        <f>1.8629/G101</f>
        <v>0.77945606694560665</v>
      </c>
      <c r="H102" s="2882">
        <f>1.8629/H101</f>
        <v>0.77945606694560665</v>
      </c>
      <c r="I102" s="2882">
        <f>1.8629/I101</f>
        <v>0.77945606694560665</v>
      </c>
      <c r="J102" s="2882">
        <f>1.942/J101</f>
        <v>0.81255230125523004</v>
      </c>
      <c r="K102" s="2882">
        <f>1.942/K101</f>
        <v>0.81255230125523004</v>
      </c>
      <c r="L102" s="2882">
        <f>1.942/L101</f>
        <v>0.81255230125523004</v>
      </c>
      <c r="M102" s="2882">
        <f>1.942/M101</f>
        <v>0.81255230125523004</v>
      </c>
      <c r="N102" s="2882">
        <f>1.942/N101</f>
        <v>0.81255230125523004</v>
      </c>
    </row>
    <row r="103" spans="1:14">
      <c r="A103" s="3213"/>
      <c r="B103" s="2881">
        <v>2</v>
      </c>
      <c r="C103" s="2882">
        <f>1.4198/C101</f>
        <v>0.59405857740585766</v>
      </c>
      <c r="D103" s="2882">
        <f>1.4198/D101</f>
        <v>0.59405857740585766</v>
      </c>
      <c r="E103" s="2882">
        <f>1.3372/E101</f>
        <v>0.55949790794979071</v>
      </c>
      <c r="F103" s="2882">
        <f>1.3372/F101</f>
        <v>0.55949790794979071</v>
      </c>
      <c r="G103" s="2882">
        <f>1.3372/G101</f>
        <v>0.55949790794979071</v>
      </c>
      <c r="H103" s="2882">
        <f>1.3372/H101</f>
        <v>0.55949790794979071</v>
      </c>
      <c r="I103" s="2882">
        <f>1.3372/I101</f>
        <v>0.55949790794979071</v>
      </c>
      <c r="J103" s="2882">
        <f>1.2799/J101</f>
        <v>0.53552301255230128</v>
      </c>
      <c r="K103" s="2882">
        <f>1.2799/K101</f>
        <v>0.53552301255230128</v>
      </c>
      <c r="L103" s="2882">
        <f>1.2799/L101</f>
        <v>0.53552301255230128</v>
      </c>
      <c r="M103" s="2882">
        <f>1.2799/M101</f>
        <v>0.53552301255230128</v>
      </c>
      <c r="N103" s="2882">
        <f>1.2799/N101</f>
        <v>0.53552301255230128</v>
      </c>
    </row>
    <row r="104" spans="1:14">
      <c r="A104" s="3213"/>
      <c r="B104" s="2881">
        <v>3</v>
      </c>
      <c r="C104" s="2882">
        <f>1.1594/C101</f>
        <v>0.48510460251046023</v>
      </c>
      <c r="D104" s="2882">
        <f>1.1594/D101</f>
        <v>0.48510460251046023</v>
      </c>
      <c r="E104" s="2882">
        <f>1.0788/E101</f>
        <v>0.4513807531380753</v>
      </c>
      <c r="F104" s="2882">
        <f>1.0788/F101</f>
        <v>0.4513807531380753</v>
      </c>
      <c r="G104" s="2882">
        <f>1.0788/G101</f>
        <v>0.4513807531380753</v>
      </c>
      <c r="H104" s="2882">
        <f>1.0788/H101</f>
        <v>0.4513807531380753</v>
      </c>
      <c r="I104" s="2882">
        <f>1.0788/I101</f>
        <v>0.4513807531380753</v>
      </c>
      <c r="J104" s="2882">
        <f>1.0072/J101</f>
        <v>0.42142259414225941</v>
      </c>
      <c r="K104" s="2882">
        <f>1.0072/K101</f>
        <v>0.42142259414225941</v>
      </c>
      <c r="L104" s="2882">
        <f>1.0072/L101</f>
        <v>0.42142259414225941</v>
      </c>
      <c r="M104" s="2882">
        <f>1.0072/M101</f>
        <v>0.42142259414225941</v>
      </c>
      <c r="N104" s="2882">
        <f>1.0072/N101</f>
        <v>0.42142259414225941</v>
      </c>
    </row>
    <row r="105" spans="1:14">
      <c r="A105" s="3213"/>
      <c r="B105" s="2881">
        <v>4</v>
      </c>
      <c r="C105" s="2882">
        <f>0.9622/C101</f>
        <v>0.4025941422594142</v>
      </c>
      <c r="D105" s="2882">
        <f>0.9622/D101</f>
        <v>0.4025941422594142</v>
      </c>
      <c r="E105" s="2882">
        <f>0.8656/E101</f>
        <v>0.36217573221757321</v>
      </c>
      <c r="F105" s="2882">
        <f>0.8656/F101</f>
        <v>0.36217573221757321</v>
      </c>
      <c r="G105" s="2882">
        <f>0.8656/G101</f>
        <v>0.36217573221757321</v>
      </c>
      <c r="H105" s="2882">
        <f>0.8656/H101</f>
        <v>0.36217573221757321</v>
      </c>
      <c r="I105" s="2882">
        <f>0.8656/I101</f>
        <v>0.36217573221757321</v>
      </c>
      <c r="J105" s="2882">
        <f>0.7525/J101</f>
        <v>0.31485355648535562</v>
      </c>
      <c r="K105" s="2882">
        <f>0.7525/K101</f>
        <v>0.31485355648535562</v>
      </c>
      <c r="L105" s="2882">
        <f>0.7525/L101</f>
        <v>0.31485355648535562</v>
      </c>
      <c r="M105" s="2882">
        <f>0.7525/M101</f>
        <v>0.31485355648535562</v>
      </c>
      <c r="N105" s="2882">
        <f>0.7525/N101</f>
        <v>0.31485355648535562</v>
      </c>
    </row>
    <row r="106" spans="1:14">
      <c r="A106" s="3213"/>
      <c r="B106" s="2881">
        <v>5</v>
      </c>
      <c r="C106" s="2882">
        <f>0.8417/C101</f>
        <v>0.3521757322175732</v>
      </c>
      <c r="D106" s="2882">
        <f>0.8417/D101</f>
        <v>0.3521757322175732</v>
      </c>
      <c r="E106" s="2882">
        <f>0.7371/E101</f>
        <v>0.30841004184100418</v>
      </c>
      <c r="F106" s="2882">
        <f>0.7371/F101</f>
        <v>0.30841004184100418</v>
      </c>
      <c r="G106" s="2882">
        <f>0.7371/G101</f>
        <v>0.30841004184100418</v>
      </c>
      <c r="H106" s="2882">
        <f>0.7371/H101</f>
        <v>0.30841004184100418</v>
      </c>
      <c r="I106" s="2882">
        <f>0.7371/I101</f>
        <v>0.30841004184100418</v>
      </c>
      <c r="J106" s="2882">
        <f>0.5659/J101</f>
        <v>0.23677824267782424</v>
      </c>
      <c r="K106" s="2882">
        <f>0.5659/K101</f>
        <v>0.23677824267782424</v>
      </c>
      <c r="L106" s="2882">
        <f>0.5659/L101</f>
        <v>0.23677824267782424</v>
      </c>
      <c r="M106" s="2882">
        <f>0.5659/M101</f>
        <v>0.23677824267782424</v>
      </c>
      <c r="N106" s="2882">
        <f>0.5659/N101</f>
        <v>0.23677824267782424</v>
      </c>
    </row>
    <row r="107" spans="1:14">
      <c r="A107" s="3213"/>
      <c r="B107" s="2881">
        <v>6</v>
      </c>
      <c r="C107" s="2882">
        <f>0.7608/C101</f>
        <v>0.31832635983263596</v>
      </c>
      <c r="D107" s="2882">
        <f>0.7608/D101</f>
        <v>0.31832635983263596</v>
      </c>
      <c r="E107" s="2882">
        <f>0.6482/E101</f>
        <v>0.27121338912133891</v>
      </c>
      <c r="F107" s="2882">
        <f>0.6482/F101</f>
        <v>0.27121338912133891</v>
      </c>
      <c r="G107" s="2882">
        <f>0.6482/G101</f>
        <v>0.27121338912133891</v>
      </c>
      <c r="H107" s="2882">
        <f>0.6482/H101</f>
        <v>0.27121338912133891</v>
      </c>
      <c r="I107" s="2882">
        <f>0.6482/I101</f>
        <v>0.27121338912133891</v>
      </c>
      <c r="J107" s="2882">
        <f>0.4525/J101</f>
        <v>0.1893305439330544</v>
      </c>
      <c r="K107" s="2882">
        <f>0.4525/K101</f>
        <v>0.1893305439330544</v>
      </c>
      <c r="L107" s="2882">
        <f>0.4525/L101</f>
        <v>0.1893305439330544</v>
      </c>
      <c r="M107" s="2882">
        <f>0.4525/M101</f>
        <v>0.1893305439330544</v>
      </c>
      <c r="N107" s="2882">
        <f>0.4525/N101</f>
        <v>0.1893305439330544</v>
      </c>
    </row>
    <row r="108" spans="1:14">
      <c r="A108" s="3213"/>
      <c r="B108" s="3134" t="s">
        <v>2968</v>
      </c>
      <c r="C108" s="2883">
        <f>C99</f>
        <v>7</v>
      </c>
      <c r="D108" s="2883">
        <f t="shared" ref="D108:N108" si="32">D99</f>
        <v>7</v>
      </c>
      <c r="E108" s="2883">
        <f t="shared" si="32"/>
        <v>7</v>
      </c>
      <c r="F108" s="2883">
        <f t="shared" si="32"/>
        <v>7</v>
      </c>
      <c r="G108" s="2883">
        <f t="shared" si="32"/>
        <v>7</v>
      </c>
      <c r="H108" s="2883">
        <f t="shared" si="32"/>
        <v>7</v>
      </c>
      <c r="I108" s="2883">
        <f t="shared" si="32"/>
        <v>7</v>
      </c>
      <c r="J108" s="2883">
        <f t="shared" si="32"/>
        <v>7</v>
      </c>
      <c r="K108" s="2883">
        <f t="shared" si="32"/>
        <v>7</v>
      </c>
      <c r="L108" s="2883">
        <f t="shared" si="32"/>
        <v>7</v>
      </c>
      <c r="M108" s="2883">
        <f t="shared" si="32"/>
        <v>7</v>
      </c>
      <c r="N108" s="2883">
        <f t="shared" si="32"/>
        <v>7</v>
      </c>
    </row>
    <row r="109" spans="1:14">
      <c r="A109" s="3214"/>
      <c r="B109" s="3135"/>
      <c r="C109" s="2884">
        <f>(-0.163*(C108^2)-0.59*C108+7617)*(10^(-4))/C101</f>
        <v>0.31819594142259411</v>
      </c>
      <c r="D109" s="2884">
        <f>(-0.163*(D108^2)-0.59*D108+7617)*(10^(-4))/D101</f>
        <v>0.31819594142259411</v>
      </c>
      <c r="E109" s="2884">
        <f>(-0.161*(E108^2)-7.509*E108+6533)*(10^(-4))/E101</f>
        <v>0.27081790794979077</v>
      </c>
      <c r="F109" s="2884">
        <f>(-0.161*(F108^2)-7.509*F108+6533)*(10^(-4))/F101</f>
        <v>0.27081790794979077</v>
      </c>
      <c r="G109" s="2884">
        <f>(-0.161*(G108^2)-7.509*G108+6533)*(10^(-4))/G101</f>
        <v>0.27081790794979077</v>
      </c>
      <c r="H109" s="2884">
        <f>(-0.161*(H108^2)-7.509*H108+6533)*(10^(-4))/H101</f>
        <v>0.27081790794979077</v>
      </c>
      <c r="I109" s="2884">
        <f>(-0.161*(I108^2)-7.509*I108+6533)*(10^(-4))/I101</f>
        <v>0.27081790794979077</v>
      </c>
      <c r="J109" s="2884">
        <f>(-0.214*(J108^2)-21.991*J108+4665)*(10^(-4))/J101</f>
        <v>0.18830866108786612</v>
      </c>
      <c r="K109" s="2884">
        <f>(-0.214*(K108^2)-21.991*K108+4665)*(10^(-4))/K101</f>
        <v>0.18830866108786612</v>
      </c>
      <c r="L109" s="2884">
        <f>(-0.214*(L108^2)-21.991*L108+4665)*(10^(-4))/L101</f>
        <v>0.18830866108786612</v>
      </c>
      <c r="M109" s="2884">
        <f>(-0.214*(M108^2)-21.991*M108+4665)*(10^(-4))/M101</f>
        <v>0.18830866108786612</v>
      </c>
      <c r="N109" s="2884">
        <f>(-0.214*(N108^2)-21.991*N108+4665)*(10^(-4))/N101</f>
        <v>0.18830866108786612</v>
      </c>
    </row>
    <row r="110" spans="1:14">
      <c r="A110" s="3210" t="s">
        <v>2969</v>
      </c>
      <c r="B110" s="3210"/>
      <c r="C110" s="3210"/>
      <c r="D110" s="3210"/>
      <c r="E110" s="3210"/>
      <c r="F110" s="3210"/>
      <c r="G110" s="3210"/>
      <c r="H110" s="3210"/>
      <c r="I110" s="3210"/>
      <c r="J110" s="3210"/>
      <c r="K110" s="2887"/>
      <c r="L110" s="2887"/>
      <c r="M110" s="2887"/>
      <c r="N110" s="2887"/>
    </row>
    <row r="112" spans="1:14" ht="13.5" thickBot="1"/>
    <row r="113" spans="1:13" ht="25.5" thickBot="1">
      <c r="A113" s="900" t="s">
        <v>2970</v>
      </c>
      <c r="B113" s="1284">
        <f>G3</f>
        <v>2.39</v>
      </c>
      <c r="C113" s="901" t="s">
        <v>2971</v>
      </c>
      <c r="D113" s="902">
        <f>SUMPRODUCT((A115:A118=F113)*(B114:M114=H113)*B115:M118)</f>
        <v>0.80700000000000005</v>
      </c>
      <c r="E113" s="2718" t="s">
        <v>2806</v>
      </c>
      <c r="F113" s="2889" t="str">
        <f>E2</f>
        <v>商业</v>
      </c>
      <c r="G113" s="2718" t="s">
        <v>2807</v>
      </c>
      <c r="H113" s="2889" t="str">
        <f>G2</f>
        <v>七级</v>
      </c>
      <c r="I113" s="2718"/>
      <c r="J113" s="2890"/>
      <c r="K113" s="2890"/>
      <c r="L113" s="2890"/>
      <c r="M113" s="2890"/>
    </row>
    <row r="114" spans="1:13">
      <c r="A114" s="905"/>
      <c r="B114" s="2891" t="s">
        <v>2972</v>
      </c>
      <c r="C114" s="2891" t="s">
        <v>2973</v>
      </c>
      <c r="D114" s="2891" t="s">
        <v>2974</v>
      </c>
      <c r="E114" s="2892" t="s">
        <v>2975</v>
      </c>
      <c r="F114" s="2892" t="s">
        <v>2976</v>
      </c>
      <c r="G114" s="2892" t="s">
        <v>2977</v>
      </c>
      <c r="H114" s="2893" t="s">
        <v>2978</v>
      </c>
      <c r="I114" s="2893" t="s">
        <v>2979</v>
      </c>
      <c r="J114" s="2894" t="s">
        <v>2980</v>
      </c>
      <c r="K114" s="2894" t="s">
        <v>2981</v>
      </c>
      <c r="L114" s="2894" t="s">
        <v>2982</v>
      </c>
      <c r="M114" s="2895" t="s">
        <v>2983</v>
      </c>
    </row>
    <row r="115" spans="1:13">
      <c r="A115" s="906" t="s">
        <v>2870</v>
      </c>
      <c r="B115" s="907">
        <f>ROUND(0.9335-0.0094*B113,4)</f>
        <v>0.91100000000000003</v>
      </c>
      <c r="C115" s="907">
        <f>B115</f>
        <v>0.91100000000000003</v>
      </c>
      <c r="D115" s="907">
        <f>ROUND(0.8331-0.0109*B113,4)</f>
        <v>0.80700000000000005</v>
      </c>
      <c r="E115" s="907">
        <f>D115</f>
        <v>0.80700000000000005</v>
      </c>
      <c r="F115" s="907">
        <f>E115</f>
        <v>0.80700000000000005</v>
      </c>
      <c r="G115" s="907">
        <f>F115</f>
        <v>0.80700000000000005</v>
      </c>
      <c r="H115" s="907">
        <f>G115</f>
        <v>0.80700000000000005</v>
      </c>
      <c r="I115" s="907">
        <f>ROUND(0.689-0.0155*B113,4)</f>
        <v>0.65200000000000002</v>
      </c>
      <c r="J115" s="907">
        <f t="shared" ref="J115:M118" si="33">I115</f>
        <v>0.65200000000000002</v>
      </c>
      <c r="K115" s="907">
        <f t="shared" si="33"/>
        <v>0.65200000000000002</v>
      </c>
      <c r="L115" s="907">
        <f t="shared" si="33"/>
        <v>0.65200000000000002</v>
      </c>
      <c r="M115" s="908">
        <f t="shared" si="33"/>
        <v>0.65200000000000002</v>
      </c>
    </row>
    <row r="116" spans="1:13">
      <c r="A116" s="906" t="s">
        <v>2871</v>
      </c>
      <c r="B116" s="907">
        <f>ROUND(0.949-0.012*B113,4)</f>
        <v>0.92030000000000001</v>
      </c>
      <c r="C116" s="907">
        <f>B116</f>
        <v>0.92030000000000001</v>
      </c>
      <c r="D116" s="907">
        <f>ROUND(0.8567-0.013*B113,4)</f>
        <v>0.8256</v>
      </c>
      <c r="E116" s="907">
        <f t="shared" ref="E116:H117" si="34">D116</f>
        <v>0.8256</v>
      </c>
      <c r="F116" s="907">
        <f t="shared" si="34"/>
        <v>0.8256</v>
      </c>
      <c r="G116" s="907">
        <f t="shared" si="34"/>
        <v>0.8256</v>
      </c>
      <c r="H116" s="907">
        <f t="shared" si="34"/>
        <v>0.8256</v>
      </c>
      <c r="I116" s="907">
        <f>ROUND(0.7694-0.014*B113,4)</f>
        <v>0.7359</v>
      </c>
      <c r="J116" s="907">
        <f t="shared" si="33"/>
        <v>0.7359</v>
      </c>
      <c r="K116" s="907">
        <f t="shared" si="33"/>
        <v>0.7359</v>
      </c>
      <c r="L116" s="907">
        <f t="shared" si="33"/>
        <v>0.7359</v>
      </c>
      <c r="M116" s="908">
        <f t="shared" si="33"/>
        <v>0.7359</v>
      </c>
    </row>
    <row r="117" spans="1:13">
      <c r="A117" s="906" t="s">
        <v>2872</v>
      </c>
      <c r="B117" s="907">
        <f>ROUND(0.8808-0.006*B113,4)</f>
        <v>0.86650000000000005</v>
      </c>
      <c r="C117" s="907">
        <f>B117</f>
        <v>0.86650000000000005</v>
      </c>
      <c r="D117" s="907">
        <f>ROUND(0.8748-0.008*B113,4)</f>
        <v>0.85570000000000002</v>
      </c>
      <c r="E117" s="907">
        <f t="shared" si="34"/>
        <v>0.85570000000000002</v>
      </c>
      <c r="F117" s="907">
        <f t="shared" si="34"/>
        <v>0.85570000000000002</v>
      </c>
      <c r="G117" s="907">
        <f t="shared" si="34"/>
        <v>0.85570000000000002</v>
      </c>
      <c r="H117" s="907">
        <f t="shared" si="34"/>
        <v>0.85570000000000002</v>
      </c>
      <c r="I117" s="907">
        <f>ROUND(0.7412-0.0095*B113,4)</f>
        <v>0.71850000000000003</v>
      </c>
      <c r="J117" s="907">
        <f t="shared" si="33"/>
        <v>0.71850000000000003</v>
      </c>
      <c r="K117" s="907">
        <f t="shared" si="33"/>
        <v>0.71850000000000003</v>
      </c>
      <c r="L117" s="907">
        <f t="shared" si="33"/>
        <v>0.71850000000000003</v>
      </c>
      <c r="M117" s="908">
        <f t="shared" si="33"/>
        <v>0.71850000000000003</v>
      </c>
    </row>
    <row r="118" spans="1:13" ht="13.5" thickBot="1">
      <c r="A118" s="712" t="s">
        <v>2873</v>
      </c>
      <c r="B118" s="909">
        <f>ROUND(0.7275-0.01*B113,4)</f>
        <v>0.7036</v>
      </c>
      <c r="C118" s="909">
        <f>B118</f>
        <v>0.7036</v>
      </c>
      <c r="D118" s="909">
        <f>ROUND(0.7043-0.012*B113,4)</f>
        <v>0.67559999999999998</v>
      </c>
      <c r="E118" s="909">
        <f>D118</f>
        <v>0.67559999999999998</v>
      </c>
      <c r="F118" s="909">
        <f>E118</f>
        <v>0.67559999999999998</v>
      </c>
      <c r="G118" s="909">
        <f>ROUND(0.6299-0.0122*B113,4)</f>
        <v>0.60070000000000001</v>
      </c>
      <c r="H118" s="909">
        <f>G118</f>
        <v>0.60070000000000001</v>
      </c>
      <c r="I118" s="909">
        <f>ROUND(0.5667-0.0136*B113,4)</f>
        <v>0.53420000000000001</v>
      </c>
      <c r="J118" s="909">
        <f t="shared" si="33"/>
        <v>0.53420000000000001</v>
      </c>
      <c r="K118" s="909">
        <f t="shared" si="33"/>
        <v>0.53420000000000001</v>
      </c>
      <c r="L118" s="909">
        <f t="shared" si="33"/>
        <v>0.53420000000000001</v>
      </c>
      <c r="M118" s="910">
        <f t="shared" si="33"/>
        <v>0.53420000000000001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35" t="s">
        <v>1146</v>
      </c>
      <c r="C1" s="3235"/>
      <c r="D1" s="3235"/>
      <c r="E1" s="3235"/>
      <c r="F1" s="3235"/>
      <c r="G1" s="3231" t="s">
        <v>1147</v>
      </c>
      <c r="H1" s="3231"/>
      <c r="I1" s="3231"/>
      <c r="J1" s="3231"/>
      <c r="K1" s="3231"/>
      <c r="L1" s="3231"/>
      <c r="N1" s="3231" t="s">
        <v>1148</v>
      </c>
      <c r="O1" s="3231"/>
      <c r="P1" s="3231"/>
      <c r="Q1" s="3231"/>
      <c r="R1" s="1443"/>
      <c r="S1" s="3231" t="s">
        <v>1149</v>
      </c>
      <c r="T1" s="3231"/>
      <c r="U1" s="3231"/>
      <c r="V1" s="3231"/>
      <c r="X1" s="3230" t="s">
        <v>1150</v>
      </c>
      <c r="Y1" s="3231"/>
      <c r="Z1" s="3231"/>
      <c r="AA1" s="3231"/>
      <c r="AB1" s="3231"/>
      <c r="AD1" s="3230" t="s">
        <v>1151</v>
      </c>
      <c r="AE1" s="3231"/>
      <c r="AF1" s="3231"/>
      <c r="AG1" s="3231"/>
      <c r="AH1" s="3231"/>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25">
      <c r="A3" s="2921" t="s">
        <v>3025</v>
      </c>
      <c r="B3" s="2913"/>
      <c r="C3" s="2913"/>
      <c r="D3" s="2914"/>
      <c r="E3" s="2914"/>
      <c r="F3" s="2913"/>
      <c r="G3" s="2915"/>
      <c r="H3" s="2916"/>
      <c r="I3" s="2917">
        <f>ROUND(AVERAGE($I4:$I28),2)</f>
        <v>1.96</v>
      </c>
      <c r="J3" s="2917">
        <f>ROUND(AVERAGE($J4:$J28),2)</f>
        <v>1.38</v>
      </c>
      <c r="K3" s="2917">
        <f>ROUND(AVERAGE($K4:$K28),2)</f>
        <v>2.14</v>
      </c>
      <c r="L3" s="2917">
        <f>ROUND(AVERAGE($L4:$L28),2)</f>
        <v>1.34</v>
      </c>
      <c r="N3" s="2915"/>
      <c r="O3" s="2918"/>
      <c r="P3" s="2918"/>
      <c r="Q3" s="2918"/>
      <c r="R3" s="2918"/>
      <c r="S3" s="2915"/>
      <c r="T3" s="2918"/>
      <c r="U3" s="2918"/>
      <c r="V3" s="2918"/>
      <c r="W3" s="2910"/>
      <c r="X3" s="2919">
        <f>ROUND(SUMPRODUCT(PRODUCT(1+N3:N$27)),4)</f>
        <v>1.5422</v>
      </c>
      <c r="Y3" s="2919">
        <f>ROUND(SUMPRODUCT(PRODUCT(1+O3:O$27)),4)</f>
        <v>1.3557999999999999</v>
      </c>
      <c r="Z3" s="2919">
        <f t="shared" ref="Z3:Z25" si="0">Y3</f>
        <v>1.3557999999999999</v>
      </c>
      <c r="AA3" s="2919">
        <f>ROUND(SUMPRODUCT(PRODUCT(1+P3:P$27)),4)</f>
        <v>1.6036999999999999</v>
      </c>
      <c r="AB3" s="2919">
        <f>ROUND(SUMPRODUCT(PRODUCT(1+Q3:Q$27)),4)</f>
        <v>1.3573</v>
      </c>
      <c r="AD3" s="2920">
        <f>ROUND(AVERAGE(I3:I$28)/100,4)</f>
        <v>1.9599999999999999E-2</v>
      </c>
      <c r="AE3" s="2920">
        <f>ROUND(AVERAGE(J3:J$28)/100,4)</f>
        <v>1.38E-2</v>
      </c>
      <c r="AF3" s="2920">
        <f t="shared" ref="AF3:AF26" si="1">AE3</f>
        <v>1.38E-2</v>
      </c>
      <c r="AG3" s="2920">
        <f>ROUND(AVERAGE(K3:K$28)/100,4)</f>
        <v>2.1399999999999999E-2</v>
      </c>
      <c r="AH3" s="2920">
        <f>ROUND(AVERAGE(L3:L$28)/100,4)</f>
        <v>1.34E-2</v>
      </c>
    </row>
    <row r="4" spans="1:34" s="1450" customFormat="1" ht="14.25">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3044</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7">
        <v>2019</v>
      </c>
      <c r="H5" s="1726">
        <v>4</v>
      </c>
      <c r="I5" s="2908">
        <v>0</v>
      </c>
      <c r="J5" s="2908">
        <v>0</v>
      </c>
      <c r="K5" s="2908">
        <v>0</v>
      </c>
      <c r="L5" s="2908">
        <v>0</v>
      </c>
      <c r="N5" s="1464">
        <f t="shared" ref="N5:N10" si="7">I5/100</f>
        <v>0</v>
      </c>
      <c r="O5" s="1464">
        <f t="shared" ref="O5" si="8">J5/100</f>
        <v>0</v>
      </c>
      <c r="P5" s="1464">
        <f t="shared" ref="P5" si="9">K5/100</f>
        <v>0</v>
      </c>
      <c r="Q5" s="1464">
        <f t="shared" ref="Q5" si="10">L5/100</f>
        <v>0</v>
      </c>
      <c r="R5" s="1728"/>
      <c r="S5" s="1729"/>
      <c r="T5" s="1728"/>
      <c r="U5" s="1728"/>
      <c r="V5" s="1728"/>
      <c r="W5" s="2911" t="s">
        <v>3026</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3043</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7">
        <v>2019</v>
      </c>
      <c r="H6" s="1459">
        <v>3</v>
      </c>
      <c r="I6" s="2945">
        <v>0</v>
      </c>
      <c r="J6" s="2945">
        <v>0</v>
      </c>
      <c r="K6" s="2945">
        <v>0</v>
      </c>
      <c r="L6" s="2946">
        <v>0</v>
      </c>
      <c r="M6" s="1468"/>
      <c r="N6" s="1469">
        <f t="shared" si="7"/>
        <v>0</v>
      </c>
      <c r="O6" s="1470">
        <f t="shared" ref="O6" si="18">J6/100</f>
        <v>0</v>
      </c>
      <c r="P6" s="1470">
        <f t="shared" ref="P6" si="19">K6/100</f>
        <v>0</v>
      </c>
      <c r="Q6" s="1470">
        <f t="shared" ref="Q6" si="20">L6/100</f>
        <v>0</v>
      </c>
      <c r="R6" s="1471"/>
      <c r="S6" s="1469"/>
      <c r="T6" s="1470"/>
      <c r="U6" s="1470"/>
      <c r="V6" s="1470"/>
      <c r="W6" s="1786"/>
      <c r="X6" s="1784">
        <f>ROUND(IF(项目基本情况!B8="出让",SUMPRODUCT(PRODUCT(1+N6:N$28)),SUMPRODUCT(PRODUCT(1+N6:N$27))),4)</f>
        <v>1.5422</v>
      </c>
      <c r="Y6" s="1784">
        <f>ROUND(IF(项目基本情况!B8="出让",SUMPRODUCT(PRODUCT(1+O6:O$28)),SUMPRODUCT(PRODUCT(1+O6:O$27))),4)</f>
        <v>1.3557999999999999</v>
      </c>
      <c r="Z6" s="1784">
        <f t="shared" ref="Z6" si="21">Y6</f>
        <v>1.3557999999999999</v>
      </c>
      <c r="AA6" s="1784">
        <f>ROUND(IF(项目基本情况!B8="出让",SUMPRODUCT(PRODUCT(1+P6:P$28)),SUMPRODUCT(PRODUCT(1+P6:P$27))),4)</f>
        <v>1.6036999999999999</v>
      </c>
      <c r="AB6" s="1784">
        <f>ROUND(IF(项目基本情况!B8="出让",SUMPRODUCT(PRODUCT(1+Q6:Q$28)),SUMPRODUCT(PRODUCT(1+Q6:Q$27))),4)</f>
        <v>1.3573</v>
      </c>
      <c r="AC6" s="1786"/>
      <c r="AD6" s="1785">
        <f>ROUND(AVERAGE(I6:I$28)/100,4)</f>
        <v>2.0400000000000001E-2</v>
      </c>
      <c r="AE6" s="1785">
        <f>ROUND(AVERAGE(J6:J$28)/100,4)</f>
        <v>1.44E-2</v>
      </c>
      <c r="AF6" s="1785">
        <f t="shared" ref="AF6" si="22">AE6</f>
        <v>1.44E-2</v>
      </c>
      <c r="AG6" s="1785">
        <f>ROUND(AVERAGE(K6:K$28)/100,4)</f>
        <v>2.23E-2</v>
      </c>
      <c r="AH6" s="1785">
        <f>ROUND(AVERAGE(L6:L$28)/100,4)</f>
        <v>1.4E-2</v>
      </c>
    </row>
    <row r="7" spans="1:34" s="1463" customFormat="1">
      <c r="A7" s="1458" t="s">
        <v>3041</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1">
        <v>2019</v>
      </c>
      <c r="H7" s="1459">
        <v>2</v>
      </c>
      <c r="I7" s="2945">
        <v>1.53</v>
      </c>
      <c r="J7" s="2945">
        <v>1.01</v>
      </c>
      <c r="K7" s="2945">
        <v>1.62</v>
      </c>
      <c r="L7" s="2946">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3" customFormat="1" ht="13.5" thickBot="1">
      <c r="A8" s="1458" t="s">
        <v>3038</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5">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3" customFormat="1">
      <c r="A9" s="1458" t="s">
        <v>3042</v>
      </c>
      <c r="B9" s="2942">
        <f t="shared" ref="B9" si="46">B10*(1+N9)</f>
        <v>464.37293017158942</v>
      </c>
      <c r="C9" s="2942">
        <f t="shared" ref="C9" si="47">C10*(1+O9)</f>
        <v>344.73679941385956</v>
      </c>
      <c r="D9" s="2942">
        <f t="shared" ref="D9" si="48">C9</f>
        <v>344.73679941385956</v>
      </c>
      <c r="E9" s="2942">
        <f t="shared" ref="E9" si="49">E10*(1+P9)</f>
        <v>663.2377795103107</v>
      </c>
      <c r="F9" s="2943">
        <f t="shared" ref="F9" si="50">F10*(1+Q9)</f>
        <v>304.75936311478398</v>
      </c>
      <c r="G9" s="3233">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3" customFormat="1" ht="14.45" customHeight="1">
      <c r="A10" s="1458" t="s">
        <v>3032</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33"/>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3" customFormat="1" ht="14.45" customHeight="1">
      <c r="A11" s="1458" t="s">
        <v>3031</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33"/>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3" customFormat="1" ht="15" customHeight="1" thickBot="1">
      <c r="A12" s="1458" t="s">
        <v>3024</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40"/>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8" t="s">
        <v>3021</v>
      </c>
      <c r="B13" s="1466">
        <v>439</v>
      </c>
      <c r="C13" s="1466">
        <v>327</v>
      </c>
      <c r="D13" s="1466">
        <f>C13</f>
        <v>327</v>
      </c>
      <c r="E13" s="1466">
        <v>627</v>
      </c>
      <c r="F13" s="1467">
        <v>283</v>
      </c>
      <c r="G13" s="3236">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3022</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33"/>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33"/>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50"/>
      <c r="AD15" s="1785">
        <f>ROUND(AVERAGE(I15:I$28)/100,4)</f>
        <v>2.46E-2</v>
      </c>
      <c r="AE15" s="1785">
        <f>ROUND(AVERAGE(J15:J$28)/100,4)</f>
        <v>1.6E-2</v>
      </c>
      <c r="AF15" s="1785">
        <f t="shared" si="1"/>
        <v>1.6E-2</v>
      </c>
      <c r="AG15" s="1785">
        <f>ROUND(AVERAGE(K15:K$28)/100,4)</f>
        <v>2.75E-2</v>
      </c>
      <c r="AH15" s="1785">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40"/>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8" t="s">
        <v>154</v>
      </c>
      <c r="B17" s="1466">
        <v>392</v>
      </c>
      <c r="C17" s="1466">
        <v>302</v>
      </c>
      <c r="D17" s="1466">
        <f>C17</f>
        <v>302</v>
      </c>
      <c r="E17" s="1466">
        <v>553</v>
      </c>
      <c r="F17" s="1467">
        <v>266</v>
      </c>
      <c r="G17" s="3236">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33"/>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33"/>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34"/>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32">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33"/>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33"/>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34"/>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32">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33"/>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33"/>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34"/>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37">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38"/>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38"/>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39"/>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32">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33"/>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33"/>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34"/>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32">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33">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33">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34">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32">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33">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33">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34">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32">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33">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33">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34">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32">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33">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33">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34">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32">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33">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33">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34">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32">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33">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33">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34">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32">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33">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33">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34">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32">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33">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33">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34">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32">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33">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33">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34">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32">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33">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33">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34">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I13" sqref="I13"/>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97296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9585</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30" ht="15">
      <c r="A5" s="402"/>
      <c r="B5" s="403"/>
      <c r="C5" s="3252" t="s">
        <v>2536</v>
      </c>
      <c r="D5" s="3253"/>
      <c r="E5" s="3250" t="str">
        <f>土地案例!A5</f>
        <v>北京经济技术开发区路东区C14C-1、C14C-2、C14S-1地块B4综合性商业金融服务业用地及S41公用停车场用地</v>
      </c>
      <c r="F5" s="3251"/>
      <c r="G5" s="3252" t="str">
        <f>土地案例!A7</f>
        <v>大兴区北臧村生物医药基地DX00-0502-0008地块</v>
      </c>
      <c r="H5" s="3253"/>
      <c r="I5" s="3252" t="str">
        <f>土地案例!A8</f>
        <v>大兴开发区北区1号地DX00-0301-0144地块</v>
      </c>
      <c r="J5" s="3253"/>
      <c r="K5" s="608"/>
      <c r="L5" s="1127"/>
      <c r="M5" s="1128"/>
      <c r="N5" s="1128"/>
      <c r="O5" s="1128"/>
      <c r="P5" s="3265"/>
      <c r="Q5" s="3266"/>
      <c r="R5" s="3248"/>
      <c r="S5" s="3249"/>
      <c r="T5" s="3248"/>
      <c r="U5" s="3249"/>
      <c r="V5" s="3271"/>
      <c r="W5" s="3271"/>
      <c r="X5" s="1809"/>
      <c r="Y5" s="3248"/>
      <c r="Z5" s="3249"/>
      <c r="AA5" s="3242"/>
      <c r="AB5" s="3242"/>
      <c r="AC5" s="3242"/>
    </row>
    <row r="6" spans="1:30" ht="15.7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30" s="117" customFormat="1" ht="15.75" thickBot="1">
      <c r="A7" s="406" t="s">
        <v>2542</v>
      </c>
      <c r="B7" s="407"/>
      <c r="C7" s="408">
        <f>'数据-取费表'!B2</f>
        <v>43756</v>
      </c>
      <c r="D7" s="409">
        <v>100</v>
      </c>
      <c r="E7" s="410" t="str">
        <f>土地案例!H5</f>
        <v>2017-08-08</v>
      </c>
      <c r="F7" s="411">
        <f>SUMIF(70:70,YEAR(E7)&amp;"-"&amp;INT((MONTH(E7)+2)/3),71:71)</f>
        <v>91</v>
      </c>
      <c r="G7" s="2690" t="str">
        <f>土地案例!H7</f>
        <v>2017-03-30</v>
      </c>
      <c r="H7" s="409">
        <f>SUMIF(70:70,YEAR(G7)&amp;"-"&amp;INT((MONTH(G7)+2)/3),71:71)</f>
        <v>89</v>
      </c>
      <c r="I7" s="2690" t="str">
        <f>土地案例!H8</f>
        <v>2016-12-20</v>
      </c>
      <c r="J7" s="409">
        <f>SUMIF(70:70,YEAR(I7)&amp;"-"&amp;INT((MONTH(I7)+2)/3),71:71)</f>
        <v>88</v>
      </c>
      <c r="K7" s="609"/>
      <c r="L7" s="1129"/>
      <c r="M7" s="1130"/>
      <c r="N7" s="1130"/>
      <c r="O7" s="1130"/>
      <c r="P7" s="3244" t="s">
        <v>2543</v>
      </c>
      <c r="Q7" s="3272"/>
      <c r="R7" s="767" t="s">
        <v>17</v>
      </c>
      <c r="S7" s="768">
        <f t="shared" ref="S7:S15" si="0">F7</f>
        <v>91</v>
      </c>
      <c r="T7" s="767" t="s">
        <v>17</v>
      </c>
      <c r="U7" s="768">
        <f t="shared" ref="U7:U15" si="1">H7</f>
        <v>89</v>
      </c>
      <c r="V7" s="767" t="s">
        <v>17</v>
      </c>
      <c r="W7" s="768">
        <f t="shared" ref="W7:W15" si="2">J7</f>
        <v>88</v>
      </c>
      <c r="X7" s="769"/>
      <c r="Y7" s="3244" t="s">
        <v>2543</v>
      </c>
      <c r="Z7" s="3245"/>
      <c r="AA7" s="770">
        <f>D7/F7</f>
        <v>1.098901098901099</v>
      </c>
      <c r="AB7" s="770">
        <f>D7/H7</f>
        <v>1.1235955056179776</v>
      </c>
      <c r="AC7" s="770">
        <f>D7/J7</f>
        <v>1.1363636363636365</v>
      </c>
    </row>
    <row r="8" spans="1:30" s="117" customFormat="1" ht="15.75" thickBot="1">
      <c r="A8" s="406" t="s">
        <v>2544</v>
      </c>
      <c r="B8" s="407"/>
      <c r="C8" s="412" t="s">
        <v>2545</v>
      </c>
      <c r="D8" s="409">
        <v>100</v>
      </c>
      <c r="E8" s="412" t="s">
        <v>3270</v>
      </c>
      <c r="F8" s="411">
        <f>SUMIF(73:73,E8,74:74)-SUMIF(73:73,C8,74:74)+100</f>
        <v>100</v>
      </c>
      <c r="G8" s="412" t="s">
        <v>3270</v>
      </c>
      <c r="H8" s="409">
        <f>SUMIF(73:73,G8,74:74)-SUMIF(73:73,C8,74:74)+100</f>
        <v>100</v>
      </c>
      <c r="I8" s="412" t="s">
        <v>3270</v>
      </c>
      <c r="J8" s="409">
        <f>SUMIF(73:73,I8,74:74)-SUMIF(73:73,C8,74:74)+100</f>
        <v>100</v>
      </c>
      <c r="K8" s="609"/>
      <c r="L8" s="1129"/>
      <c r="M8" s="1130"/>
      <c r="N8" s="1130"/>
      <c r="O8" s="1130"/>
      <c r="P8" s="3244" t="s">
        <v>2546</v>
      </c>
      <c r="Q8" s="3245"/>
      <c r="R8" s="767" t="s">
        <v>17</v>
      </c>
      <c r="S8" s="768">
        <f t="shared" si="0"/>
        <v>100</v>
      </c>
      <c r="T8" s="767" t="s">
        <v>17</v>
      </c>
      <c r="U8" s="768">
        <f t="shared" si="1"/>
        <v>100</v>
      </c>
      <c r="V8" s="767" t="s">
        <v>17</v>
      </c>
      <c r="W8" s="768">
        <f t="shared" si="2"/>
        <v>100</v>
      </c>
      <c r="X8" s="769"/>
      <c r="Y8" s="3244" t="s">
        <v>2546</v>
      </c>
      <c r="Z8" s="3245"/>
      <c r="AA8" s="770">
        <f t="shared" ref="AA8:AA45" si="3">D8/F8</f>
        <v>1</v>
      </c>
      <c r="AB8" s="770">
        <f t="shared" ref="AB8:AB45" si="4">D8/H8</f>
        <v>1</v>
      </c>
      <c r="AC8" s="770">
        <f t="shared" ref="AC8:AC45" si="5">D8/J8</f>
        <v>1</v>
      </c>
    </row>
    <row r="9" spans="1:30" s="117" customFormat="1">
      <c r="A9" s="413" t="s">
        <v>2547</v>
      </c>
      <c r="B9" s="71" t="s">
        <v>2548</v>
      </c>
      <c r="C9" s="2980" t="s">
        <v>3271</v>
      </c>
      <c r="D9" s="133">
        <v>100</v>
      </c>
      <c r="E9" s="2980" t="s">
        <v>1373</v>
      </c>
      <c r="F9" s="133">
        <f>SUMIF(75:75,E9,76:76)-SUMIF(75:75,C9,76:76)+100</f>
        <v>100</v>
      </c>
      <c r="G9" s="2980" t="s">
        <v>3272</v>
      </c>
      <c r="H9" s="133">
        <f>SUMIF(75:75,G9,76:76)-SUMIF(75:75,C9,76:76)+100</f>
        <v>95</v>
      </c>
      <c r="I9" s="2693" t="s">
        <v>3272</v>
      </c>
      <c r="J9" s="133">
        <f>SUMIF(75:75,I9,76:76)-SUMIF(75:75,C9,76:76)+100</f>
        <v>95</v>
      </c>
      <c r="K9" s="609"/>
      <c r="L9" s="1129"/>
      <c r="M9" s="1130"/>
      <c r="N9" s="1130"/>
      <c r="O9" s="1131"/>
      <c r="P9" s="3258" t="s">
        <v>2549</v>
      </c>
      <c r="Q9" s="1791" t="str">
        <f t="shared" ref="Q9:Q15" si="6">B9</f>
        <v>用途</v>
      </c>
      <c r="R9" s="767" t="s">
        <v>17</v>
      </c>
      <c r="S9" s="768">
        <f t="shared" si="0"/>
        <v>100</v>
      </c>
      <c r="T9" s="767" t="s">
        <v>17</v>
      </c>
      <c r="U9" s="768">
        <f t="shared" si="1"/>
        <v>95</v>
      </c>
      <c r="V9" s="767" t="s">
        <v>17</v>
      </c>
      <c r="W9" s="768">
        <f t="shared" si="2"/>
        <v>95</v>
      </c>
      <c r="X9" s="769"/>
      <c r="Y9" s="3079"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126</v>
      </c>
      <c r="G10" s="461"/>
      <c r="H10" s="134">
        <f>ROUND(100/'数据-取费表'!G16,0)</f>
        <v>126</v>
      </c>
      <c r="I10" s="461"/>
      <c r="J10" s="134">
        <f>ROUND(100/'数据-取费表'!G16,0)</f>
        <v>126</v>
      </c>
      <c r="K10" s="670"/>
      <c r="L10" s="1132"/>
      <c r="M10" s="1133"/>
      <c r="N10" s="1133"/>
      <c r="O10" s="1134"/>
      <c r="P10" s="3258"/>
      <c r="Q10" s="1791" t="str">
        <f t="shared" si="6"/>
        <v>土地使用年限（年）</v>
      </c>
      <c r="R10" s="767" t="s">
        <v>17</v>
      </c>
      <c r="S10" s="768">
        <f t="shared" si="0"/>
        <v>126</v>
      </c>
      <c r="T10" s="767" t="s">
        <v>17</v>
      </c>
      <c r="U10" s="768">
        <f t="shared" si="1"/>
        <v>126</v>
      </c>
      <c r="V10" s="767" t="s">
        <v>17</v>
      </c>
      <c r="W10" s="768">
        <f t="shared" si="2"/>
        <v>126</v>
      </c>
      <c r="X10" s="769"/>
      <c r="Y10" s="3079"/>
      <c r="Z10" s="55" t="str">
        <f t="shared" si="7"/>
        <v>土地使用年限（年）</v>
      </c>
      <c r="AA10" s="770">
        <f t="shared" si="3"/>
        <v>0.79365079365079361</v>
      </c>
      <c r="AB10" s="770">
        <f t="shared" si="4"/>
        <v>0.79365079365079361</v>
      </c>
      <c r="AC10" s="770">
        <f t="shared" si="5"/>
        <v>0.79365079365079361</v>
      </c>
    </row>
    <row r="11" spans="1:30" ht="15">
      <c r="A11" s="426"/>
      <c r="B11" s="420" t="s">
        <v>2552</v>
      </c>
      <c r="C11" s="427">
        <f>'数据-汇总表'!I6</f>
        <v>2.39</v>
      </c>
      <c r="D11" s="134">
        <v>100</v>
      </c>
      <c r="E11" s="427">
        <v>3.99</v>
      </c>
      <c r="F11" s="134">
        <f>LOOKUP(E11,80:80,81:81)-LOOKUP(C11,80:80,81:81)+100</f>
        <v>97</v>
      </c>
      <c r="G11" s="428">
        <v>2.5</v>
      </c>
      <c r="H11" s="134">
        <f>LOOKUP(G11,80:80,81:81)-LOOKUP(C11,80:80,81:81)+100</f>
        <v>100</v>
      </c>
      <c r="I11" s="427">
        <v>3.2</v>
      </c>
      <c r="J11" s="134">
        <f>LOOKUP(I11,80:80,81:81)-LOOKUP(C11,80:80,81:81)+100</f>
        <v>97</v>
      </c>
      <c r="K11" s="671">
        <v>3</v>
      </c>
      <c r="L11" s="1135"/>
      <c r="M11" s="1128"/>
      <c r="N11" s="1128"/>
      <c r="O11" s="1136"/>
      <c r="P11" s="3258"/>
      <c r="Q11" s="1791" t="str">
        <f t="shared" si="6"/>
        <v>容积率</v>
      </c>
      <c r="R11" s="767" t="s">
        <v>17</v>
      </c>
      <c r="S11" s="768">
        <f t="shared" si="0"/>
        <v>97</v>
      </c>
      <c r="T11" s="767" t="s">
        <v>17</v>
      </c>
      <c r="U11" s="768">
        <f t="shared" si="1"/>
        <v>100</v>
      </c>
      <c r="V11" s="767" t="s">
        <v>17</v>
      </c>
      <c r="W11" s="768">
        <f t="shared" si="2"/>
        <v>97</v>
      </c>
      <c r="X11" s="769"/>
      <c r="Y11" s="3079"/>
      <c r="Z11" s="55" t="str">
        <f t="shared" si="7"/>
        <v>容积率</v>
      </c>
      <c r="AA11" s="770">
        <f t="shared" si="3"/>
        <v>1.0309278350515463</v>
      </c>
      <c r="AB11" s="770">
        <f t="shared" si="4"/>
        <v>1</v>
      </c>
      <c r="AC11" s="770">
        <f t="shared" si="5"/>
        <v>1.0309278350515463</v>
      </c>
    </row>
    <row r="12" spans="1:30" s="117" customFormat="1" ht="15">
      <c r="A12" s="429"/>
      <c r="B12" s="3012" t="s">
        <v>3380</v>
      </c>
      <c r="C12" s="2984" t="s">
        <v>3289</v>
      </c>
      <c r="D12" s="431">
        <v>100</v>
      </c>
      <c r="E12" s="2985" t="s">
        <v>3382</v>
      </c>
      <c r="F12" s="134">
        <f>SUMIF(82:82,E12,83:83)-SUMIF(82:82,C12,83:83)+100</f>
        <v>98</v>
      </c>
      <c r="G12" s="2986" t="s">
        <v>3289</v>
      </c>
      <c r="H12" s="134">
        <f>SUMIF(82:82,G12,83:83)-SUMIF(82:82,C12,83:83)+100</f>
        <v>100</v>
      </c>
      <c r="I12" s="2985" t="s">
        <v>3381</v>
      </c>
      <c r="J12" s="134">
        <f>SUMIF(82:82,I12,83:83)-SUMIF(82:82,C12,83:83)+100</f>
        <v>98</v>
      </c>
      <c r="K12" s="670"/>
      <c r="L12" s="1129"/>
      <c r="M12" s="1130"/>
      <c r="N12" s="1130"/>
      <c r="O12" s="1131"/>
      <c r="P12" s="3258"/>
      <c r="Q12" s="1791" t="str">
        <f t="shared" si="6"/>
        <v>权益修正</v>
      </c>
      <c r="R12" s="767" t="s">
        <v>17</v>
      </c>
      <c r="S12" s="768">
        <f t="shared" si="0"/>
        <v>98</v>
      </c>
      <c r="T12" s="767" t="s">
        <v>17</v>
      </c>
      <c r="U12" s="768">
        <f t="shared" si="1"/>
        <v>100</v>
      </c>
      <c r="V12" s="767" t="s">
        <v>17</v>
      </c>
      <c r="W12" s="768">
        <f t="shared" si="2"/>
        <v>98</v>
      </c>
      <c r="X12" s="769"/>
      <c r="Y12" s="3079"/>
      <c r="Z12" s="55" t="str">
        <f t="shared" si="7"/>
        <v>权益修正</v>
      </c>
      <c r="AA12" s="770">
        <f>D12/F12</f>
        <v>1.0204081632653061</v>
      </c>
      <c r="AB12" s="770">
        <f>D12/H12</f>
        <v>1</v>
      </c>
      <c r="AC12" s="770">
        <f>D12/J12</f>
        <v>1.0204081632653061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D13/F13</f>
        <v>1</v>
      </c>
      <c r="AB13" s="770">
        <f>D13/H13</f>
        <v>1</v>
      </c>
      <c r="AC13" s="770">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D14/F14</f>
        <v>1</v>
      </c>
      <c r="AB14" s="770">
        <f>D14/H14</f>
        <v>1</v>
      </c>
      <c r="AC14" s="770">
        <f>D14/J14</f>
        <v>1</v>
      </c>
    </row>
    <row r="15" spans="1:30" ht="99.75" hidden="1">
      <c r="A15" s="438" t="s">
        <v>2553</v>
      </c>
      <c r="B15" s="69" t="s">
        <v>2080</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73" t="s">
        <v>2554</v>
      </c>
      <c r="Q15" s="1806" t="str">
        <f t="shared" si="6"/>
        <v>居住社区成熟度</v>
      </c>
      <c r="R15" s="771" t="s">
        <v>17</v>
      </c>
      <c r="S15" s="772">
        <f t="shared" si="0"/>
        <v>100</v>
      </c>
      <c r="T15" s="771" t="s">
        <v>17</v>
      </c>
      <c r="U15" s="772">
        <f t="shared" si="1"/>
        <v>100</v>
      </c>
      <c r="V15" s="771" t="s">
        <v>17</v>
      </c>
      <c r="W15" s="772">
        <f t="shared" si="2"/>
        <v>100</v>
      </c>
      <c r="X15" s="1809"/>
      <c r="Y15" s="3273" t="s">
        <v>2554</v>
      </c>
      <c r="Z15" s="1810" t="str">
        <f t="shared" si="7"/>
        <v>居住社区成熟度</v>
      </c>
      <c r="AA15" s="1807">
        <f t="shared" si="3"/>
        <v>1</v>
      </c>
      <c r="AB15" s="1807">
        <f t="shared" si="4"/>
        <v>1</v>
      </c>
      <c r="AC15" s="1807">
        <f t="shared" si="5"/>
        <v>1</v>
      </c>
    </row>
    <row r="16" spans="1:30" ht="15" hidden="1">
      <c r="A16" s="426"/>
      <c r="B16" s="444"/>
      <c r="C16" s="445"/>
      <c r="D16" s="446"/>
      <c r="E16" s="2599"/>
      <c r="F16" s="446"/>
      <c r="G16" s="2599"/>
      <c r="H16" s="448"/>
      <c r="I16" s="2598"/>
      <c r="J16" s="446"/>
      <c r="K16" s="670"/>
      <c r="L16" s="1137"/>
      <c r="M16" s="1128"/>
      <c r="N16" s="1128"/>
      <c r="O16" s="1136"/>
      <c r="P16" s="3274"/>
      <c r="Q16" s="1806"/>
      <c r="R16" s="771"/>
      <c r="S16" s="772"/>
      <c r="T16" s="771"/>
      <c r="U16" s="772"/>
      <c r="V16" s="771"/>
      <c r="W16" s="772"/>
      <c r="X16" s="1809"/>
      <c r="Y16" s="3274"/>
      <c r="Z16" s="1810"/>
      <c r="AA16" s="1807">
        <v>1</v>
      </c>
      <c r="AB16" s="1807">
        <v>1</v>
      </c>
      <c r="AC16" s="1807">
        <v>1</v>
      </c>
    </row>
    <row r="17" spans="1:29" ht="71.25">
      <c r="A17" s="426"/>
      <c r="B17" s="449" t="s">
        <v>2647</v>
      </c>
      <c r="C17" s="2658"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74"/>
      <c r="Q17" s="1806" t="str">
        <f>B17</f>
        <v>商业繁华度</v>
      </c>
      <c r="R17" s="771" t="s">
        <v>17</v>
      </c>
      <c r="S17" s="772">
        <f>F17</f>
        <v>97</v>
      </c>
      <c r="T17" s="771" t="s">
        <v>17</v>
      </c>
      <c r="U17" s="772">
        <f>H17</f>
        <v>97</v>
      </c>
      <c r="V17" s="771" t="s">
        <v>17</v>
      </c>
      <c r="W17" s="772">
        <f>J17</f>
        <v>97</v>
      </c>
      <c r="X17" s="1809"/>
      <c r="Y17" s="3274"/>
      <c r="Z17" s="1810" t="str">
        <f>Q17</f>
        <v>商业繁华度</v>
      </c>
      <c r="AA17" s="1807">
        <f t="shared" si="3"/>
        <v>1.0309278350515463</v>
      </c>
      <c r="AB17" s="1807">
        <f t="shared" si="4"/>
        <v>1.0309278350515463</v>
      </c>
      <c r="AC17" s="1807">
        <f t="shared" si="5"/>
        <v>1.0309278350515463</v>
      </c>
    </row>
    <row r="18" spans="1:29" ht="15">
      <c r="A18" s="426"/>
      <c r="B18" s="454"/>
      <c r="C18" s="2602" t="s">
        <v>3068</v>
      </c>
      <c r="D18" s="448"/>
      <c r="E18" s="2602" t="s">
        <v>3080</v>
      </c>
      <c r="F18" s="448"/>
      <c r="G18" s="2602" t="s">
        <v>3080</v>
      </c>
      <c r="H18" s="446"/>
      <c r="I18" s="2602" t="s">
        <v>3080</v>
      </c>
      <c r="J18" s="446"/>
      <c r="K18" s="670"/>
      <c r="L18" s="1137"/>
      <c r="M18" s="1128"/>
      <c r="N18" s="1128"/>
      <c r="O18" s="1136"/>
      <c r="P18" s="3274"/>
      <c r="Q18" s="1806"/>
      <c r="R18" s="771"/>
      <c r="S18" s="772"/>
      <c r="T18" s="771"/>
      <c r="U18" s="772"/>
      <c r="V18" s="771"/>
      <c r="W18" s="772"/>
      <c r="X18" s="1809"/>
      <c r="Y18" s="3274"/>
      <c r="Z18" s="1810"/>
      <c r="AA18" s="1807">
        <v>1</v>
      </c>
      <c r="AB18" s="1807">
        <v>1</v>
      </c>
      <c r="AC18" s="1807">
        <v>1</v>
      </c>
    </row>
    <row r="19" spans="1:29" ht="71.25" hidden="1">
      <c r="A19" s="426"/>
      <c r="B19" s="449" t="s">
        <v>2681</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74"/>
      <c r="Q19" s="1806" t="str">
        <f>B19</f>
        <v>办公集聚程度</v>
      </c>
      <c r="R19" s="771" t="s">
        <v>17</v>
      </c>
      <c r="S19" s="772">
        <f>F19</f>
        <v>100</v>
      </c>
      <c r="T19" s="771" t="s">
        <v>17</v>
      </c>
      <c r="U19" s="772">
        <f>H19</f>
        <v>100</v>
      </c>
      <c r="V19" s="771" t="s">
        <v>17</v>
      </c>
      <c r="W19" s="772">
        <f>J19</f>
        <v>100</v>
      </c>
      <c r="X19" s="1809"/>
      <c r="Y19" s="3274"/>
      <c r="Z19" s="1810" t="str">
        <f>Q19</f>
        <v>办公集聚程度</v>
      </c>
      <c r="AA19" s="1807">
        <f t="shared" si="3"/>
        <v>1</v>
      </c>
      <c r="AB19" s="1807">
        <f t="shared" si="4"/>
        <v>1</v>
      </c>
      <c r="AC19" s="1807">
        <f t="shared" si="5"/>
        <v>1</v>
      </c>
    </row>
    <row r="20" spans="1:29" ht="15" hidden="1">
      <c r="A20" s="426"/>
      <c r="B20" s="454"/>
      <c r="C20" s="2602" t="s">
        <v>3080</v>
      </c>
      <c r="D20" s="446"/>
      <c r="E20" s="2602" t="s">
        <v>3080</v>
      </c>
      <c r="F20" s="446"/>
      <c r="G20" s="2602" t="s">
        <v>3080</v>
      </c>
      <c r="H20" s="446"/>
      <c r="I20" s="2602" t="s">
        <v>3080</v>
      </c>
      <c r="J20" s="446"/>
      <c r="K20" s="670"/>
      <c r="L20" s="1137"/>
      <c r="M20" s="1128"/>
      <c r="N20" s="1128"/>
      <c r="O20" s="1136"/>
      <c r="P20" s="3274"/>
      <c r="Q20" s="1806"/>
      <c r="R20" s="771"/>
      <c r="S20" s="772"/>
      <c r="T20" s="771"/>
      <c r="U20" s="772"/>
      <c r="V20" s="771"/>
      <c r="W20" s="772"/>
      <c r="X20" s="1809"/>
      <c r="Y20" s="3274"/>
      <c r="Z20" s="1810"/>
      <c r="AA20" s="1807">
        <v>1</v>
      </c>
      <c r="AB20" s="1807">
        <v>1</v>
      </c>
      <c r="AC20" s="1807">
        <v>1</v>
      </c>
    </row>
    <row r="21" spans="1:29" ht="85.5">
      <c r="A21" s="426"/>
      <c r="B21" s="449" t="s">
        <v>2703</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74"/>
      <c r="Q21" s="1806" t="str">
        <f>B21</f>
        <v>交通便捷度</v>
      </c>
      <c r="R21" s="771" t="s">
        <v>17</v>
      </c>
      <c r="S21" s="772">
        <f>F21</f>
        <v>100</v>
      </c>
      <c r="T21" s="771" t="s">
        <v>17</v>
      </c>
      <c r="U21" s="772">
        <f>H21</f>
        <v>98</v>
      </c>
      <c r="V21" s="771" t="s">
        <v>17</v>
      </c>
      <c r="W21" s="772">
        <f>J21</f>
        <v>98</v>
      </c>
      <c r="X21" s="1809"/>
      <c r="Y21" s="3274"/>
      <c r="Z21" s="1810" t="str">
        <f>Q21</f>
        <v>交通便捷度</v>
      </c>
      <c r="AA21" s="1807">
        <f t="shared" si="3"/>
        <v>1</v>
      </c>
      <c r="AB21" s="1807">
        <f t="shared" si="4"/>
        <v>1.0204081632653061</v>
      </c>
      <c r="AC21" s="1807">
        <f t="shared" si="5"/>
        <v>1.0204081632653061</v>
      </c>
    </row>
    <row r="22" spans="1:29" ht="15">
      <c r="A22" s="426"/>
      <c r="B22" s="1381"/>
      <c r="C22" s="2602" t="s">
        <v>3068</v>
      </c>
      <c r="D22" s="448"/>
      <c r="E22" s="2602" t="s">
        <v>3068</v>
      </c>
      <c r="F22" s="446"/>
      <c r="G22" s="2602" t="s">
        <v>3080</v>
      </c>
      <c r="H22" s="446"/>
      <c r="I22" s="2602" t="s">
        <v>3080</v>
      </c>
      <c r="J22" s="446"/>
      <c r="K22" s="670"/>
      <c r="L22" s="1137"/>
      <c r="M22" s="1128"/>
      <c r="N22" s="1128"/>
      <c r="O22" s="1136"/>
      <c r="P22" s="3274"/>
      <c r="Q22" s="1806"/>
      <c r="R22" s="771"/>
      <c r="S22" s="772"/>
      <c r="T22" s="771"/>
      <c r="U22" s="772"/>
      <c r="V22" s="771"/>
      <c r="W22" s="772"/>
      <c r="X22" s="1809"/>
      <c r="Y22" s="3274"/>
      <c r="Z22" s="1810"/>
      <c r="AA22" s="1807">
        <v>1</v>
      </c>
      <c r="AB22" s="1807">
        <v>1</v>
      </c>
      <c r="AC22" s="1807">
        <v>1</v>
      </c>
    </row>
    <row r="23" spans="1:29" ht="15">
      <c r="A23" s="402"/>
      <c r="B23" s="449" t="s">
        <v>2741</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74"/>
      <c r="Q23" s="1806" t="str">
        <f t="shared" ref="Q23:Q37" si="8">B23</f>
        <v>区域土地利用方向</v>
      </c>
      <c r="R23" s="771" t="s">
        <v>17</v>
      </c>
      <c r="S23" s="772">
        <f>F23</f>
        <v>100</v>
      </c>
      <c r="T23" s="771" t="s">
        <v>17</v>
      </c>
      <c r="U23" s="772">
        <f>H23</f>
        <v>100</v>
      </c>
      <c r="V23" s="771" t="s">
        <v>17</v>
      </c>
      <c r="W23" s="772">
        <f>J23</f>
        <v>100</v>
      </c>
      <c r="X23" s="1809"/>
      <c r="Y23" s="3274"/>
      <c r="Z23" s="1810" t="str">
        <f>Q23</f>
        <v>区域土地利用方向</v>
      </c>
      <c r="AA23" s="1807">
        <f t="shared" si="3"/>
        <v>1</v>
      </c>
      <c r="AB23" s="1807">
        <f t="shared" si="4"/>
        <v>1</v>
      </c>
      <c r="AC23" s="1807">
        <f t="shared" si="5"/>
        <v>1</v>
      </c>
    </row>
    <row r="24" spans="1:29" ht="15">
      <c r="A24" s="402"/>
      <c r="B24" s="454"/>
      <c r="C24" s="614" t="s">
        <v>3068</v>
      </c>
      <c r="D24" s="446"/>
      <c r="E24" s="614" t="s">
        <v>3068</v>
      </c>
      <c r="F24" s="446"/>
      <c r="G24" s="614" t="s">
        <v>3068</v>
      </c>
      <c r="H24" s="446"/>
      <c r="I24" s="614" t="s">
        <v>3068</v>
      </c>
      <c r="J24" s="446"/>
      <c r="K24" s="809"/>
      <c r="L24" s="1137"/>
      <c r="M24" s="1128"/>
      <c r="N24" s="1128"/>
      <c r="O24" s="1136"/>
      <c r="P24" s="3274"/>
      <c r="Q24" s="1806"/>
      <c r="R24" s="771"/>
      <c r="S24" s="772"/>
      <c r="T24" s="771"/>
      <c r="U24" s="772"/>
      <c r="V24" s="771"/>
      <c r="W24" s="772"/>
      <c r="X24" s="1809"/>
      <c r="Y24" s="3274"/>
      <c r="Z24" s="1810"/>
      <c r="AA24" s="1807"/>
      <c r="AB24" s="1807"/>
      <c r="AC24" s="1807"/>
    </row>
    <row r="25" spans="1:29" ht="57">
      <c r="A25" s="402"/>
      <c r="B25" s="1381" t="s">
        <v>2742</v>
      </c>
      <c r="C25" s="2658"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74"/>
      <c r="Q25" s="1806" t="str">
        <f t="shared" si="8"/>
        <v>自然及人文环境状况</v>
      </c>
      <c r="R25" s="771" t="s">
        <v>17</v>
      </c>
      <c r="S25" s="772">
        <f>F25</f>
        <v>98</v>
      </c>
      <c r="T25" s="771" t="s">
        <v>17</v>
      </c>
      <c r="U25" s="772">
        <f>H25</f>
        <v>98</v>
      </c>
      <c r="V25" s="771" t="s">
        <v>17</v>
      </c>
      <c r="W25" s="772">
        <f>J25</f>
        <v>98</v>
      </c>
      <c r="X25" s="1809"/>
      <c r="Y25" s="3274"/>
      <c r="Z25" s="1810" t="str">
        <f>Q25</f>
        <v>自然及人文环境状况</v>
      </c>
      <c r="AA25" s="1807">
        <f t="shared" si="3"/>
        <v>1.0204081632653061</v>
      </c>
      <c r="AB25" s="1807">
        <f t="shared" si="4"/>
        <v>1.0204081632653061</v>
      </c>
      <c r="AC25" s="1807">
        <f t="shared" si="5"/>
        <v>1.0204081632653061</v>
      </c>
    </row>
    <row r="26" spans="1:29" ht="15">
      <c r="A26" s="402"/>
      <c r="B26" s="454"/>
      <c r="C26" s="2602" t="s">
        <v>3068</v>
      </c>
      <c r="D26" s="446"/>
      <c r="E26" s="2602" t="s">
        <v>3080</v>
      </c>
      <c r="F26" s="446"/>
      <c r="G26" s="2602" t="s">
        <v>3080</v>
      </c>
      <c r="H26" s="446"/>
      <c r="I26" s="2602" t="s">
        <v>3080</v>
      </c>
      <c r="J26" s="446"/>
      <c r="K26" s="670"/>
      <c r="L26" s="1137"/>
      <c r="M26" s="1128"/>
      <c r="N26" s="1128"/>
      <c r="O26" s="1136"/>
      <c r="P26" s="3274"/>
      <c r="Q26" s="1806"/>
      <c r="R26" s="771"/>
      <c r="S26" s="772"/>
      <c r="T26" s="771"/>
      <c r="U26" s="772"/>
      <c r="V26" s="771"/>
      <c r="W26" s="772"/>
      <c r="X26" s="1809"/>
      <c r="Y26" s="3274"/>
      <c r="Z26" s="1810"/>
      <c r="AA26" s="1807">
        <v>1</v>
      </c>
      <c r="AB26" s="1807">
        <v>1</v>
      </c>
      <c r="AC26" s="1807">
        <v>1</v>
      </c>
    </row>
    <row r="27" spans="1:29" s="117" customFormat="1" ht="42.75">
      <c r="A27" s="647"/>
      <c r="B27" s="1381" t="s">
        <v>2648</v>
      </c>
      <c r="C27" s="2601"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74"/>
      <c r="Q27" s="1791" t="str">
        <f t="shared" si="8"/>
        <v>公共配套设施</v>
      </c>
      <c r="R27" s="767" t="s">
        <v>17</v>
      </c>
      <c r="S27" s="768">
        <f>F27</f>
        <v>98</v>
      </c>
      <c r="T27" s="767" t="s">
        <v>17</v>
      </c>
      <c r="U27" s="768">
        <f>H27</f>
        <v>98</v>
      </c>
      <c r="V27" s="767" t="s">
        <v>17</v>
      </c>
      <c r="W27" s="768">
        <f>J27</f>
        <v>98</v>
      </c>
      <c r="X27" s="769"/>
      <c r="Y27" s="3274"/>
      <c r="Z27" s="55" t="str">
        <f>Q27</f>
        <v>公共配套设施</v>
      </c>
      <c r="AA27" s="1807">
        <f>D27/F27</f>
        <v>1.0204081632653061</v>
      </c>
      <c r="AB27" s="1807">
        <f>D27/H27</f>
        <v>1.0204081632653061</v>
      </c>
      <c r="AC27" s="1807">
        <f>D27/J27</f>
        <v>1.0204081632653061</v>
      </c>
    </row>
    <row r="28" spans="1:29" s="117" customFormat="1" ht="15">
      <c r="A28" s="647"/>
      <c r="B28" s="454"/>
      <c r="C28" s="2602" t="s">
        <v>3068</v>
      </c>
      <c r="D28" s="446"/>
      <c r="E28" s="2602" t="s">
        <v>3080</v>
      </c>
      <c r="F28" s="446"/>
      <c r="G28" s="2602" t="s">
        <v>3080</v>
      </c>
      <c r="H28" s="446"/>
      <c r="I28" s="2602" t="s">
        <v>3080</v>
      </c>
      <c r="J28" s="446"/>
      <c r="K28" s="670"/>
      <c r="L28" s="1129"/>
      <c r="M28" s="1130"/>
      <c r="N28" s="1130"/>
      <c r="O28" s="1131"/>
      <c r="P28" s="3274"/>
      <c r="Q28" s="1791"/>
      <c r="R28" s="767"/>
      <c r="S28" s="768"/>
      <c r="T28" s="767"/>
      <c r="U28" s="768"/>
      <c r="V28" s="767"/>
      <c r="W28" s="768"/>
      <c r="X28" s="769"/>
      <c r="Y28" s="3274"/>
      <c r="Z28" s="55"/>
      <c r="AA28" s="1807">
        <v>1</v>
      </c>
      <c r="AB28" s="1807">
        <v>1</v>
      </c>
      <c r="AC28" s="1807">
        <v>1</v>
      </c>
    </row>
    <row r="29" spans="1:29" s="117" customFormat="1" ht="28.5">
      <c r="A29" s="647"/>
      <c r="B29" s="1381" t="s">
        <v>2649</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74"/>
      <c r="Q29" s="1791" t="str">
        <f t="shared" ref="Q29" si="9">B29</f>
        <v>基础设施水平</v>
      </c>
      <c r="R29" s="767" t="s">
        <v>17</v>
      </c>
      <c r="S29" s="768">
        <f>F29</f>
        <v>100</v>
      </c>
      <c r="T29" s="767" t="s">
        <v>17</v>
      </c>
      <c r="U29" s="768">
        <f>H29</f>
        <v>100</v>
      </c>
      <c r="V29" s="767" t="s">
        <v>17</v>
      </c>
      <c r="W29" s="768">
        <f>J29</f>
        <v>100</v>
      </c>
      <c r="X29" s="769"/>
      <c r="Y29" s="3274"/>
      <c r="Z29" s="55" t="str">
        <f>Q29</f>
        <v>基础设施水平</v>
      </c>
      <c r="AA29" s="1807">
        <f>D29/F29</f>
        <v>1</v>
      </c>
      <c r="AB29" s="1807">
        <f>D29/H29</f>
        <v>1</v>
      </c>
      <c r="AC29" s="1807">
        <f>D29/J29</f>
        <v>1</v>
      </c>
    </row>
    <row r="30" spans="1:29" s="117" customFormat="1" ht="15">
      <c r="A30" s="647"/>
      <c r="B30" s="454"/>
      <c r="C30" s="2694" t="s">
        <v>3277</v>
      </c>
      <c r="D30" s="446"/>
      <c r="E30" s="2694" t="s">
        <v>3277</v>
      </c>
      <c r="F30" s="446"/>
      <c r="G30" s="2694" t="s">
        <v>3277</v>
      </c>
      <c r="H30" s="446"/>
      <c r="I30" s="2694" t="s">
        <v>3277</v>
      </c>
      <c r="J30" s="446"/>
      <c r="K30" s="670"/>
      <c r="L30" s="1129"/>
      <c r="M30" s="1130"/>
      <c r="N30" s="1130"/>
      <c r="O30" s="1131"/>
      <c r="P30" s="3274"/>
      <c r="Q30" s="1791"/>
      <c r="R30" s="767"/>
      <c r="S30" s="768"/>
      <c r="T30" s="767"/>
      <c r="U30" s="768"/>
      <c r="V30" s="767"/>
      <c r="W30" s="768"/>
      <c r="X30" s="769"/>
      <c r="Y30" s="3274"/>
      <c r="Z30" s="55"/>
      <c r="AA30" s="1807">
        <v>1</v>
      </c>
      <c r="AB30" s="1807">
        <v>1</v>
      </c>
      <c r="AC30" s="1807">
        <v>1</v>
      </c>
    </row>
    <row r="31" spans="1:29" ht="15">
      <c r="A31" s="426"/>
      <c r="B31" s="454" t="s">
        <v>2650</v>
      </c>
      <c r="C31" s="614" t="s">
        <v>3345</v>
      </c>
      <c r="D31" s="433">
        <v>100</v>
      </c>
      <c r="E31" s="632" t="s">
        <v>3345</v>
      </c>
      <c r="F31" s="433">
        <f>SUMIF(104:104,E31,105:105)-SUMIF(104:104,C31,105:105)+100</f>
        <v>100</v>
      </c>
      <c r="G31" s="632" t="s">
        <v>3345</v>
      </c>
      <c r="H31" s="433">
        <f>SUMIF(104:104,G31,105:105)-SUMIF(104:104,C31,105:105)+100</f>
        <v>100</v>
      </c>
      <c r="I31" s="632" t="s">
        <v>3295</v>
      </c>
      <c r="J31" s="433">
        <f>SUMIF(104:104,I31,105:105)-SUMIF(104:104,C31,105:105)+100</f>
        <v>96</v>
      </c>
      <c r="K31" s="671">
        <v>2</v>
      </c>
      <c r="L31" s="1137"/>
      <c r="M31" s="1128"/>
      <c r="N31" s="1128"/>
      <c r="O31" s="1136"/>
      <c r="P31" s="3274"/>
      <c r="Q31" s="1806" t="str">
        <f t="shared" si="8"/>
        <v>临街状况</v>
      </c>
      <c r="R31" s="771" t="s">
        <v>17</v>
      </c>
      <c r="S31" s="772">
        <f t="shared" ref="S31:S45" si="10">F31</f>
        <v>100</v>
      </c>
      <c r="T31" s="771" t="s">
        <v>17</v>
      </c>
      <c r="U31" s="772">
        <f t="shared" ref="U31:U45" si="11">H31</f>
        <v>100</v>
      </c>
      <c r="V31" s="771" t="s">
        <v>17</v>
      </c>
      <c r="W31" s="772">
        <f t="shared" ref="W31:W45" si="12">J31</f>
        <v>96</v>
      </c>
      <c r="X31" s="1809"/>
      <c r="Y31" s="3274"/>
      <c r="Z31" s="1810" t="str">
        <f t="shared" ref="Z31:Z45" si="13">Q31</f>
        <v>临街状况</v>
      </c>
      <c r="AA31" s="1807">
        <f t="shared" si="3"/>
        <v>1</v>
      </c>
      <c r="AB31" s="1807">
        <f t="shared" si="4"/>
        <v>1</v>
      </c>
      <c r="AC31" s="1807">
        <f t="shared" si="5"/>
        <v>1.0416666666666667</v>
      </c>
    </row>
    <row r="32" spans="1:29" ht="27">
      <c r="A32" s="426"/>
      <c r="B32" s="1381" t="s">
        <v>2685</v>
      </c>
      <c r="C32" s="3006" t="s">
        <v>3378</v>
      </c>
      <c r="D32" s="448">
        <v>100</v>
      </c>
      <c r="E32" s="3002" t="s">
        <v>3347</v>
      </c>
      <c r="F32" s="448">
        <f>SUMIF(106:106,E33,107:107)-SUMIF(106:106,C33,107:107)+100</f>
        <v>100</v>
      </c>
      <c r="G32" s="3002" t="s">
        <v>3348</v>
      </c>
      <c r="H32" s="448">
        <f>SUMIF(106:106,G33,107:107)-SUMIF(106:106,C33,107:107)+100</f>
        <v>98</v>
      </c>
      <c r="I32" s="3001" t="s">
        <v>3349</v>
      </c>
      <c r="J32" s="448">
        <f>SUMIF(106:106,I33,107:107)-SUMIF(106:106,C33,107:107)+100</f>
        <v>100</v>
      </c>
      <c r="K32" s="671">
        <v>2</v>
      </c>
      <c r="L32" s="1137"/>
      <c r="M32" s="1128"/>
      <c r="N32" s="1128"/>
      <c r="O32" s="1136"/>
      <c r="P32" s="3274"/>
      <c r="Q32" s="1806" t="str">
        <f t="shared" si="8"/>
        <v>毗邻道路的类型与等级</v>
      </c>
      <c r="R32" s="771" t="s">
        <v>17</v>
      </c>
      <c r="S32" s="772">
        <f t="shared" si="10"/>
        <v>100</v>
      </c>
      <c r="T32" s="771" t="s">
        <v>17</v>
      </c>
      <c r="U32" s="772">
        <f t="shared" si="11"/>
        <v>98</v>
      </c>
      <c r="V32" s="771" t="s">
        <v>17</v>
      </c>
      <c r="W32" s="772">
        <f t="shared" si="12"/>
        <v>100</v>
      </c>
      <c r="X32" s="1809"/>
      <c r="Y32" s="3274"/>
      <c r="Z32" s="1810" t="str">
        <f t="shared" si="13"/>
        <v>毗邻道路的类型与等级</v>
      </c>
      <c r="AA32" s="1807">
        <f t="shared" si="3"/>
        <v>1</v>
      </c>
      <c r="AB32" s="1807">
        <f t="shared" si="4"/>
        <v>1.0204081632653061</v>
      </c>
      <c r="AC32" s="1807">
        <f t="shared" si="5"/>
        <v>1</v>
      </c>
    </row>
    <row r="33" spans="1:29" ht="15.75" thickBot="1">
      <c r="A33" s="426"/>
      <c r="B33" s="454"/>
      <c r="C33" s="445" t="s">
        <v>3351</v>
      </c>
      <c r="D33" s="446"/>
      <c r="E33" s="2605" t="s">
        <v>3351</v>
      </c>
      <c r="F33" s="446"/>
      <c r="G33" s="2605" t="s">
        <v>3350</v>
      </c>
      <c r="H33" s="446"/>
      <c r="I33" s="445" t="s">
        <v>3351</v>
      </c>
      <c r="J33" s="446"/>
      <c r="K33" s="611"/>
      <c r="L33" s="1137"/>
      <c r="M33" s="1128"/>
      <c r="N33" s="1128"/>
      <c r="O33" s="1136"/>
      <c r="P33" s="3274"/>
      <c r="Q33" s="1806"/>
      <c r="R33" s="771"/>
      <c r="S33" s="772"/>
      <c r="T33" s="771"/>
      <c r="U33" s="772"/>
      <c r="V33" s="771"/>
      <c r="W33" s="772"/>
      <c r="X33" s="1809"/>
      <c r="Y33" s="3274"/>
      <c r="Z33" s="1810"/>
      <c r="AA33" s="1807">
        <v>1</v>
      </c>
      <c r="AB33" s="1807">
        <v>1</v>
      </c>
      <c r="AC33" s="1807">
        <v>1</v>
      </c>
    </row>
    <row r="34" spans="1:29" ht="15" hidden="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74"/>
      <c r="Q34" s="1806" t="str">
        <f t="shared" si="8"/>
        <v>土地级别</v>
      </c>
      <c r="R34" s="771" t="s">
        <v>17</v>
      </c>
      <c r="S34" s="772">
        <f t="shared" si="10"/>
        <v>100</v>
      </c>
      <c r="T34" s="771" t="s">
        <v>17</v>
      </c>
      <c r="U34" s="772">
        <f t="shared" si="11"/>
        <v>100</v>
      </c>
      <c r="V34" s="771" t="s">
        <v>17</v>
      </c>
      <c r="W34" s="772">
        <f t="shared" si="12"/>
        <v>100</v>
      </c>
      <c r="X34" s="1809"/>
      <c r="Y34" s="3274"/>
      <c r="Z34" s="1810" t="str">
        <f t="shared" si="13"/>
        <v>土地级别</v>
      </c>
      <c r="AA34" s="1807">
        <f t="shared" si="3"/>
        <v>1</v>
      </c>
      <c r="AB34" s="1807">
        <f t="shared" si="4"/>
        <v>1</v>
      </c>
      <c r="AC34" s="1807">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74"/>
      <c r="Q35" s="1806">
        <f t="shared" si="8"/>
        <v>111</v>
      </c>
      <c r="R35" s="771" t="s">
        <v>17</v>
      </c>
      <c r="S35" s="772">
        <f t="shared" si="10"/>
        <v>100</v>
      </c>
      <c r="T35" s="771" t="s">
        <v>17</v>
      </c>
      <c r="U35" s="772">
        <f t="shared" si="11"/>
        <v>100</v>
      </c>
      <c r="V35" s="771" t="s">
        <v>17</v>
      </c>
      <c r="W35" s="772">
        <f t="shared" si="12"/>
        <v>100</v>
      </c>
      <c r="X35" s="1809"/>
      <c r="Y35" s="3274"/>
      <c r="Z35" s="1810">
        <f t="shared" si="13"/>
        <v>111</v>
      </c>
      <c r="AA35" s="1807">
        <f t="shared" si="3"/>
        <v>1</v>
      </c>
      <c r="AB35" s="1807">
        <f t="shared" si="4"/>
        <v>1</v>
      </c>
      <c r="AC35" s="1807">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5" t="s">
        <v>2559</v>
      </c>
      <c r="Q36" s="1806">
        <f t="shared" si="8"/>
        <v>111</v>
      </c>
      <c r="R36" s="771" t="s">
        <v>17</v>
      </c>
      <c r="S36" s="772">
        <f t="shared" si="10"/>
        <v>100</v>
      </c>
      <c r="T36" s="771" t="s">
        <v>17</v>
      </c>
      <c r="U36" s="772">
        <f t="shared" si="11"/>
        <v>100</v>
      </c>
      <c r="V36" s="771" t="s">
        <v>17</v>
      </c>
      <c r="W36" s="772">
        <f t="shared" si="12"/>
        <v>100</v>
      </c>
      <c r="X36" s="1809"/>
      <c r="Y36" s="3276" t="s">
        <v>2559</v>
      </c>
      <c r="Z36" s="1810">
        <f t="shared" si="13"/>
        <v>111</v>
      </c>
      <c r="AA36" s="1807">
        <f t="shared" si="3"/>
        <v>1</v>
      </c>
      <c r="AB36" s="1807">
        <f t="shared" si="4"/>
        <v>1</v>
      </c>
      <c r="AC36" s="1807">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76"/>
      <c r="Q37" s="1806">
        <f t="shared" si="8"/>
        <v>111</v>
      </c>
      <c r="R37" s="774" t="s">
        <v>17</v>
      </c>
      <c r="S37" s="775">
        <f t="shared" si="10"/>
        <v>100</v>
      </c>
      <c r="T37" s="774" t="s">
        <v>17</v>
      </c>
      <c r="U37" s="775">
        <f t="shared" si="11"/>
        <v>100</v>
      </c>
      <c r="V37" s="774" t="s">
        <v>17</v>
      </c>
      <c r="W37" s="775">
        <f t="shared" si="12"/>
        <v>100</v>
      </c>
      <c r="X37" s="776"/>
      <c r="Y37" s="3276"/>
      <c r="Z37" s="777">
        <f t="shared" si="13"/>
        <v>111</v>
      </c>
      <c r="AA37" s="1807">
        <f t="shared" si="3"/>
        <v>1</v>
      </c>
      <c r="AB37" s="1807">
        <f t="shared" si="4"/>
        <v>1</v>
      </c>
      <c r="AC37" s="1807">
        <f t="shared" si="5"/>
        <v>1</v>
      </c>
    </row>
    <row r="38" spans="1:29" ht="15">
      <c r="A38" s="470" t="s">
        <v>2557</v>
      </c>
      <c r="B38" s="454" t="s">
        <v>2744</v>
      </c>
      <c r="C38" s="3007">
        <f>'数据-汇总表'!D31</f>
        <v>25666.100000000002</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76"/>
      <c r="Q38" s="1806" t="str">
        <f>B38</f>
        <v>宗地面积</v>
      </c>
      <c r="R38" s="771" t="s">
        <v>17</v>
      </c>
      <c r="S38" s="772">
        <f t="shared" si="10"/>
        <v>102</v>
      </c>
      <c r="T38" s="771" t="s">
        <v>17</v>
      </c>
      <c r="U38" s="772">
        <f t="shared" si="11"/>
        <v>100</v>
      </c>
      <c r="V38" s="771" t="s">
        <v>17</v>
      </c>
      <c r="W38" s="772">
        <f t="shared" si="12"/>
        <v>100</v>
      </c>
      <c r="X38" s="1809"/>
      <c r="Y38" s="3276"/>
      <c r="Z38" s="1810" t="str">
        <f t="shared" si="13"/>
        <v>宗地面积</v>
      </c>
      <c r="AA38" s="1807">
        <f t="shared" si="3"/>
        <v>0.98039215686274506</v>
      </c>
      <c r="AB38" s="1807">
        <f t="shared" si="4"/>
        <v>1</v>
      </c>
      <c r="AC38" s="1807">
        <f t="shared" si="5"/>
        <v>1</v>
      </c>
    </row>
    <row r="39" spans="1:29" ht="15">
      <c r="A39" s="470"/>
      <c r="B39" s="420" t="s">
        <v>2745</v>
      </c>
      <c r="C39" s="3008" t="s">
        <v>3377</v>
      </c>
      <c r="D39" s="433">
        <v>100</v>
      </c>
      <c r="E39" s="2607" t="s">
        <v>3377</v>
      </c>
      <c r="F39" s="433">
        <f>SUMIF(119:119,E39,120:120)-SUMIF(119:119,C39,120:120)+100</f>
        <v>100</v>
      </c>
      <c r="G39" s="2607" t="s">
        <v>3344</v>
      </c>
      <c r="H39" s="433">
        <f>SUMIF(119:119,G39,120:120)-SUMIF(119:119,C39,120:120)+100</f>
        <v>102</v>
      </c>
      <c r="I39" s="2607" t="s">
        <v>3344</v>
      </c>
      <c r="J39" s="433">
        <f>SUMIF(119:119,I39,120:120)-SUMIF(119:119,C39,120:120)+100</f>
        <v>102</v>
      </c>
      <c r="K39" s="610">
        <v>2</v>
      </c>
      <c r="L39" s="1137"/>
      <c r="M39" s="1128"/>
      <c r="N39" s="1128"/>
      <c r="O39" s="1136"/>
      <c r="P39" s="3276"/>
      <c r="Q39" s="1806" t="str">
        <f t="shared" ref="Q39:Q45" si="14">B39</f>
        <v>宗地形状</v>
      </c>
      <c r="R39" s="771" t="s">
        <v>17</v>
      </c>
      <c r="S39" s="772">
        <f t="shared" si="10"/>
        <v>100</v>
      </c>
      <c r="T39" s="771" t="s">
        <v>17</v>
      </c>
      <c r="U39" s="772">
        <f t="shared" si="11"/>
        <v>102</v>
      </c>
      <c r="V39" s="771" t="s">
        <v>17</v>
      </c>
      <c r="W39" s="772">
        <f t="shared" si="12"/>
        <v>102</v>
      </c>
      <c r="X39" s="1809"/>
      <c r="Y39" s="3276"/>
      <c r="Z39" s="1810" t="str">
        <f t="shared" si="13"/>
        <v>宗地形状</v>
      </c>
      <c r="AA39" s="1807">
        <f t="shared" si="3"/>
        <v>1</v>
      </c>
      <c r="AB39" s="1807">
        <f t="shared" si="4"/>
        <v>0.98039215686274506</v>
      </c>
      <c r="AC39" s="1807">
        <f t="shared" si="5"/>
        <v>0.98039215686274506</v>
      </c>
    </row>
    <row r="40" spans="1:29" ht="15">
      <c r="A40" s="470"/>
      <c r="B40" s="420" t="s">
        <v>2746</v>
      </c>
      <c r="C40" s="2607" t="s">
        <v>3275</v>
      </c>
      <c r="D40" s="433">
        <v>100</v>
      </c>
      <c r="E40" s="2607" t="s">
        <v>3275</v>
      </c>
      <c r="F40" s="433">
        <f>SUMIF(121:121,E40,122:122)-SUMIF(121:121,C40,122:122)+100</f>
        <v>100</v>
      </c>
      <c r="G40" s="2607" t="s">
        <v>3275</v>
      </c>
      <c r="H40" s="433">
        <f>SUMIF(121:121,G40,122:122)-SUMIF(121:121,C40,122:122)+100</f>
        <v>100</v>
      </c>
      <c r="I40" s="2607" t="s">
        <v>3275</v>
      </c>
      <c r="J40" s="433">
        <f>SUMIF(121:121,I40,122:122)-SUMIF(121:121,C40,122:122)+100</f>
        <v>100</v>
      </c>
      <c r="K40" s="610">
        <v>2</v>
      </c>
      <c r="L40" s="1137"/>
      <c r="M40" s="1128"/>
      <c r="N40" s="1128"/>
      <c r="O40" s="1136"/>
      <c r="P40" s="3276"/>
      <c r="Q40" s="1806" t="str">
        <f t="shared" si="14"/>
        <v>临街宽度及深度</v>
      </c>
      <c r="R40" s="771" t="s">
        <v>17</v>
      </c>
      <c r="S40" s="772">
        <f t="shared" si="10"/>
        <v>100</v>
      </c>
      <c r="T40" s="771" t="s">
        <v>17</v>
      </c>
      <c r="U40" s="772">
        <f t="shared" si="11"/>
        <v>100</v>
      </c>
      <c r="V40" s="771" t="s">
        <v>17</v>
      </c>
      <c r="W40" s="772">
        <f t="shared" si="12"/>
        <v>100</v>
      </c>
      <c r="X40" s="1809"/>
      <c r="Y40" s="3276"/>
      <c r="Z40" s="1810" t="str">
        <f t="shared" si="13"/>
        <v>临街宽度及深度</v>
      </c>
      <c r="AA40" s="1807">
        <f t="shared" si="3"/>
        <v>1</v>
      </c>
      <c r="AB40" s="1807">
        <f t="shared" si="4"/>
        <v>1</v>
      </c>
      <c r="AC40" s="1807">
        <f t="shared" si="5"/>
        <v>1</v>
      </c>
    </row>
    <row r="41" spans="1:29" s="117" customFormat="1" ht="15">
      <c r="A41" s="471"/>
      <c r="B41" s="420" t="s">
        <v>2747</v>
      </c>
      <c r="C41" s="2696" t="s">
        <v>3277</v>
      </c>
      <c r="D41" s="134">
        <v>100</v>
      </c>
      <c r="E41" s="2696" t="s">
        <v>3277</v>
      </c>
      <c r="F41" s="433">
        <f>SUMIF(123:123,E41,124:124)-SUMIF(123:123,C41,124:124)+100</f>
        <v>100</v>
      </c>
      <c r="G41" s="2696" t="s">
        <v>3277</v>
      </c>
      <c r="H41" s="433">
        <f>SUMIF(123:123,G41,124:124)-SUMIF(123:123,C41,124:124)+100</f>
        <v>100</v>
      </c>
      <c r="I41" s="2696" t="s">
        <v>3282</v>
      </c>
      <c r="J41" s="433">
        <f>SUMIF(123:123,I41,124:124)-SUMIF(123:123,C41,124:124)+100</f>
        <v>96</v>
      </c>
      <c r="K41" s="610">
        <v>1</v>
      </c>
      <c r="L41" s="1129"/>
      <c r="M41" s="1130"/>
      <c r="N41" s="1130"/>
      <c r="O41" s="1131"/>
      <c r="P41" s="3276"/>
      <c r="Q41" s="1806" t="str">
        <f t="shared" si="14"/>
        <v>宗地开发程度</v>
      </c>
      <c r="R41" s="767" t="s">
        <v>17</v>
      </c>
      <c r="S41" s="768">
        <f t="shared" si="10"/>
        <v>100</v>
      </c>
      <c r="T41" s="767" t="s">
        <v>17</v>
      </c>
      <c r="U41" s="768">
        <f t="shared" si="11"/>
        <v>100</v>
      </c>
      <c r="V41" s="767" t="s">
        <v>17</v>
      </c>
      <c r="W41" s="768">
        <f t="shared" si="12"/>
        <v>96</v>
      </c>
      <c r="X41" s="769"/>
      <c r="Y41" s="3276"/>
      <c r="Z41" s="55" t="str">
        <f t="shared" si="13"/>
        <v>宗地开发程度</v>
      </c>
      <c r="AA41" s="770">
        <f t="shared" si="3"/>
        <v>1</v>
      </c>
      <c r="AB41" s="770">
        <f t="shared" si="4"/>
        <v>1</v>
      </c>
      <c r="AC41" s="770">
        <f t="shared" si="5"/>
        <v>1.0416666666666667</v>
      </c>
    </row>
    <row r="42" spans="1:29" ht="15.75" thickBot="1">
      <c r="A42" s="470"/>
      <c r="B42" s="420" t="s">
        <v>2748</v>
      </c>
      <c r="C42" s="2607" t="s">
        <v>3068</v>
      </c>
      <c r="D42" s="433">
        <v>100</v>
      </c>
      <c r="E42" s="2607" t="s">
        <v>3068</v>
      </c>
      <c r="F42" s="433">
        <f>SUMIF(125:125,E42,126:126)-SUMIF(125:125,C42,126:126)+100</f>
        <v>100</v>
      </c>
      <c r="G42" s="2607" t="s">
        <v>3068</v>
      </c>
      <c r="H42" s="433">
        <f>SUMIF(125:125,G42,126:126)-SUMIF(125:125,C42,126:126)+100</f>
        <v>100</v>
      </c>
      <c r="I42" s="2607" t="s">
        <v>3068</v>
      </c>
      <c r="J42" s="433">
        <f>SUMIF(125:125,I42,126:126)-SUMIF(125:125,C42,126:126)+100</f>
        <v>100</v>
      </c>
      <c r="K42" s="610">
        <v>1</v>
      </c>
      <c r="L42" s="1137"/>
      <c r="M42" s="1128"/>
      <c r="N42" s="1128"/>
      <c r="O42" s="1136"/>
      <c r="P42" s="3276" t="s">
        <v>2559</v>
      </c>
      <c r="Q42" s="1806" t="str">
        <f t="shared" si="14"/>
        <v>工程地质条件</v>
      </c>
      <c r="R42" s="771" t="s">
        <v>17</v>
      </c>
      <c r="S42" s="772">
        <f t="shared" si="10"/>
        <v>100</v>
      </c>
      <c r="T42" s="771" t="s">
        <v>17</v>
      </c>
      <c r="U42" s="772">
        <f t="shared" si="11"/>
        <v>100</v>
      </c>
      <c r="V42" s="771" t="s">
        <v>17</v>
      </c>
      <c r="W42" s="772">
        <f t="shared" si="12"/>
        <v>100</v>
      </c>
      <c r="X42" s="1809"/>
      <c r="Y42" s="3276" t="s">
        <v>2559</v>
      </c>
      <c r="Z42" s="1810" t="str">
        <f t="shared" si="13"/>
        <v>工程地质条件</v>
      </c>
      <c r="AA42" s="1807">
        <f t="shared" si="3"/>
        <v>1</v>
      </c>
      <c r="AB42" s="1807">
        <f t="shared" si="4"/>
        <v>1</v>
      </c>
      <c r="AC42" s="1807">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76"/>
      <c r="Q43" s="1806">
        <f t="shared" si="14"/>
        <v>111</v>
      </c>
      <c r="R43" s="771" t="s">
        <v>17</v>
      </c>
      <c r="S43" s="772">
        <f t="shared" si="10"/>
        <v>100</v>
      </c>
      <c r="T43" s="771" t="s">
        <v>17</v>
      </c>
      <c r="U43" s="772">
        <f t="shared" si="11"/>
        <v>100</v>
      </c>
      <c r="V43" s="771" t="s">
        <v>17</v>
      </c>
      <c r="W43" s="772">
        <f t="shared" si="12"/>
        <v>100</v>
      </c>
      <c r="X43" s="1809"/>
      <c r="Y43" s="3276"/>
      <c r="Z43" s="1810">
        <f t="shared" si="13"/>
        <v>111</v>
      </c>
      <c r="AA43" s="1807">
        <f t="shared" si="3"/>
        <v>1</v>
      </c>
      <c r="AB43" s="1807">
        <f t="shared" si="4"/>
        <v>1</v>
      </c>
      <c r="AC43" s="1807">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76"/>
      <c r="Q44" s="1806">
        <f t="shared" si="14"/>
        <v>111</v>
      </c>
      <c r="R44" s="771" t="s">
        <v>17</v>
      </c>
      <c r="S44" s="772">
        <f t="shared" si="10"/>
        <v>100</v>
      </c>
      <c r="T44" s="771" t="s">
        <v>17</v>
      </c>
      <c r="U44" s="772">
        <f t="shared" si="11"/>
        <v>100</v>
      </c>
      <c r="V44" s="771" t="s">
        <v>17</v>
      </c>
      <c r="W44" s="772">
        <f t="shared" si="12"/>
        <v>100</v>
      </c>
      <c r="X44" s="1809"/>
      <c r="Y44" s="3276"/>
      <c r="Z44" s="1810">
        <f t="shared" si="13"/>
        <v>111</v>
      </c>
      <c r="AA44" s="1807">
        <f t="shared" si="3"/>
        <v>1</v>
      </c>
      <c r="AB44" s="1807">
        <f t="shared" si="4"/>
        <v>1</v>
      </c>
      <c r="AC44" s="1807">
        <f t="shared" si="5"/>
        <v>1</v>
      </c>
    </row>
    <row r="45" spans="1:29" s="469" customFormat="1" ht="15.75" hidden="1" thickBot="1">
      <c r="A45" s="466"/>
      <c r="B45" s="1384">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76"/>
      <c r="Q45" s="1806">
        <f t="shared" si="14"/>
        <v>111</v>
      </c>
      <c r="R45" s="774" t="s">
        <v>17</v>
      </c>
      <c r="S45" s="775">
        <f t="shared" si="10"/>
        <v>100</v>
      </c>
      <c r="T45" s="774" t="s">
        <v>17</v>
      </c>
      <c r="U45" s="775">
        <f t="shared" si="11"/>
        <v>100</v>
      </c>
      <c r="V45" s="774" t="s">
        <v>17</v>
      </c>
      <c r="W45" s="775">
        <f t="shared" si="12"/>
        <v>100</v>
      </c>
      <c r="X45" s="776"/>
      <c r="Y45" s="3276"/>
      <c r="Z45" s="777">
        <f t="shared" si="13"/>
        <v>111</v>
      </c>
      <c r="AA45" s="1807">
        <f t="shared" si="3"/>
        <v>1</v>
      </c>
      <c r="AB45" s="1807">
        <f t="shared" si="4"/>
        <v>1</v>
      </c>
      <c r="AC45" s="1807">
        <f t="shared" si="5"/>
        <v>1</v>
      </c>
    </row>
    <row r="46" spans="1:29" ht="15">
      <c r="A46" s="477" t="s">
        <v>2714</v>
      </c>
      <c r="B46" s="2698" t="s">
        <v>2749</v>
      </c>
      <c r="C46" s="680" t="s">
        <v>1</v>
      </c>
      <c r="D46" s="479"/>
      <c r="E46" s="480">
        <v>14580</v>
      </c>
      <c r="F46" s="481"/>
      <c r="G46" s="482">
        <v>14529</v>
      </c>
      <c r="H46" s="483"/>
      <c r="I46" s="480">
        <v>13619</v>
      </c>
      <c r="J46" s="483"/>
      <c r="K46" s="780"/>
      <c r="L46" s="1140"/>
      <c r="M46" s="1141"/>
      <c r="N46" s="1128"/>
      <c r="O46" s="1141"/>
      <c r="P46" s="3258" t="str">
        <f>A46</f>
        <v>成交单价</v>
      </c>
      <c r="Q46" s="3258"/>
      <c r="R46" s="3271">
        <f>E46</f>
        <v>14580</v>
      </c>
      <c r="S46" s="3271"/>
      <c r="T46" s="3271">
        <f>G46</f>
        <v>14529</v>
      </c>
      <c r="U46" s="3271"/>
      <c r="V46" s="3271">
        <f>I46</f>
        <v>13619</v>
      </c>
      <c r="W46" s="3271"/>
      <c r="X46" s="756"/>
      <c r="Y46" s="778"/>
      <c r="Z46" s="756"/>
      <c r="AA46" s="756"/>
      <c r="AB46" s="756"/>
      <c r="AC46" s="756"/>
    </row>
    <row r="47" spans="1:29" ht="15.75" thickBot="1">
      <c r="A47" s="484" t="s">
        <v>2663</v>
      </c>
      <c r="B47" s="681"/>
      <c r="C47" s="488">
        <f>R48</f>
        <v>14956</v>
      </c>
      <c r="D47" s="487"/>
      <c r="E47" s="488">
        <f>R47</f>
        <v>14077</v>
      </c>
      <c r="F47" s="489"/>
      <c r="G47" s="486">
        <f>T47</f>
        <v>14944</v>
      </c>
      <c r="H47" s="487"/>
      <c r="I47" s="488">
        <f>V47</f>
        <v>15848</v>
      </c>
      <c r="J47" s="487"/>
      <c r="K47" s="781"/>
      <c r="L47" s="1140"/>
      <c r="M47" s="1141"/>
      <c r="N47" s="1141"/>
      <c r="O47" s="1141"/>
      <c r="P47" s="3258" t="str">
        <f>A47</f>
        <v>比较价值（元/平方米）</v>
      </c>
      <c r="Q47" s="3258"/>
      <c r="R47" s="3277">
        <f>ROUND(PRODUCT(R46,AA7:AA45),0)</f>
        <v>14077</v>
      </c>
      <c r="S47" s="3277"/>
      <c r="T47" s="3277">
        <f>ROUND(PRODUCT(T46,AB7:AB45),0)</f>
        <v>14944</v>
      </c>
      <c r="U47" s="3277"/>
      <c r="V47" s="3277">
        <f>ROUND(PRODUCT(V46,AC7:AC45),0)</f>
        <v>15848</v>
      </c>
      <c r="W47" s="3277"/>
      <c r="X47" s="756"/>
      <c r="Y47" s="756"/>
      <c r="Z47" s="756"/>
      <c r="AA47" s="756"/>
      <c r="AB47" s="756"/>
      <c r="AC47" s="756"/>
    </row>
    <row r="48" spans="1:29" ht="15.75" thickBot="1">
      <c r="A48" s="490" t="s">
        <v>2750</v>
      </c>
      <c r="B48" s="491"/>
      <c r="C48" s="492">
        <f>R48</f>
        <v>14956</v>
      </c>
      <c r="D48" s="492"/>
      <c r="E48" s="492"/>
      <c r="F48" s="492"/>
      <c r="G48" s="492"/>
      <c r="H48" s="492"/>
      <c r="I48" s="492"/>
      <c r="J48" s="492"/>
      <c r="K48" s="782"/>
      <c r="L48" s="1140"/>
      <c r="M48" s="1141"/>
      <c r="N48" s="1141"/>
      <c r="O48" s="1141"/>
      <c r="P48" s="3278" t="str">
        <f>A48</f>
        <v>估价对象XX用房的比较价值（楼面单价，元/平方米）</v>
      </c>
      <c r="Q48" s="3279"/>
      <c r="R48" s="3280">
        <f>ROUND(AVERAGE(R47:V47),0)</f>
        <v>14956</v>
      </c>
      <c r="S48" s="3280"/>
      <c r="T48" s="3280"/>
      <c r="U48" s="3280"/>
      <c r="V48" s="3280"/>
      <c r="W48" s="3280"/>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3.5732045180080885E-2</v>
      </c>
      <c r="F51" s="498" t="str">
        <f>IF(OR(E51&gt;=0.3,E51&lt;=-0.3),"超过30%","")</f>
        <v/>
      </c>
      <c r="G51" s="497">
        <f>IF(G46&lt;G47,G47/G46-1,G46/G47-1)</f>
        <v>2.8563562530112163E-2</v>
      </c>
      <c r="H51" s="498" t="str">
        <f>IF(OR(G51&gt;=0.3,G51&lt;=-0.3),"超过30%","")</f>
        <v/>
      </c>
      <c r="I51" s="497">
        <f>IF(I46&lt;I47,I47/I46-1,I46/I47-1)</f>
        <v>0.16366840443498054</v>
      </c>
      <c r="J51" s="498" t="str">
        <f>IF(OR(I51&gt;=0.3,I51&lt;=-0.3),"超过30%","")</f>
        <v/>
      </c>
      <c r="K51" s="1102"/>
      <c r="L51" s="1103"/>
      <c r="M51" s="1141"/>
      <c r="N51" s="1141"/>
      <c r="O51" s="1141"/>
    </row>
    <row r="52" spans="1:15" ht="13.5" customHeight="1">
      <c r="A52" s="1141"/>
      <c r="B52" s="1141"/>
      <c r="C52" s="495" t="s">
        <v>2666</v>
      </c>
      <c r="D52" s="499"/>
      <c r="E52" s="497">
        <f>IF(E47&lt;G47,G47/E47-1,E47/G47-1)</f>
        <v>6.1589827377992457E-2</v>
      </c>
      <c r="F52" s="498" t="str">
        <f>IF(OR(E52&gt;=0.2,E52&lt;=-0.2),"超过20%","")</f>
        <v/>
      </c>
      <c r="G52" s="497">
        <f>IF(G47&lt;I47,I47/G47-1,G47/I47-1)</f>
        <v>6.0492505353318959E-2</v>
      </c>
      <c r="H52" s="498" t="str">
        <f>IF(OR(G52&gt;=0.2,G52&lt;=-0.2),"超过20%","")</f>
        <v/>
      </c>
      <c r="I52" s="497">
        <f>IF(I47&lt;E47,E47/I47-1,I47/E47-1)</f>
        <v>0.12580805569368469</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2751</v>
      </c>
      <c r="B55" s="683" t="s">
        <v>2752</v>
      </c>
      <c r="C55" s="2699" t="s">
        <v>2753</v>
      </c>
      <c r="D55" s="2700" t="s">
        <v>2754</v>
      </c>
      <c r="E55" s="684" t="s">
        <v>2755</v>
      </c>
      <c r="F55" s="1104" t="s">
        <v>2756</v>
      </c>
      <c r="G55" s="3259" t="s">
        <v>2757</v>
      </c>
      <c r="H55" s="3281"/>
      <c r="I55" s="142" t="s">
        <v>2758</v>
      </c>
      <c r="J55" s="2701">
        <f>项目基本情况!F35</f>
        <v>0</v>
      </c>
      <c r="K55" s="2702" t="s">
        <v>2759</v>
      </c>
      <c r="L55" s="1103"/>
      <c r="M55" s="1141"/>
      <c r="N55" s="1141"/>
      <c r="O55" s="1141"/>
    </row>
    <row r="56" spans="1:15" s="690" customFormat="1">
      <c r="A56" s="686" t="s">
        <v>2760</v>
      </c>
      <c r="B56" s="687">
        <f>C48</f>
        <v>14956</v>
      </c>
      <c r="C56" s="688">
        <v>1</v>
      </c>
      <c r="D56" s="1160">
        <v>1</v>
      </c>
      <c r="E56" s="688">
        <f>'数据-汇总表'!E8+'数据-汇总表'!E9</f>
        <v>60856.65</v>
      </c>
      <c r="F56" s="1100">
        <f t="shared" ref="F56:F65" si="15">ROUND(B56*E56/10000,0)</f>
        <v>91017</v>
      </c>
      <c r="G56" s="3282"/>
      <c r="H56" s="3258"/>
      <c r="I56" s="1105">
        <v>1</v>
      </c>
      <c r="J56" s="1108">
        <v>1</v>
      </c>
      <c r="K56" s="1142"/>
      <c r="L56" s="938"/>
      <c r="M56" s="938"/>
      <c r="N56" s="938"/>
      <c r="O56" s="938"/>
    </row>
    <row r="57" spans="1:15" s="690" customFormat="1">
      <c r="A57" s="691" t="s">
        <v>2761</v>
      </c>
      <c r="B57" s="260">
        <f>ROUND($C$48*C57*D57,0)</f>
        <v>2617</v>
      </c>
      <c r="C57" s="198">
        <f t="shared" ref="C57:C65" si="16">IF($C$55="北京市系数",I57,J57)</f>
        <v>0.7</v>
      </c>
      <c r="D57" s="1161">
        <v>0.25</v>
      </c>
      <c r="E57" s="692">
        <f>'数据-基础表'!K13</f>
        <v>17703.810000000001</v>
      </c>
      <c r="F57" s="1100">
        <f t="shared" si="15"/>
        <v>4633</v>
      </c>
      <c r="G57" s="3283" t="s">
        <v>2762</v>
      </c>
      <c r="H57" s="1101" t="str">
        <f>项目基本情况!B37</f>
        <v>七级</v>
      </c>
      <c r="I57" s="1105">
        <f>SUMIF(修正!A45:A56,H57,修正!B45:B56)</f>
        <v>0.7</v>
      </c>
      <c r="J57" s="1109"/>
      <c r="K57" s="1141"/>
      <c r="L57" s="938"/>
      <c r="M57" s="938"/>
      <c r="N57" s="938"/>
      <c r="O57" s="938"/>
    </row>
    <row r="58" spans="1:15" s="690" customFormat="1">
      <c r="A58" s="691" t="s">
        <v>2763</v>
      </c>
      <c r="B58" s="260">
        <f t="shared" ref="B58:B65" si="17">ROUND($C$48*C58*D58,0)</f>
        <v>1496</v>
      </c>
      <c r="C58" s="198">
        <f t="shared" si="16"/>
        <v>0.4</v>
      </c>
      <c r="D58" s="1161">
        <v>0.25</v>
      </c>
      <c r="E58" s="692"/>
      <c r="F58" s="1100">
        <f t="shared" si="15"/>
        <v>0</v>
      </c>
      <c r="G58" s="3283"/>
      <c r="H58" s="1101" t="str">
        <f>项目基本情况!B37</f>
        <v>七级</v>
      </c>
      <c r="I58" s="1105">
        <f>SUMIF(修正!A45:A56,H58,修正!C45:C56)</f>
        <v>0.4</v>
      </c>
      <c r="J58" s="1109"/>
      <c r="K58" s="1142"/>
      <c r="L58" s="938"/>
      <c r="M58" s="938"/>
      <c r="N58" s="938"/>
      <c r="O58" s="938"/>
    </row>
    <row r="59" spans="1:15" s="690" customFormat="1">
      <c r="A59" s="691" t="s">
        <v>2764</v>
      </c>
      <c r="B59" s="260">
        <f t="shared" si="17"/>
        <v>1047</v>
      </c>
      <c r="C59" s="198">
        <f t="shared" si="16"/>
        <v>0.28000000000000003</v>
      </c>
      <c r="D59" s="1161">
        <v>0.25</v>
      </c>
      <c r="E59" s="692"/>
      <c r="F59" s="1100">
        <f t="shared" si="15"/>
        <v>0</v>
      </c>
      <c r="G59" s="3283"/>
      <c r="H59" s="1101" t="str">
        <f>项目基本情况!B37</f>
        <v>七级</v>
      </c>
      <c r="I59" s="1105">
        <f>SUMIF(修正!A45:A56,H59,修正!D45:D56)</f>
        <v>0.28000000000000003</v>
      </c>
      <c r="J59" s="1109"/>
      <c r="K59" s="1141"/>
      <c r="L59" s="938"/>
      <c r="M59" s="938"/>
      <c r="N59" s="938"/>
      <c r="O59" s="938"/>
    </row>
    <row r="60" spans="1:15" s="690" customFormat="1">
      <c r="A60" s="691" t="s">
        <v>2765</v>
      </c>
      <c r="B60" s="260">
        <f t="shared" si="17"/>
        <v>935</v>
      </c>
      <c r="C60" s="198">
        <f t="shared" si="16"/>
        <v>0.25</v>
      </c>
      <c r="D60" s="1161">
        <v>0.25</v>
      </c>
      <c r="E60" s="692"/>
      <c r="F60" s="1100">
        <f t="shared" si="15"/>
        <v>0</v>
      </c>
      <c r="G60" s="3283"/>
      <c r="H60" s="1101" t="str">
        <f>项目基本情况!B37</f>
        <v>七级</v>
      </c>
      <c r="I60" s="1105">
        <f>SUMIF(修正!A45:A56,H60,修正!E45:E56)</f>
        <v>0.25</v>
      </c>
      <c r="J60" s="1109"/>
      <c r="K60" s="1142"/>
      <c r="L60" s="938"/>
      <c r="M60" s="938"/>
      <c r="N60" s="938"/>
      <c r="O60" s="938"/>
    </row>
    <row r="61" spans="1:15" s="690" customFormat="1">
      <c r="A61" s="691" t="s">
        <v>2766</v>
      </c>
      <c r="B61" s="260">
        <f t="shared" si="17"/>
        <v>0</v>
      </c>
      <c r="C61" s="198">
        <f t="shared" si="16"/>
        <v>0</v>
      </c>
      <c r="D61" s="1161">
        <v>0.25</v>
      </c>
      <c r="E61" s="259">
        <f>'数据-汇总表'!E11</f>
        <v>0</v>
      </c>
      <c r="F61" s="1100">
        <f t="shared" si="15"/>
        <v>0</v>
      </c>
      <c r="G61" s="2703" t="s">
        <v>2767</v>
      </c>
      <c r="H61" s="1101">
        <f>项目基本情况!C37</f>
        <v>0</v>
      </c>
      <c r="I61" s="1105">
        <f>SUMIF(修正!A45:A56,H61,修正!F45:F56)</f>
        <v>0</v>
      </c>
      <c r="J61" s="1109"/>
      <c r="K61" s="1141"/>
      <c r="L61" s="938"/>
      <c r="M61" s="938"/>
      <c r="N61" s="938"/>
      <c r="O61" s="938"/>
    </row>
    <row r="62" spans="1:15" s="690" customFormat="1">
      <c r="A62" s="691" t="s">
        <v>2768</v>
      </c>
      <c r="B62" s="260">
        <f t="shared" si="17"/>
        <v>0</v>
      </c>
      <c r="C62" s="198">
        <f t="shared" si="16"/>
        <v>0</v>
      </c>
      <c r="D62" s="1161">
        <v>0.25</v>
      </c>
      <c r="E62" s="259">
        <f>'数据-汇总表'!E12</f>
        <v>0</v>
      </c>
      <c r="F62" s="1100">
        <f t="shared" si="15"/>
        <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2770</v>
      </c>
      <c r="B63" s="260">
        <f t="shared" si="17"/>
        <v>0</v>
      </c>
      <c r="C63" s="198">
        <f t="shared" si="16"/>
        <v>0</v>
      </c>
      <c r="D63" s="1161">
        <v>0.25</v>
      </c>
      <c r="E63" s="259">
        <f>'数据-汇总表'!E13</f>
        <v>0</v>
      </c>
      <c r="F63" s="1100">
        <f t="shared" si="15"/>
        <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2772</v>
      </c>
      <c r="B64" s="260">
        <f t="shared" si="17"/>
        <v>748</v>
      </c>
      <c r="C64" s="198">
        <f t="shared" si="16"/>
        <v>0.2</v>
      </c>
      <c r="D64" s="1161">
        <v>0.25</v>
      </c>
      <c r="E64" s="259">
        <f>'数据-汇总表'!E14</f>
        <v>22000.37</v>
      </c>
      <c r="F64" s="1100">
        <f t="shared" si="15"/>
        <v>1646</v>
      </c>
      <c r="G64" s="2703" t="s">
        <v>2762</v>
      </c>
      <c r="H64" s="1101" t="str">
        <f>项目基本情况!B37</f>
        <v>七级</v>
      </c>
      <c r="I64" s="1105">
        <f>SUMIF(修正!A45:A56,H64,修正!H45:H56)</f>
        <v>0.2</v>
      </c>
      <c r="J64" s="1109"/>
      <c r="K64" s="1142"/>
      <c r="L64" s="938"/>
      <c r="M64" s="938"/>
      <c r="N64" s="938"/>
      <c r="O64" s="938"/>
    </row>
    <row r="65" spans="1:17" s="690" customFormat="1" ht="15" thickBot="1">
      <c r="A65" s="691" t="s">
        <v>2773</v>
      </c>
      <c r="B65" s="260">
        <f t="shared" si="17"/>
        <v>0</v>
      </c>
      <c r="C65" s="198">
        <f t="shared" si="16"/>
        <v>0</v>
      </c>
      <c r="D65" s="1161">
        <v>0.25</v>
      </c>
      <c r="E65" s="259">
        <f>'数据-汇总表'!E15</f>
        <v>0</v>
      </c>
      <c r="F65" s="1100">
        <f t="shared" si="15"/>
        <v>0</v>
      </c>
      <c r="G65" s="2704" t="s">
        <v>2767</v>
      </c>
      <c r="H65" s="1111">
        <f>项目基本情况!C37</f>
        <v>0</v>
      </c>
      <c r="I65" s="1107">
        <f>SUMIF(修正!A45:A56,H65,修正!H45:H56)</f>
        <v>0</v>
      </c>
      <c r="J65" s="1110"/>
      <c r="K65" s="1141"/>
      <c r="L65" s="938"/>
      <c r="M65" s="938"/>
      <c r="N65" s="938"/>
      <c r="O65" s="938"/>
    </row>
    <row r="66" spans="1:17" s="690" customFormat="1" ht="13.5" thickBot="1">
      <c r="A66" s="693" t="s">
        <v>2774</v>
      </c>
      <c r="B66" s="694" t="s">
        <v>28</v>
      </c>
      <c r="C66" s="694" t="s">
        <v>29</v>
      </c>
      <c r="D66" s="694" t="s">
        <v>1026</v>
      </c>
      <c r="E66" s="694">
        <f>IF(B46="楼面地价",SUM(E56:E65),'数据-汇总表'!D3)</f>
        <v>100560.83</v>
      </c>
      <c r="F66" s="695">
        <f>IF(B46="楼面地价",SUM(F56:F65),ROUND(C48*E66/10000,0))</f>
        <v>97296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5" t="s">
        <v>2775</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6"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81" t="s">
        <v>3271</v>
      </c>
      <c r="D75" s="2981" t="s">
        <v>3272</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权益修正</v>
      </c>
      <c r="C82" s="2983" t="s">
        <v>3379</v>
      </c>
      <c r="D82" s="2983" t="s">
        <v>3381</v>
      </c>
      <c r="E82" s="552"/>
      <c r="F82" s="552"/>
      <c r="G82" s="552"/>
      <c r="H82" s="553"/>
      <c r="I82" s="553"/>
      <c r="J82" s="553"/>
      <c r="K82" s="553"/>
      <c r="L82" s="554"/>
      <c r="M82" s="555"/>
      <c r="N82" s="1151"/>
      <c r="O82" s="1151"/>
      <c r="P82" s="556"/>
      <c r="Q82" s="557"/>
    </row>
    <row r="83" spans="1:17" s="469" customFormat="1" ht="15.75" thickBot="1">
      <c r="A83" s="551"/>
      <c r="B83" s="541"/>
      <c r="C83" s="558">
        <v>100</v>
      </c>
      <c r="D83" s="534">
        <v>98</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2776</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2777</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2778</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3" t="s">
        <v>3346</v>
      </c>
      <c r="D106" s="2983" t="s">
        <v>3285</v>
      </c>
      <c r="E106" s="2983" t="s">
        <v>3286</v>
      </c>
      <c r="F106" s="2983" t="s">
        <v>3287</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2743</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2783</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2784</v>
      </c>
      <c r="C119" s="2982" t="s">
        <v>3273</v>
      </c>
      <c r="D119" s="2982" t="s">
        <v>3274</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2785</v>
      </c>
      <c r="C121" s="2983" t="s">
        <v>3276</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2786</v>
      </c>
      <c r="C123" s="2983" t="s">
        <v>3278</v>
      </c>
      <c r="D123" s="2983" t="s">
        <v>3279</v>
      </c>
      <c r="E123" s="2983" t="s">
        <v>3280</v>
      </c>
      <c r="F123" s="2983" t="s">
        <v>3281</v>
      </c>
      <c r="G123" s="2983" t="s">
        <v>3283</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2787</v>
      </c>
      <c r="C125" s="2983" t="s">
        <v>3284</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D2" sqref="D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1373</v>
      </c>
      <c r="D1" s="1816" t="s">
        <v>70</v>
      </c>
      <c r="E1" s="1817" t="s">
        <v>1382</v>
      </c>
      <c r="F1" s="1280">
        <f ca="1">J53</f>
        <v>22.84</v>
      </c>
      <c r="G1" s="1832">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257250</v>
      </c>
      <c r="C2" s="1841" t="s">
        <v>1511</v>
      </c>
      <c r="D2" s="1841"/>
      <c r="E2" s="1842"/>
      <c r="F2" s="1843"/>
      <c r="G2" s="1844"/>
      <c r="H2" s="1836"/>
      <c r="I2" s="1836"/>
      <c r="J2" s="1836"/>
      <c r="K2" s="1837"/>
      <c r="L2" s="1836"/>
      <c r="M2" s="1836"/>
    </row>
    <row r="3" spans="1:37" ht="18" customHeight="1" thickBot="1">
      <c r="A3" s="1845" t="s">
        <v>1512</v>
      </c>
      <c r="B3" s="1846">
        <f ca="1">IF(ISERROR(B2*10000/F43),0,ROUND(B2*10000/F43,0))</f>
        <v>32745</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19901</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19876</v>
      </c>
      <c r="D6" s="162" t="s">
        <v>3019</v>
      </c>
      <c r="E6" s="345" t="s">
        <v>1400</v>
      </c>
      <c r="F6" s="346">
        <f ca="1">INDIRECT("'数据-取费表'!u"&amp;$G$1)</f>
        <v>5.7</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1295" t="s">
        <v>1401</v>
      </c>
      <c r="F7" s="346">
        <f ca="1">IF(INDIRECT("'数据-取费表'!ah"&amp;$G$1)="",INDIRECT("'数据-取费表'!k"&amp;$G$1),INDIRECT("'数据-取费表'!ah"&amp;$G$1))</f>
        <v>100560.83</v>
      </c>
      <c r="G7" s="1847"/>
      <c r="H7" s="347"/>
      <c r="I7" s="3287"/>
      <c r="J7" s="349"/>
      <c r="K7" s="350"/>
      <c r="L7" s="345" t="s">
        <v>1401</v>
      </c>
      <c r="M7" s="346">
        <f ca="1">F7</f>
        <v>100560.83</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0.05</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25</v>
      </c>
      <c r="D10" s="1820" t="s">
        <v>3028</v>
      </c>
      <c r="E10" s="356" t="s">
        <v>1405</v>
      </c>
      <c r="F10" s="1363" t="s">
        <v>3069</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51280</v>
      </c>
      <c r="D13" s="1328" t="s">
        <v>1410</v>
      </c>
      <c r="E13" s="1328" t="s">
        <v>1411</v>
      </c>
      <c r="F13" s="1329">
        <f ca="1">INDIRECT("'数据-取费表'!y"&amp;$G$1)</f>
        <v>0.92</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34098</v>
      </c>
      <c r="D14" s="1796" t="s">
        <v>1413</v>
      </c>
      <c r="E14" s="1790"/>
      <c r="F14" s="362"/>
      <c r="G14" s="1847"/>
      <c r="H14" s="1198" t="s">
        <v>1032</v>
      </c>
      <c r="I14" s="345" t="s">
        <v>1414</v>
      </c>
      <c r="J14" s="24">
        <f ca="1">C29</f>
        <v>55739</v>
      </c>
      <c r="K14" s="15"/>
      <c r="L14" s="976"/>
      <c r="M14" s="977"/>
    </row>
    <row r="15" spans="1:37" s="1854" customFormat="1" ht="18" customHeight="1" thickBot="1">
      <c r="A15" s="1198" t="s">
        <v>1033</v>
      </c>
      <c r="B15" s="345" t="s">
        <v>1415</v>
      </c>
      <c r="C15" s="24">
        <f ca="1">ROUND(C14*F15,0)</f>
        <v>1705</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1307</v>
      </c>
      <c r="K16" s="1334" t="s">
        <v>1420</v>
      </c>
      <c r="L16" s="1335"/>
      <c r="M16" s="1291"/>
    </row>
    <row r="17" spans="1:37" s="1854" customFormat="1" ht="18" customHeight="1">
      <c r="A17" s="1198" t="s">
        <v>1385</v>
      </c>
      <c r="B17" s="345" t="s">
        <v>1421</v>
      </c>
      <c r="C17" s="24">
        <f ca="1">ROUND(F17*(F43+INDIRECT("'数据-取费表'!S"&amp;$G$1))/10000,0)</f>
        <v>1586</v>
      </c>
      <c r="D17" s="345" t="s">
        <v>1422</v>
      </c>
      <c r="E17" s="345" t="s">
        <v>1423</v>
      </c>
      <c r="F17" s="26">
        <f>'数据-取费表'!B35</f>
        <v>200</v>
      </c>
      <c r="G17" s="1850"/>
      <c r="H17" s="1198" t="s">
        <v>1032</v>
      </c>
      <c r="I17" s="345" t="s">
        <v>1424</v>
      </c>
      <c r="J17" s="24">
        <f ca="1">ROUND(IF(项目基本情况!B11="自然人",J6*M17/(1+'数据-取费表'!C42),J18+J19+J20),1)</f>
        <v>471.2</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511</v>
      </c>
      <c r="D18" s="345" t="s">
        <v>1416</v>
      </c>
      <c r="E18" s="345" t="s">
        <v>1417</v>
      </c>
      <c r="F18" s="365">
        <f>'数据-取费表'!B36</f>
        <v>1.4999999999999999E-2</v>
      </c>
      <c r="G18" s="1850"/>
      <c r="H18" s="1198" t="s">
        <v>1031</v>
      </c>
      <c r="I18" s="345" t="s">
        <v>1428</v>
      </c>
      <c r="J18" s="24">
        <f ca="1">ROUND(J6*M18/(1+'数据-取费表'!C42),2)</f>
        <v>0</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37900</v>
      </c>
      <c r="D19" s="138" t="s">
        <v>1431</v>
      </c>
      <c r="E19" s="1814"/>
      <c r="F19" s="26"/>
      <c r="G19" s="1847"/>
      <c r="H19" s="1198" t="s">
        <v>1033</v>
      </c>
      <c r="I19" s="345" t="s">
        <v>1432</v>
      </c>
      <c r="J19" s="24">
        <f ca="1">IF(K19="按租金收入计税",ROUND(J6*M19/(1+'数据-取费表'!C42),2),ROUND(C29*M19*0.7,2))</f>
        <v>468.21</v>
      </c>
      <c r="K19" s="1824" t="s">
        <v>1433</v>
      </c>
      <c r="L19" s="345" t="s">
        <v>1417</v>
      </c>
      <c r="M19" s="365">
        <f>IF(K19="按租金收入计税",'数据-取费表'!B51,'数据-取费表'!B50)</f>
        <v>1.2E-2</v>
      </c>
    </row>
    <row r="20" spans="1:37" s="1854" customFormat="1" ht="18" customHeight="1">
      <c r="A20" s="1198" t="s">
        <v>1036</v>
      </c>
      <c r="B20" s="345" t="s">
        <v>1434</v>
      </c>
      <c r="C20" s="24">
        <f ca="1">ROUND(C19*F20,0)</f>
        <v>1137</v>
      </c>
      <c r="D20" s="367" t="s">
        <v>1435</v>
      </c>
      <c r="E20" s="345" t="s">
        <v>1417</v>
      </c>
      <c r="F20" s="365">
        <f>'数据-取费表'!B37</f>
        <v>0.03</v>
      </c>
      <c r="G20" s="1850"/>
      <c r="H20" s="1198" t="s">
        <v>1384</v>
      </c>
      <c r="I20" s="162" t="s">
        <v>1436</v>
      </c>
      <c r="J20" s="25">
        <f ca="1">ROUND(M20*M21/10000,2)</f>
        <v>3.01</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20050.960000000003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f ca="1">ROUND(J14*M22,1)</f>
        <v>836.1</v>
      </c>
      <c r="K22" s="1794" t="s">
        <v>1445</v>
      </c>
      <c r="L22" s="345" t="s">
        <v>1417</v>
      </c>
      <c r="M22" s="372">
        <f ca="1">INDIRECT("'数据-取费表'!Ak"&amp;$G$1)</f>
        <v>1.4999999999999999E-2</v>
      </c>
    </row>
    <row r="23" spans="1:37" s="1854" customFormat="1" ht="18" customHeight="1">
      <c r="A23" s="1198" t="s">
        <v>1031</v>
      </c>
      <c r="B23" s="345" t="s">
        <v>1446</v>
      </c>
      <c r="C23" s="24">
        <f ca="1">IF('数据-取费表'!B22&lt;=1,ROUND(C19*F24*F23/2,0)+ROUND(C20*F24*F23/2,0),ROUND(C19*(POWER((1+F24),F23/2)-1),0)+ROUND(C20*(POWER((1+F24),F23/2)-1),0))</f>
        <v>1854</v>
      </c>
      <c r="D23" s="373" t="str">
        <f>IF(F23&lt;=1,"(建造成本+管理费用)×利率×(建设周期÷2)","(建造成本+管理费用)×((1+利率)^(建设周期÷2)-1)")</f>
        <v>(建造成本+管理费用)×((1+利率)^(建设周期÷2)-1)</v>
      </c>
      <c r="E23" s="345" t="s">
        <v>1447</v>
      </c>
      <c r="F23" s="369">
        <f>'数据-取费表'!B20</f>
        <v>2</v>
      </c>
      <c r="G23" s="1850"/>
      <c r="H23" s="1198" t="s">
        <v>1072</v>
      </c>
      <c r="I23" s="345" t="s">
        <v>1448</v>
      </c>
      <c r="J23" s="24">
        <f ca="1">ROUND(J13*M23,1)</f>
        <v>0</v>
      </c>
      <c r="K23" s="1794" t="s">
        <v>1449</v>
      </c>
      <c r="L23" s="345" t="s">
        <v>1450</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f ca="1">ROUND(J5*M24,1)</f>
        <v>0</v>
      </c>
      <c r="K24" s="1339" t="s">
        <v>1454</v>
      </c>
      <c r="L24" s="1337" t="s">
        <v>1450</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1814"/>
      <c r="F25" s="26"/>
      <c r="G25" s="1847"/>
      <c r="H25" s="1326" t="s">
        <v>1028</v>
      </c>
      <c r="I25" s="1341" t="s">
        <v>1458</v>
      </c>
      <c r="J25" s="353">
        <f ca="1">J5-J16</f>
        <v>-1307</v>
      </c>
      <c r="K25" s="1342" t="s">
        <v>1459</v>
      </c>
      <c r="L25" s="1343"/>
      <c r="M25" s="1344"/>
    </row>
    <row r="26" spans="1:37">
      <c r="A26" s="1198" t="s">
        <v>1031</v>
      </c>
      <c r="B26" s="345" t="s">
        <v>1460</v>
      </c>
      <c r="C26" s="24">
        <f ca="1">ROUND((C19+C20)*F26,0)</f>
        <v>9759</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55739</v>
      </c>
      <c r="D29" s="1339"/>
      <c r="E29" s="1337"/>
      <c r="F29" s="1340"/>
      <c r="G29" s="1850"/>
      <c r="H29" s="378" t="s">
        <v>1030</v>
      </c>
      <c r="I29" s="379" t="s">
        <v>1474</v>
      </c>
      <c r="J29" s="380">
        <f ca="1">ROUND(J26/(1+F40)^F41,0)</f>
        <v>0</v>
      </c>
      <c r="K29" s="381" t="s">
        <v>1475</v>
      </c>
      <c r="L29" s="382"/>
      <c r="M29" s="383">
        <f ca="1">INDIRECT("'数据-取费表'!k"&amp;$G$1)</f>
        <v>78560.460000000006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4652</v>
      </c>
      <c r="D30" s="1334" t="s">
        <v>1420</v>
      </c>
      <c r="E30" s="1335"/>
      <c r="F30" s="1291"/>
      <c r="G30" s="1847"/>
      <c r="H30" s="742"/>
      <c r="I30" s="743"/>
      <c r="J30" s="744"/>
      <c r="K30" s="745"/>
      <c r="L30" s="746"/>
      <c r="M30" s="747"/>
    </row>
    <row r="31" spans="1:37" ht="18" customHeight="1">
      <c r="A31" s="1198" t="s">
        <v>1032</v>
      </c>
      <c r="B31" s="345" t="s">
        <v>1424</v>
      </c>
      <c r="C31" s="24">
        <f ca="1">ROUND(IF(项目基本情况!B11="自然人",C6*F31/(1+'数据-取费表'!C42),C32+C33+C34),1)</f>
        <v>3315.7</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1041.1199999999999</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2271.54</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3.01</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20050.960000000003</v>
      </c>
      <c r="G35" s="1847"/>
      <c r="H35" s="742"/>
      <c r="I35" s="1856"/>
      <c r="J35" s="1857"/>
      <c r="K35" s="1858"/>
      <c r="L35" s="1855"/>
      <c r="M35" s="1855"/>
    </row>
    <row r="36" spans="1:18" ht="18" customHeight="1">
      <c r="A36" s="1349" t="s">
        <v>1036</v>
      </c>
      <c r="B36" s="345" t="s">
        <v>1444</v>
      </c>
      <c r="C36" s="24">
        <f ca="1">ROUND(C29*F36,1)</f>
        <v>836.1</v>
      </c>
      <c r="D36" s="1794" t="s">
        <v>1477</v>
      </c>
      <c r="E36" s="345" t="s">
        <v>1417</v>
      </c>
      <c r="F36" s="372">
        <f ca="1">INDIRECT("'数据-取费表'!Ak"&amp;$G$1)</f>
        <v>1.4999999999999999E-2</v>
      </c>
      <c r="G36" s="1847"/>
      <c r="H36" s="1855"/>
      <c r="I36" s="1856"/>
      <c r="J36" s="1857"/>
      <c r="K36" s="748"/>
      <c r="L36" s="1855"/>
      <c r="M36" s="1855"/>
    </row>
    <row r="37" spans="1:18" ht="18" customHeight="1">
      <c r="A37" s="1198" t="s">
        <v>1072</v>
      </c>
      <c r="B37" s="345" t="s">
        <v>1448</v>
      </c>
      <c r="C37" s="24">
        <f ca="1">ROUND(C13*F37,1)</f>
        <v>102.6</v>
      </c>
      <c r="D37" s="1794" t="s">
        <v>1449</v>
      </c>
      <c r="E37" s="345" t="s">
        <v>1450</v>
      </c>
      <c r="F37" s="374">
        <f ca="1">INDIRECT("'数据-取费表'!Al"&amp;$G$1)</f>
        <v>2E-3</v>
      </c>
      <c r="G37" s="1847"/>
      <c r="H37" s="1855"/>
      <c r="I37" s="1856"/>
      <c r="J37" s="1857"/>
      <c r="K37" s="748"/>
      <c r="L37" s="1855"/>
      <c r="M37" s="1855"/>
    </row>
    <row r="38" spans="1:18" ht="18" customHeight="1" thickBot="1">
      <c r="A38" s="1336" t="s">
        <v>1388</v>
      </c>
      <c r="B38" s="1337" t="s">
        <v>1434</v>
      </c>
      <c r="C38" s="1338">
        <f ca="1">ROUND(C5*F38,1)</f>
        <v>398</v>
      </c>
      <c r="D38" s="1339" t="s">
        <v>1454</v>
      </c>
      <c r="E38" s="1337" t="s">
        <v>1450</v>
      </c>
      <c r="F38" s="1333">
        <f ca="1">INDIRECT("'数据-取费表'!Am"&amp;$G$1)</f>
        <v>0.02</v>
      </c>
      <c r="G38" s="1847"/>
      <c r="H38" s="1855"/>
      <c r="I38" s="1856"/>
      <c r="J38" s="1857"/>
      <c r="K38" s="1861"/>
      <c r="L38" s="1855"/>
      <c r="M38" s="1855"/>
    </row>
    <row r="39" spans="1:18" ht="24.6" customHeight="1" thickTop="1">
      <c r="A39" s="1326" t="s">
        <v>1028</v>
      </c>
      <c r="B39" s="1341" t="s">
        <v>1478</v>
      </c>
      <c r="C39" s="353">
        <f ca="1">C5-C30</f>
        <v>15249</v>
      </c>
      <c r="D39" s="1342" t="s">
        <v>1479</v>
      </c>
      <c r="E39" s="1343"/>
      <c r="F39" s="1344"/>
      <c r="G39" s="1847"/>
      <c r="H39" s="1855"/>
      <c r="I39" s="1856"/>
      <c r="J39" s="1857"/>
      <c r="K39" s="1861"/>
      <c r="L39" s="1855"/>
      <c r="M39" s="1855"/>
    </row>
    <row r="40" spans="1:18" ht="18" customHeight="1">
      <c r="A40" s="342" t="s">
        <v>1029</v>
      </c>
      <c r="B40" s="343" t="s">
        <v>1480</v>
      </c>
      <c r="C40" s="344">
        <f ca="1">ROUND(C39*(1-((1+F42)/(1+F40))^F41)/(F40-F42),0)</f>
        <v>257250</v>
      </c>
      <c r="D40" s="368" t="s">
        <v>1464</v>
      </c>
      <c r="E40" s="345" t="s">
        <v>1465</v>
      </c>
      <c r="F40" s="355">
        <f ca="1">INDIRECT("'数据-取费表'!I"&amp;$G$1)</f>
        <v>5.5E-2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22.84</v>
      </c>
      <c r="G41" s="1847"/>
      <c r="H41" s="729"/>
      <c r="I41" s="1856"/>
      <c r="J41" s="1857"/>
      <c r="K41" s="748"/>
      <c r="L41" s="729"/>
      <c r="M41" s="729"/>
    </row>
    <row r="42" spans="1:18" ht="18" customHeight="1">
      <c r="A42" s="351"/>
      <c r="B42" s="352"/>
      <c r="C42" s="353"/>
      <c r="D42" s="371"/>
      <c r="E42" s="345" t="s">
        <v>1472</v>
      </c>
      <c r="F42" s="355">
        <f ca="1">INDIRECT("'数据-取费表'!v"&amp;$G$1)</f>
        <v>0.03</v>
      </c>
      <c r="G42" s="1847"/>
      <c r="H42" s="729"/>
      <c r="I42" s="1856"/>
      <c r="J42" s="1857"/>
      <c r="K42" s="748"/>
      <c r="L42" s="729"/>
      <c r="M42" s="729"/>
    </row>
    <row r="43" spans="1:18" ht="18" customHeight="1" thickBot="1">
      <c r="A43" s="378" t="s">
        <v>1030</v>
      </c>
      <c r="B43" s="379" t="s">
        <v>1482</v>
      </c>
      <c r="C43" s="380">
        <f ca="1">ROUND(C40*10000/F43,0)</f>
        <v>32745</v>
      </c>
      <c r="D43" s="381" t="s">
        <v>1483</v>
      </c>
      <c r="E43" s="382" t="s">
        <v>1484</v>
      </c>
      <c r="F43" s="383">
        <f ca="1">INDIRECT("'数据-取费表'!k"&amp;$G$1)</f>
        <v>78560.460000000006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5" thickBot="1">
      <c r="A46" s="1866" t="s">
        <v>1515</v>
      </c>
      <c r="C46" s="1867">
        <f ca="1">C68-C40</f>
        <v>-329402</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40</v>
      </c>
      <c r="M47" s="1834" t="str">
        <f>IF(ISNUMBER(FIND("住宅",C1)),"住宅","非住宅")</f>
        <v>非住宅</v>
      </c>
      <c r="O47" s="1880" t="s">
        <v>1037</v>
      </c>
      <c r="P47" s="1881" t="s">
        <v>1523</v>
      </c>
      <c r="Q47" s="1882">
        <f ca="1">C40+J29</f>
        <v>257250</v>
      </c>
      <c r="R47" s="1882" t="s">
        <v>1524</v>
      </c>
    </row>
    <row r="48" spans="1:18" s="1838" customFormat="1" ht="28.5" thickBot="1">
      <c r="A48" s="1357" t="s">
        <v>1132</v>
      </c>
      <c r="B48" s="343" t="s">
        <v>1396</v>
      </c>
      <c r="C48" s="1813">
        <f ca="1">C49+C53+C55</f>
        <v>0</v>
      </c>
      <c r="D48" s="1359"/>
      <c r="E48" s="1360"/>
      <c r="F48" s="1178"/>
      <c r="G48" s="789"/>
      <c r="H48" s="790"/>
      <c r="I48" s="1883" t="s">
        <v>1525</v>
      </c>
      <c r="J48" s="1884" t="s">
        <v>3089</v>
      </c>
      <c r="K48" s="1885" t="s">
        <v>1526</v>
      </c>
      <c r="L48" s="1886">
        <f ca="1">INDIRECT("'数据-取费表'!f"&amp;$G$1)</f>
        <v>22.84</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3020</v>
      </c>
      <c r="E49" s="1826" t="s">
        <v>1486</v>
      </c>
      <c r="F49" s="1278"/>
      <c r="G49" s="1887"/>
      <c r="H49" s="790"/>
      <c r="I49" s="1883" t="s">
        <v>1529</v>
      </c>
      <c r="J49" s="1888">
        <v>2014</v>
      </c>
      <c r="K49" s="1885" t="s">
        <v>1530</v>
      </c>
      <c r="L49" s="1889"/>
      <c r="O49" s="1890" t="s">
        <v>1039</v>
      </c>
      <c r="P49" s="1881" t="s">
        <v>1531</v>
      </c>
      <c r="Q49" s="1882">
        <f ca="1">C29</f>
        <v>55739</v>
      </c>
      <c r="R49" s="1882" t="s">
        <v>1524</v>
      </c>
    </row>
    <row r="50" spans="1:18" s="1838" customFormat="1" ht="13.5" thickBot="1">
      <c r="A50" s="1192"/>
      <c r="B50" s="1195"/>
      <c r="C50" s="1365"/>
      <c r="D50" s="1169"/>
      <c r="E50" s="1274" t="s">
        <v>1401</v>
      </c>
      <c r="F50" s="1275">
        <f ca="1">F7</f>
        <v>100560.83</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142892</v>
      </c>
      <c r="M51" s="1898"/>
      <c r="O51" s="1890" t="s">
        <v>1041</v>
      </c>
      <c r="P51" s="1881" t="s">
        <v>1537</v>
      </c>
      <c r="Q51" s="1893">
        <f>J52</f>
        <v>9.5000000000000001E-2</v>
      </c>
      <c r="R51" s="1882"/>
    </row>
    <row r="52" spans="1:18" s="1838" customFormat="1" ht="13.5" thickBot="1">
      <c r="A52" s="1193"/>
      <c r="B52" s="1195"/>
      <c r="C52" s="1196"/>
      <c r="D52" s="1169"/>
      <c r="E52" s="1197" t="s">
        <v>1403</v>
      </c>
      <c r="F52" s="1272"/>
      <c r="I52" s="1899" t="s">
        <v>1538</v>
      </c>
      <c r="J52" s="1900">
        <v>9.5000000000000001E-2</v>
      </c>
      <c r="K52" s="1899" t="s">
        <v>1539</v>
      </c>
      <c r="L52" s="1900"/>
      <c r="O52" s="1890" t="s">
        <v>1042</v>
      </c>
      <c r="P52" s="1881" t="s">
        <v>1540</v>
      </c>
      <c r="Q52" s="1882">
        <f ca="1">J53</f>
        <v>22.84</v>
      </c>
      <c r="R52" s="1882" t="s">
        <v>1541</v>
      </c>
    </row>
    <row r="53" spans="1:18" s="1838" customFormat="1" ht="24.75"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22.84</v>
      </c>
      <c r="K53" s="3284" t="s">
        <v>1543</v>
      </c>
      <c r="L53" s="3285"/>
      <c r="O53" s="1880" t="s">
        <v>1043</v>
      </c>
      <c r="P53" s="1881" t="s">
        <v>1544</v>
      </c>
      <c r="Q53" s="1882">
        <f ca="1">Q47+Q48</f>
        <v>257250</v>
      </c>
      <c r="R53" s="1882" t="s">
        <v>1044</v>
      </c>
    </row>
    <row r="54" spans="1:18" s="1838" customFormat="1" ht="13.5" thickBot="1">
      <c r="A54" s="1403"/>
      <c r="B54" s="1821" t="s">
        <v>1383</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30" t="s">
        <v>1072</v>
      </c>
      <c r="B55" s="1823" t="s">
        <v>1408</v>
      </c>
      <c r="C55" s="1331"/>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3">
        <v>2</v>
      </c>
      <c r="B56" s="1174" t="s">
        <v>1409</v>
      </c>
      <c r="C56" s="274">
        <f ca="1">C13</f>
        <v>51280</v>
      </c>
      <c r="D56" s="1909"/>
      <c r="E56" s="1910"/>
      <c r="F56" s="1902"/>
      <c r="I56" s="1911" t="s">
        <v>1549</v>
      </c>
      <c r="J56" s="2957" t="s">
        <v>3056</v>
      </c>
      <c r="K56" s="1883" t="s">
        <v>1550</v>
      </c>
      <c r="L56" s="1886" t="str">
        <f ca="1">IF(L48&lt;J51,"——",L48-J53)</f>
        <v>——</v>
      </c>
      <c r="O56" s="1880" t="s">
        <v>1037</v>
      </c>
      <c r="P56" s="1881" t="s">
        <v>1523</v>
      </c>
      <c r="Q56" s="1882">
        <f ca="1">C40+J29</f>
        <v>257250</v>
      </c>
      <c r="R56" s="1882" t="s">
        <v>1524</v>
      </c>
    </row>
    <row r="57" spans="1:18" s="1838" customFormat="1" ht="24.75" thickBot="1">
      <c r="A57" s="1913"/>
      <c r="B57" s="1166" t="s">
        <v>1473</v>
      </c>
      <c r="C57" s="280">
        <f ca="1">C29</f>
        <v>55739</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8" t="s">
        <v>1027</v>
      </c>
      <c r="B58" s="1174" t="s">
        <v>1419</v>
      </c>
      <c r="C58" s="359">
        <f ca="1">ROUND(C59+C64+C65+C66,0)</f>
        <v>5624</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4685.1000000000004</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1488</v>
      </c>
      <c r="C61" s="24">
        <f ca="1">IF(项目基本情况!B11="自然人","——",IF(D61="按租金收入计税",ROUND(C48*F61,2),IF(D61="按房产原值计税",ROUND(C57*F61*0.7,2),INDIRECT("'数据-取费表'!Aj"&amp;$G$1))))</f>
        <v>4682.08</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1491</v>
      </c>
      <c r="C62" s="25">
        <f ca="1">IF(项目基本情况!B11="自然人","——",ROUND(F62*F63/10000,2))</f>
        <v>3.01</v>
      </c>
      <c r="D62" s="1181" t="s">
        <v>1492</v>
      </c>
      <c r="E62" s="1166" t="s">
        <v>1493</v>
      </c>
      <c r="F62" s="369">
        <f t="shared" si="0"/>
        <v>1.5</v>
      </c>
      <c r="I62" s="1924" t="s">
        <v>1565</v>
      </c>
      <c r="J62" s="1925" t="s">
        <v>1566</v>
      </c>
      <c r="K62" s="1925" t="s">
        <v>1567</v>
      </c>
      <c r="L62" s="1925" t="s">
        <v>1568</v>
      </c>
      <c r="M62" s="1926" t="s">
        <v>1569</v>
      </c>
      <c r="O62" s="1880" t="s">
        <v>1043</v>
      </c>
      <c r="P62" s="1881" t="s">
        <v>1570</v>
      </c>
      <c r="Q62" s="1882">
        <f ca="1">Q56+Q57</f>
        <v>257250</v>
      </c>
      <c r="R62" s="1882" t="s">
        <v>1044</v>
      </c>
    </row>
    <row r="63" spans="1:18" s="1838" customFormat="1" ht="13.5" thickBot="1">
      <c r="A63" s="370"/>
      <c r="B63" s="1172"/>
      <c r="C63" s="29"/>
      <c r="D63" s="1182"/>
      <c r="E63" s="1166" t="s">
        <v>1494</v>
      </c>
      <c r="F63" s="346">
        <f t="shared" ca="1" si="0"/>
        <v>20050.960000000003</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f ca="1">ROUND(C57*F64,1)</f>
        <v>836.1</v>
      </c>
      <c r="D64" s="1180" t="s">
        <v>1497</v>
      </c>
      <c r="E64" s="1166" t="s">
        <v>1489</v>
      </c>
      <c r="F64" s="372">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ROUND(C56*F65,1)</f>
        <v>102.6</v>
      </c>
      <c r="D65" s="1180" t="s">
        <v>1449</v>
      </c>
      <c r="E65" s="1166" t="s">
        <v>1450</v>
      </c>
      <c r="F65" s="374">
        <f t="shared" ca="1" si="0"/>
        <v>2E-3</v>
      </c>
      <c r="I65" s="1924" t="s">
        <v>1574</v>
      </c>
      <c r="J65" s="1925">
        <v>40</v>
      </c>
      <c r="K65" s="1925">
        <v>30</v>
      </c>
      <c r="L65" s="1925">
        <v>50</v>
      </c>
      <c r="M65" s="1927">
        <v>0.02</v>
      </c>
      <c r="O65" s="1880" t="s">
        <v>1037</v>
      </c>
      <c r="P65" s="1881" t="s">
        <v>1575</v>
      </c>
      <c r="Q65" s="1882">
        <f ca="1">C40+J29</f>
        <v>257250</v>
      </c>
      <c r="R65" s="1882" t="s">
        <v>1524</v>
      </c>
    </row>
    <row r="66" spans="1:18" s="1838" customFormat="1" ht="16.5" thickBot="1">
      <c r="A66" s="1198" t="s">
        <v>1499</v>
      </c>
      <c r="B66" s="1166" t="s">
        <v>1434</v>
      </c>
      <c r="C66" s="24">
        <f ca="1">ROUND(C48*F66,1)</f>
        <v>0</v>
      </c>
      <c r="D66" s="1180" t="s">
        <v>1500</v>
      </c>
      <c r="E66" s="1166" t="s">
        <v>1417</v>
      </c>
      <c r="F66" s="355">
        <f t="shared" ca="1" si="0"/>
        <v>0.02</v>
      </c>
      <c r="O66" s="1880" t="s">
        <v>1038</v>
      </c>
      <c r="P66" s="1881" t="s">
        <v>1553</v>
      </c>
      <c r="Q66" s="1882">
        <f ca="1">L60</f>
        <v>0</v>
      </c>
      <c r="R66" s="1882" t="s">
        <v>1576</v>
      </c>
    </row>
    <row r="67" spans="1:18" s="1838" customFormat="1" ht="16.5" thickBot="1">
      <c r="A67" s="1173" t="s">
        <v>1028</v>
      </c>
      <c r="B67" s="1183" t="s">
        <v>1458</v>
      </c>
      <c r="C67" s="359">
        <f ca="1">C48-C58</f>
        <v>-5624</v>
      </c>
      <c r="D67" s="1179" t="s">
        <v>1459</v>
      </c>
      <c r="E67" s="1184"/>
      <c r="F67" s="1185"/>
      <c r="I67" s="2950" t="s">
        <v>3074</v>
      </c>
      <c r="O67" s="1890" t="s">
        <v>1039</v>
      </c>
      <c r="P67" s="1881" t="s">
        <v>1557</v>
      </c>
      <c r="Q67" s="1928">
        <f ca="1">L51</f>
        <v>142892</v>
      </c>
      <c r="R67" s="1882" t="s">
        <v>1577</v>
      </c>
    </row>
    <row r="68" spans="1:18" s="1838" customFormat="1" ht="16.5" thickBot="1">
      <c r="A68" s="1163" t="s">
        <v>1029</v>
      </c>
      <c r="B68" s="1164" t="s">
        <v>1480</v>
      </c>
      <c r="C68" s="344">
        <f ca="1">ROUND(C67*(1-((1+F70)/(1+F68))^F69)/(F68-F70),0)</f>
        <v>-72152</v>
      </c>
      <c r="D68" s="1181" t="s">
        <v>1464</v>
      </c>
      <c r="E68" s="1166" t="s">
        <v>1465</v>
      </c>
      <c r="F68" s="355">
        <f ca="1">F40</f>
        <v>5.5E-2</v>
      </c>
      <c r="O68" s="1890" t="s">
        <v>1040</v>
      </c>
      <c r="P68" s="1929" t="s">
        <v>1578</v>
      </c>
      <c r="Q68" s="1882">
        <f ca="1">ROUND(Q69-Q70*Q71,0)</f>
        <v>10634</v>
      </c>
      <c r="R68" s="1882" t="s">
        <v>1048</v>
      </c>
    </row>
    <row r="69" spans="1:18" s="1838" customFormat="1" ht="13.5" thickBot="1">
      <c r="A69" s="1167"/>
      <c r="B69" s="1168"/>
      <c r="C69" s="349"/>
      <c r="D69" s="1186" t="s">
        <v>1468</v>
      </c>
      <c r="E69" s="1166" t="s">
        <v>1469</v>
      </c>
      <c r="F69" s="377">
        <f ca="1">F41</f>
        <v>22.84</v>
      </c>
      <c r="O69" s="1890" t="s">
        <v>1045</v>
      </c>
      <c r="P69" s="1929" t="s">
        <v>1579</v>
      </c>
      <c r="Q69" s="1882">
        <f ca="1">C39</f>
        <v>15249</v>
      </c>
      <c r="R69" s="1882" t="s">
        <v>1524</v>
      </c>
    </row>
    <row r="70" spans="1:18" s="1838" customFormat="1" ht="13.5" thickBot="1">
      <c r="A70" s="1170"/>
      <c r="B70" s="1171"/>
      <c r="C70" s="353"/>
      <c r="D70" s="1182"/>
      <c r="E70" s="1166" t="s">
        <v>1472</v>
      </c>
      <c r="F70" s="1272"/>
      <c r="O70" s="1890" t="s">
        <v>1046</v>
      </c>
      <c r="P70" s="1929" t="s">
        <v>1580</v>
      </c>
      <c r="Q70" s="1882">
        <f ca="1">C13</f>
        <v>51280</v>
      </c>
      <c r="R70" s="1882" t="s">
        <v>1524</v>
      </c>
    </row>
    <row r="71" spans="1:18" s="1838" customFormat="1" ht="13.5" thickBot="1">
      <c r="A71" s="1187" t="s">
        <v>1030</v>
      </c>
      <c r="B71" s="1188" t="s">
        <v>1482</v>
      </c>
      <c r="C71" s="380">
        <f ca="1">ROUND(C68*10000/F71,0)</f>
        <v>-9184</v>
      </c>
      <c r="D71" s="1189" t="s">
        <v>1483</v>
      </c>
      <c r="E71" s="1190" t="s">
        <v>1484</v>
      </c>
      <c r="F71" s="383">
        <f ca="1">F43</f>
        <v>78560.460000000006</v>
      </c>
      <c r="O71" s="1890" t="s">
        <v>1047</v>
      </c>
      <c r="P71" s="1929" t="s">
        <v>1581</v>
      </c>
      <c r="Q71" s="1893">
        <f ca="1">C76</f>
        <v>0.09</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4" t="s">
        <v>1501</v>
      </c>
      <c r="C75" s="385">
        <f ca="1">ROUND(C13*C76,0)</f>
        <v>4615</v>
      </c>
      <c r="D75" s="1838"/>
      <c r="E75" s="1838"/>
      <c r="F75" s="1838"/>
      <c r="K75" s="1864"/>
      <c r="L75" s="1838"/>
      <c r="O75" s="1880" t="s">
        <v>1043</v>
      </c>
      <c r="P75" s="1881" t="s">
        <v>1544</v>
      </c>
      <c r="Q75" s="1882">
        <f ca="1">Q65+Q66</f>
        <v>257250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0.69700000000000006</v>
      </c>
    </row>
    <row r="80" spans="1:18">
      <c r="B80" s="384" t="s">
        <v>1506</v>
      </c>
      <c r="C80" s="316">
        <f ca="1">ROUND(C75/C39,3)</f>
        <v>0.30299999999999999</v>
      </c>
    </row>
    <row r="81" spans="2:3">
      <c r="B81" s="312" t="s">
        <v>1507</v>
      </c>
      <c r="C81" s="280"/>
    </row>
    <row r="82" spans="2:3">
      <c r="B82" s="315" t="s">
        <v>1508</v>
      </c>
      <c r="C82" s="317">
        <f ca="1">1-C83</f>
        <v>0.80099999999999993</v>
      </c>
    </row>
    <row r="83" spans="2:3">
      <c r="B83" s="315" t="s">
        <v>1509</v>
      </c>
      <c r="C83" s="316">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3332</v>
      </c>
      <c r="D1" s="1816" t="s">
        <v>70</v>
      </c>
      <c r="E1" s="1817" t="s">
        <v>1382</v>
      </c>
      <c r="F1" s="1280">
        <f ca="1">J53</f>
        <v>32.840000000000003</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0</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0</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0</v>
      </c>
      <c r="D6" s="162" t="s">
        <v>3019</v>
      </c>
      <c r="E6" s="345" t="s">
        <v>1400</v>
      </c>
      <c r="F6" s="346">
        <f ca="1">INDIRECT("'数据-取费表'!u"&amp;$G$1)</f>
        <v>0</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2969" t="s">
        <v>1401</v>
      </c>
      <c r="F7" s="346">
        <f ca="1">IF(INDIRECT("'数据-取费表'!ah"&amp;$G$1)="",INDIRECT("'数据-取费表'!k"&amp;$G$1),INDIRECT("'数据-取费表'!ah"&amp;$G$1))</f>
        <v>22000.37</v>
      </c>
      <c r="G7" s="1847"/>
      <c r="H7" s="347"/>
      <c r="I7" s="3287"/>
      <c r="J7" s="349"/>
      <c r="K7" s="350"/>
      <c r="L7" s="345" t="s">
        <v>1401</v>
      </c>
      <c r="M7" s="346">
        <f ca="1">F7</f>
        <v>22000.37</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0</v>
      </c>
      <c r="D10" s="1820" t="s">
        <v>3027</v>
      </c>
      <c r="E10" s="356" t="s">
        <v>1405</v>
      </c>
      <c r="F10" s="3009" t="s">
        <v>3376</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0</v>
      </c>
      <c r="D13" s="1328" t="s">
        <v>1410</v>
      </c>
      <c r="E13" s="1328" t="s">
        <v>1411</v>
      </c>
      <c r="F13" s="1329">
        <f ca="1">INDIRECT("'数据-取费表'!y"&amp;$G$1)</f>
        <v>0</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9549</v>
      </c>
      <c r="D14" s="2972" t="s">
        <v>1413</v>
      </c>
      <c r="E14" s="2971"/>
      <c r="F14" s="362"/>
      <c r="G14" s="1847"/>
      <c r="H14" s="1198" t="s">
        <v>1032</v>
      </c>
      <c r="I14" s="345" t="s">
        <v>1414</v>
      </c>
      <c r="J14" s="24">
        <f ca="1">C29</f>
        <v>15608</v>
      </c>
      <c r="K14" s="2968"/>
      <c r="L14" s="976"/>
      <c r="M14" s="977"/>
    </row>
    <row r="15" spans="1:37" s="1854" customFormat="1" ht="18" customHeight="1" thickBot="1">
      <c r="A15" s="1198" t="s">
        <v>1033</v>
      </c>
      <c r="B15" s="345" t="s">
        <v>1415</v>
      </c>
      <c r="C15" s="24">
        <f ca="1">ROUND(C14*F15,0)</f>
        <v>477</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132</v>
      </c>
      <c r="K16" s="1334" t="s">
        <v>1420</v>
      </c>
      <c r="L16" s="2974"/>
      <c r="M16" s="1291"/>
    </row>
    <row r="17" spans="1:37" s="1854" customFormat="1" ht="18" customHeight="1">
      <c r="A17" s="1198" t="s">
        <v>1385</v>
      </c>
      <c r="B17" s="345" t="s">
        <v>1421</v>
      </c>
      <c r="C17" s="24">
        <f ca="1">ROUND(F17*(F43+INDIRECT("'数据-取费表'!S"&amp;$G$1))/10000,0)</f>
        <v>444</v>
      </c>
      <c r="D17" s="345" t="s">
        <v>1422</v>
      </c>
      <c r="E17" s="345" t="s">
        <v>1423</v>
      </c>
      <c r="F17" s="26">
        <f>'数据-取费表'!B35</f>
        <v>200</v>
      </c>
      <c r="G17" s="1850"/>
      <c r="H17" s="1198" t="s">
        <v>1032</v>
      </c>
      <c r="I17" s="345" t="s">
        <v>1424</v>
      </c>
      <c r="J17" s="24">
        <f ca="1">ROUND(IF(项目基本情况!B11="自然人",J6*M17/(1+'数据-取费表'!C42),J18+J19+J20),1)</f>
        <v>132</v>
      </c>
      <c r="K17" s="2972" t="s">
        <v>1425</v>
      </c>
      <c r="L17" s="2973"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143</v>
      </c>
      <c r="D18" s="345" t="s">
        <v>1416</v>
      </c>
      <c r="E18" s="345" t="s">
        <v>1417</v>
      </c>
      <c r="F18" s="365">
        <f>'数据-取费表'!B36</f>
        <v>1.4999999999999999E-2</v>
      </c>
      <c r="G18" s="1850"/>
      <c r="H18" s="1198" t="s">
        <v>1031</v>
      </c>
      <c r="I18" s="345" t="s">
        <v>1428</v>
      </c>
      <c r="J18" s="24">
        <f ca="1">ROUND(J6*M18/(1+'数据-取费表'!C42),2)</f>
        <v>0</v>
      </c>
      <c r="K18" s="2973"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10613</v>
      </c>
      <c r="D19" s="138" t="s">
        <v>1431</v>
      </c>
      <c r="E19" s="2967"/>
      <c r="F19" s="26"/>
      <c r="G19" s="1847"/>
      <c r="H19" s="1198" t="s">
        <v>1033</v>
      </c>
      <c r="I19" s="345" t="s">
        <v>1432</v>
      </c>
      <c r="J19" s="24">
        <f ca="1">IF(K19="按租金收入计税",ROUND(J6*M19/(1+'数据-取费表'!C42),2),ROUND(C29*M19*0.7,2))</f>
        <v>131.11000000000001</v>
      </c>
      <c r="K19" s="1824" t="s">
        <v>1433</v>
      </c>
      <c r="L19" s="345" t="s">
        <v>1417</v>
      </c>
      <c r="M19" s="365">
        <f>IF(K19="按租金收入计税",'数据-取费表'!B51,'数据-取费表'!B50)</f>
        <v>1.2E-2</v>
      </c>
    </row>
    <row r="20" spans="1:37" s="1854" customFormat="1" ht="18" customHeight="1">
      <c r="A20" s="1198" t="s">
        <v>1036</v>
      </c>
      <c r="B20" s="345" t="s">
        <v>1434</v>
      </c>
      <c r="C20" s="24">
        <f ca="1">ROUND(C19*F20,0)</f>
        <v>318</v>
      </c>
      <c r="D20" s="367" t="s">
        <v>1435</v>
      </c>
      <c r="E20" s="345" t="s">
        <v>1417</v>
      </c>
      <c r="F20" s="365">
        <f>'数据-取费表'!B37</f>
        <v>0.03</v>
      </c>
      <c r="G20" s="1850"/>
      <c r="H20" s="1198" t="s">
        <v>1384</v>
      </c>
      <c r="I20" s="162" t="s">
        <v>1436</v>
      </c>
      <c r="J20" s="25">
        <f ca="1">ROUND(M20*M21/10000,2)</f>
        <v>0.84</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5615.1399999999994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7"/>
      <c r="F22" s="26"/>
      <c r="G22" s="1847"/>
      <c r="H22" s="1198" t="s">
        <v>1036</v>
      </c>
      <c r="I22" s="345" t="s">
        <v>1444</v>
      </c>
      <c r="J22" s="24">
        <f ca="1">ROUND(J14*M22,1)</f>
        <v>0</v>
      </c>
      <c r="K22" s="2973" t="s">
        <v>1445</v>
      </c>
      <c r="L22" s="345" t="s">
        <v>1417</v>
      </c>
      <c r="M22" s="372">
        <f ca="1">INDIRECT("'数据-取费表'!Ak"&amp;$G$1)</f>
        <v>0</v>
      </c>
    </row>
    <row r="23" spans="1:37" s="1854" customFormat="1" ht="18" customHeight="1">
      <c r="A23" s="1198" t="s">
        <v>1031</v>
      </c>
      <c r="B23" s="345" t="s">
        <v>1446</v>
      </c>
      <c r="C23" s="24">
        <f ca="1">IF('数据-取费表'!B22&lt;=1,ROUND(C19*F24*F23/2,0)+ROUND(C20*F24*F23/2,0),ROUND(C19*(POWER((1+F24),F23/2)-1),0)+ROUND(C20*(POWER((1+F24),F23/2)-1),0))</f>
        <v>519</v>
      </c>
      <c r="D23" s="373" t="str">
        <f>IF(F23&lt;=1,"(建造成本+管理费用)×利率×(建设周期÷2)","(建造成本+管理费用)×((1+利率)^(建设周期÷2)-1)")</f>
        <v>(建造成本+管理费用)×((1+利率)^(建设周期÷2)-1)</v>
      </c>
      <c r="E23" s="345" t="s">
        <v>1447</v>
      </c>
      <c r="F23" s="369">
        <f>'数据-取费表'!B20</f>
        <v>2</v>
      </c>
      <c r="G23" s="1850"/>
      <c r="H23" s="1198" t="s">
        <v>1072</v>
      </c>
      <c r="I23" s="345" t="s">
        <v>1448</v>
      </c>
      <c r="J23" s="24">
        <f ca="1">ROUND(J13*M23,1)</f>
        <v>0</v>
      </c>
      <c r="K23" s="2973" t="s">
        <v>1449</v>
      </c>
      <c r="L23" s="345" t="s">
        <v>1417</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50"/>
      <c r="H24" s="1336" t="s">
        <v>1387</v>
      </c>
      <c r="I24" s="1337" t="s">
        <v>1434</v>
      </c>
      <c r="J24" s="1338">
        <f ca="1">ROUND(J5*M24,1)</f>
        <v>0</v>
      </c>
      <c r="K24" s="1339" t="s">
        <v>1454</v>
      </c>
      <c r="L24" s="1337" t="s">
        <v>1417</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2967"/>
      <c r="F25" s="26"/>
      <c r="G25" s="1847"/>
      <c r="H25" s="1326" t="s">
        <v>1028</v>
      </c>
      <c r="I25" s="1341" t="s">
        <v>1458</v>
      </c>
      <c r="J25" s="353">
        <f ca="1">J5-J16</f>
        <v>-132</v>
      </c>
      <c r="K25" s="1342" t="s">
        <v>1459</v>
      </c>
      <c r="L25" s="1343"/>
      <c r="M25" s="1344"/>
    </row>
    <row r="26" spans="1:37">
      <c r="A26" s="1198" t="s">
        <v>1031</v>
      </c>
      <c r="B26" s="345" t="s">
        <v>1460</v>
      </c>
      <c r="C26" s="24">
        <f ca="1">ROUND((C19+C20)*F26,0)</f>
        <v>2733</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15608</v>
      </c>
      <c r="D29" s="1339"/>
      <c r="E29" s="1337"/>
      <c r="F29" s="1340"/>
      <c r="G29" s="1850"/>
      <c r="H29" s="378" t="s">
        <v>1030</v>
      </c>
      <c r="I29" s="379" t="s">
        <v>1474</v>
      </c>
      <c r="J29" s="380">
        <f ca="1">ROUND(J26/(1+F40)^F41,0)</f>
        <v>0</v>
      </c>
      <c r="K29" s="381" t="s">
        <v>1475</v>
      </c>
      <c r="L29" s="382"/>
      <c r="M29" s="383">
        <f ca="1">INDIRECT("'数据-取费表'!k"&amp;$G$1)</f>
        <v>22000.37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1</v>
      </c>
      <c r="D30" s="1334" t="s">
        <v>1420</v>
      </c>
      <c r="E30" s="2974"/>
      <c r="F30" s="1291"/>
      <c r="G30" s="1847"/>
      <c r="H30" s="742"/>
      <c r="I30" s="743"/>
      <c r="J30" s="744"/>
      <c r="K30" s="745"/>
      <c r="L30" s="746"/>
      <c r="M30" s="747"/>
    </row>
    <row r="31" spans="1:37" ht="18" customHeight="1">
      <c r="A31" s="1198" t="s">
        <v>1032</v>
      </c>
      <c r="B31" s="345" t="s">
        <v>1424</v>
      </c>
      <c r="C31" s="24">
        <f ca="1">ROUND(IF(项目基本情况!B11="自然人",C6*F31/(1+'数据-取费表'!C42),C32+C33+C34),1)</f>
        <v>0.8</v>
      </c>
      <c r="D31" s="2972" t="s">
        <v>1425</v>
      </c>
      <c r="E31" s="2973"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0</v>
      </c>
      <c r="D32" s="2973"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0</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0.84</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5615.1399999999994</v>
      </c>
      <c r="G35" s="1847"/>
      <c r="H35" s="742"/>
      <c r="I35" s="1856"/>
      <c r="J35" s="1857"/>
      <c r="K35" s="1858"/>
      <c r="L35" s="1855"/>
      <c r="M35" s="1855"/>
    </row>
    <row r="36" spans="1:18" ht="18" customHeight="1">
      <c r="A36" s="1349" t="s">
        <v>1036</v>
      </c>
      <c r="B36" s="345" t="s">
        <v>1444</v>
      </c>
      <c r="C36" s="24">
        <f ca="1">ROUND(C29*F36,1)</f>
        <v>0</v>
      </c>
      <c r="D36" s="2973" t="s">
        <v>1477</v>
      </c>
      <c r="E36" s="345" t="s">
        <v>1417</v>
      </c>
      <c r="F36" s="372">
        <f ca="1">INDIRECT("'数据-取费表'!Ak"&amp;$G$1)</f>
        <v>0</v>
      </c>
      <c r="G36" s="1847"/>
      <c r="H36" s="1855"/>
      <c r="I36" s="1856"/>
      <c r="J36" s="1857"/>
      <c r="K36" s="748"/>
      <c r="L36" s="1855"/>
      <c r="M36" s="1855"/>
    </row>
    <row r="37" spans="1:18" ht="18" customHeight="1">
      <c r="A37" s="1198" t="s">
        <v>1072</v>
      </c>
      <c r="B37" s="345" t="s">
        <v>1448</v>
      </c>
      <c r="C37" s="24">
        <f ca="1">ROUND(C13*F37,1)</f>
        <v>0</v>
      </c>
      <c r="D37" s="2973" t="s">
        <v>1449</v>
      </c>
      <c r="E37" s="345" t="s">
        <v>1417</v>
      </c>
      <c r="F37" s="374">
        <f ca="1">INDIRECT("'数据-取费表'!Al"&amp;$G$1)</f>
        <v>0</v>
      </c>
      <c r="G37" s="1847"/>
      <c r="H37" s="1855"/>
      <c r="I37" s="1856"/>
      <c r="J37" s="1857"/>
      <c r="K37" s="748"/>
      <c r="L37" s="1855"/>
      <c r="M37" s="1855"/>
    </row>
    <row r="38" spans="1:18" ht="18" customHeight="1" thickBot="1">
      <c r="A38" s="1336" t="s">
        <v>1387</v>
      </c>
      <c r="B38" s="1337" t="s">
        <v>1434</v>
      </c>
      <c r="C38" s="1338">
        <f ca="1">ROUND(C5*F38,1)</f>
        <v>0</v>
      </c>
      <c r="D38" s="1339" t="s">
        <v>1454</v>
      </c>
      <c r="E38" s="1337" t="s">
        <v>1417</v>
      </c>
      <c r="F38" s="1333">
        <f ca="1">INDIRECT("'数据-取费表'!Am"&amp;$G$1)</f>
        <v>0</v>
      </c>
      <c r="G38" s="1847"/>
      <c r="H38" s="1855"/>
      <c r="I38" s="1856"/>
      <c r="J38" s="1857"/>
      <c r="K38" s="1861"/>
      <c r="L38" s="1855"/>
      <c r="M38" s="1855"/>
    </row>
    <row r="39" spans="1:18" ht="24.6" customHeight="1" thickTop="1">
      <c r="A39" s="1326" t="s">
        <v>1028</v>
      </c>
      <c r="B39" s="1341" t="s">
        <v>1458</v>
      </c>
      <c r="C39" s="353">
        <f ca="1">C5-C30</f>
        <v>-1</v>
      </c>
      <c r="D39" s="1342" t="s">
        <v>1459</v>
      </c>
      <c r="E39" s="1343"/>
      <c r="F39" s="1344"/>
      <c r="G39" s="1847"/>
      <c r="H39" s="1855"/>
      <c r="I39" s="1856"/>
      <c r="J39" s="1857"/>
      <c r="K39" s="1861"/>
      <c r="L39" s="1855"/>
      <c r="M39" s="1855"/>
    </row>
    <row r="40" spans="1:18" ht="18" customHeight="1">
      <c r="A40" s="342" t="s">
        <v>1029</v>
      </c>
      <c r="B40" s="343" t="s">
        <v>1480</v>
      </c>
      <c r="C40" s="344">
        <f ca="1">ROUND(C39*(1-((1+F42)/(1+F40))^F41)/(F40-F42),0)</f>
        <v>0</v>
      </c>
      <c r="D40" s="368" t="s">
        <v>1464</v>
      </c>
      <c r="E40" s="345" t="s">
        <v>1465</v>
      </c>
      <c r="F40" s="355">
        <f ca="1">INDIRECT("'数据-取费表'!I"&amp;$G$1)</f>
        <v>4.4999999999999998E-2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0</v>
      </c>
      <c r="G41" s="1847"/>
      <c r="H41" s="729"/>
      <c r="I41" s="1856"/>
      <c r="J41" s="1857"/>
      <c r="K41" s="748"/>
      <c r="L41" s="729"/>
      <c r="M41" s="729"/>
    </row>
    <row r="42" spans="1:18" ht="18" customHeight="1">
      <c r="A42" s="351"/>
      <c r="B42" s="352"/>
      <c r="C42" s="353"/>
      <c r="D42" s="371"/>
      <c r="E42" s="345" t="s">
        <v>1472</v>
      </c>
      <c r="F42" s="355">
        <f ca="1">INDIRECT("'数据-取费表'!v"&amp;$G$1)</f>
        <v>0</v>
      </c>
      <c r="G42" s="1847"/>
      <c r="H42" s="729"/>
      <c r="I42" s="1856"/>
      <c r="J42" s="1857"/>
      <c r="K42" s="748"/>
      <c r="L42" s="729"/>
      <c r="M42" s="729"/>
    </row>
    <row r="43" spans="1:18" ht="18" customHeight="1" thickBot="1">
      <c r="A43" s="378" t="s">
        <v>1030</v>
      </c>
      <c r="B43" s="379" t="s">
        <v>1482</v>
      </c>
      <c r="C43" s="380">
        <f ca="1">ROUND(C40*10000/F43,0)</f>
        <v>0</v>
      </c>
      <c r="D43" s="381" t="s">
        <v>1483</v>
      </c>
      <c r="E43" s="382" t="s">
        <v>1484</v>
      </c>
      <c r="F43" s="383">
        <f ca="1">INDIRECT("'数据-取费表'!k"&amp;$G$1)</f>
        <v>22000.37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5" thickBot="1">
      <c r="A46" s="1866" t="s">
        <v>1515</v>
      </c>
      <c r="C46" s="1867">
        <f ca="1">C68-C40</f>
        <v>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50</v>
      </c>
      <c r="M47" s="1834" t="str">
        <f>IF(ISNUMBER(FIND("住宅",C1)),"住宅","非住宅")</f>
        <v>非住宅</v>
      </c>
      <c r="O47" s="1880" t="s">
        <v>1037</v>
      </c>
      <c r="P47" s="1881" t="s">
        <v>1523</v>
      </c>
      <c r="Q47" s="1882">
        <f ca="1">C40+J29</f>
        <v>0</v>
      </c>
      <c r="R47" s="1882" t="s">
        <v>1524</v>
      </c>
    </row>
    <row r="48" spans="1:18" s="1838" customFormat="1" ht="28.5" thickBot="1">
      <c r="A48" s="1357" t="s">
        <v>1132</v>
      </c>
      <c r="B48" s="343" t="s">
        <v>1396</v>
      </c>
      <c r="C48" s="2966">
        <f ca="1">C49+C53+C55</f>
        <v>0</v>
      </c>
      <c r="D48" s="1359"/>
      <c r="E48" s="1360"/>
      <c r="F48" s="1178"/>
      <c r="G48" s="789"/>
      <c r="H48" s="790"/>
      <c r="I48" s="1883" t="s">
        <v>1525</v>
      </c>
      <c r="J48" s="1884" t="s">
        <v>3089</v>
      </c>
      <c r="K48" s="1885" t="s">
        <v>1526</v>
      </c>
      <c r="L48" s="1886">
        <f ca="1">INDIRECT("'数据-取费表'!f"&amp;$G$1)</f>
        <v>32.840000000000003</v>
      </c>
      <c r="O48" s="1880" t="s">
        <v>1038</v>
      </c>
      <c r="P48" s="1881" t="s">
        <v>1527</v>
      </c>
      <c r="Q48" s="1882" t="str">
        <f ca="1">J60</f>
        <v>0</v>
      </c>
      <c r="R48" s="1882" t="s">
        <v>1528</v>
      </c>
    </row>
    <row r="49" spans="1:18" s="1838" customFormat="1" ht="13.5" thickBot="1">
      <c r="A49" s="1191" t="s">
        <v>1133</v>
      </c>
      <c r="B49" s="1825" t="s">
        <v>1485</v>
      </c>
      <c r="C49" s="1361">
        <f ca="1">ROUND(F49*F51*F50*(1-F52)/10000,0)</f>
        <v>0</v>
      </c>
      <c r="D49" s="1273" t="s">
        <v>3018</v>
      </c>
      <c r="E49" s="1826" t="s">
        <v>1486</v>
      </c>
      <c r="F49" s="1278"/>
      <c r="G49" s="1887"/>
      <c r="H49" s="790"/>
      <c r="I49" s="1883" t="s">
        <v>1529</v>
      </c>
      <c r="J49" s="1888">
        <v>2014</v>
      </c>
      <c r="K49" s="1885" t="s">
        <v>1530</v>
      </c>
      <c r="L49" s="1889"/>
      <c r="O49" s="1890" t="s">
        <v>1039</v>
      </c>
      <c r="P49" s="1881" t="s">
        <v>1531</v>
      </c>
      <c r="Q49" s="1882">
        <f ca="1">C29</f>
        <v>15608</v>
      </c>
      <c r="R49" s="1882" t="s">
        <v>1524</v>
      </c>
    </row>
    <row r="50" spans="1:18" s="1838" customFormat="1" ht="13.5" thickBot="1">
      <c r="A50" s="1192"/>
      <c r="B50" s="1195"/>
      <c r="C50" s="1365"/>
      <c r="D50" s="1169"/>
      <c r="E50" s="1274" t="s">
        <v>1401</v>
      </c>
      <c r="F50" s="1275">
        <f ca="1">F7</f>
        <v>22000.37</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-18</v>
      </c>
      <c r="M51" s="1898"/>
      <c r="O51" s="1890" t="s">
        <v>1041</v>
      </c>
      <c r="P51" s="1881" t="s">
        <v>1537</v>
      </c>
      <c r="Q51" s="1893">
        <f>J52</f>
        <v>9.5000000000000001E-2</v>
      </c>
      <c r="R51" s="1882"/>
    </row>
    <row r="52" spans="1:18" s="1838" customFormat="1" ht="13.5" thickBot="1">
      <c r="A52" s="1193"/>
      <c r="B52" s="1195"/>
      <c r="C52" s="1196"/>
      <c r="D52" s="1169"/>
      <c r="E52" s="1197" t="s">
        <v>1403</v>
      </c>
      <c r="F52" s="1272"/>
      <c r="I52" s="1899" t="s">
        <v>1538</v>
      </c>
      <c r="J52" s="1900">
        <v>9.5000000000000001E-2</v>
      </c>
      <c r="K52" s="1899" t="s">
        <v>1539</v>
      </c>
      <c r="L52" s="1900"/>
      <c r="O52" s="1890" t="s">
        <v>1042</v>
      </c>
      <c r="P52" s="1881" t="s">
        <v>1540</v>
      </c>
      <c r="Q52" s="1882">
        <f ca="1">J53</f>
        <v>32.840000000000003</v>
      </c>
      <c r="R52" s="1882" t="s">
        <v>1541</v>
      </c>
    </row>
    <row r="53" spans="1:18" s="1838" customFormat="1" ht="24.75"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32.840000000000003</v>
      </c>
      <c r="K53" s="3284" t="s">
        <v>1543</v>
      </c>
      <c r="L53" s="3285"/>
      <c r="O53" s="1880" t="s">
        <v>1043</v>
      </c>
      <c r="P53" s="1881" t="s">
        <v>1544</v>
      </c>
      <c r="Q53" s="1882">
        <f ca="1">Q47+Q48</f>
        <v>0</v>
      </c>
      <c r="R53" s="1882" t="s">
        <v>1044</v>
      </c>
    </row>
    <row r="54" spans="1:18" s="1838" customFormat="1" ht="13.5" thickBot="1">
      <c r="A54" s="1403"/>
      <c r="B54" s="1821" t="s">
        <v>1383</v>
      </c>
      <c r="C54" s="1175"/>
      <c r="D54" s="1820"/>
      <c r="E54" s="297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30" t="s">
        <v>1072</v>
      </c>
      <c r="B55" s="1823" t="s">
        <v>1408</v>
      </c>
      <c r="C55" s="1331"/>
      <c r="D55" s="1820"/>
      <c r="E55" s="2970"/>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3">
        <v>2</v>
      </c>
      <c r="B56" s="1174" t="s">
        <v>1409</v>
      </c>
      <c r="C56" s="274">
        <f ca="1">C13</f>
        <v>0</v>
      </c>
      <c r="D56" s="1909"/>
      <c r="E56" s="1910"/>
      <c r="F56" s="1902"/>
      <c r="I56" s="1911" t="s">
        <v>1549</v>
      </c>
      <c r="J56" s="2957" t="s">
        <v>3056</v>
      </c>
      <c r="K56" s="1883" t="s">
        <v>1550</v>
      </c>
      <c r="L56" s="1886" t="str">
        <f ca="1">IF(L48&lt;J51,"——",L48-J53)</f>
        <v>——</v>
      </c>
      <c r="O56" s="1880" t="s">
        <v>1037</v>
      </c>
      <c r="P56" s="1881" t="s">
        <v>1523</v>
      </c>
      <c r="Q56" s="1882">
        <f ca="1">C40+J29</f>
        <v>0</v>
      </c>
      <c r="R56" s="1882" t="s">
        <v>1524</v>
      </c>
    </row>
    <row r="57" spans="1:18" s="1838" customFormat="1" ht="24.75" thickBot="1">
      <c r="A57" s="1913"/>
      <c r="B57" s="1166" t="s">
        <v>1473</v>
      </c>
      <c r="C57" s="280">
        <f ca="1">C29</f>
        <v>15608</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8" t="s">
        <v>1027</v>
      </c>
      <c r="B58" s="1174" t="s">
        <v>1419</v>
      </c>
      <c r="C58" s="359">
        <f ca="1">ROUND(C59+C64+C65+C66,0)</f>
        <v>1312</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8" t="s">
        <v>1032</v>
      </c>
      <c r="B59" s="1166" t="s">
        <v>1424</v>
      </c>
      <c r="C59" s="24">
        <f ca="1">ROUND(IF(项目基本情况!B11="自然人",C48*F59,C60+C61+C62),1)</f>
        <v>1311.9</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8" t="s">
        <v>1487</v>
      </c>
      <c r="B61" s="1166" t="s">
        <v>1432</v>
      </c>
      <c r="C61" s="24">
        <f ca="1">IF(项目基本情况!B11="自然人","——",IF(D61="按租金收入计税",ROUND(C48*F61,2),IF(D61="按房产原值计税",ROUND(C57*F61*0.7,2),INDIRECT("'数据-取费表'!Aj"&amp;$G$1))))</f>
        <v>1311.07</v>
      </c>
      <c r="D61" s="1824" t="s">
        <v>1433</v>
      </c>
      <c r="E61" s="1166" t="s">
        <v>1417</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8" t="s">
        <v>1490</v>
      </c>
      <c r="B62" s="1165" t="s">
        <v>1436</v>
      </c>
      <c r="C62" s="25">
        <f ca="1">IF(项目基本情况!B11="自然人","——",ROUND(F62*F63/10000,2))</f>
        <v>0.84</v>
      </c>
      <c r="D62" s="1181" t="s">
        <v>1437</v>
      </c>
      <c r="E62" s="1166" t="s">
        <v>1438</v>
      </c>
      <c r="F62" s="369">
        <f t="shared" si="0"/>
        <v>1.5</v>
      </c>
      <c r="I62" s="1924" t="s">
        <v>1565</v>
      </c>
      <c r="J62" s="1925" t="s">
        <v>1566</v>
      </c>
      <c r="K62" s="1925" t="s">
        <v>1567</v>
      </c>
      <c r="L62" s="1925" t="s">
        <v>1568</v>
      </c>
      <c r="M62" s="1926" t="s">
        <v>1569</v>
      </c>
      <c r="O62" s="1880" t="s">
        <v>1043</v>
      </c>
      <c r="P62" s="1881" t="s">
        <v>1544</v>
      </c>
      <c r="Q62" s="1882">
        <f ca="1">Q56+Q57</f>
        <v>0</v>
      </c>
      <c r="R62" s="1882" t="s">
        <v>1044</v>
      </c>
    </row>
    <row r="63" spans="1:18" s="1838" customFormat="1" ht="13.5" thickBot="1">
      <c r="A63" s="370"/>
      <c r="B63" s="1172"/>
      <c r="C63" s="29"/>
      <c r="D63" s="1182"/>
      <c r="E63" s="1166" t="s">
        <v>1442</v>
      </c>
      <c r="F63" s="346">
        <f t="shared" ca="1" si="0"/>
        <v>5615.1399999999994</v>
      </c>
      <c r="I63" s="1924" t="s">
        <v>1571</v>
      </c>
      <c r="J63" s="1925">
        <v>70</v>
      </c>
      <c r="K63" s="1925">
        <v>50</v>
      </c>
      <c r="L63" s="1925">
        <v>80</v>
      </c>
      <c r="M63" s="1927">
        <v>0.02</v>
      </c>
      <c r="O63" s="1865" t="s">
        <v>1572</v>
      </c>
      <c r="P63" s="1835"/>
      <c r="Q63" s="1835"/>
      <c r="R63" s="1835"/>
    </row>
    <row r="64" spans="1:18" s="1838" customFormat="1" ht="13.5" thickBot="1">
      <c r="A64" s="1198" t="s">
        <v>1036</v>
      </c>
      <c r="B64" s="1166" t="s">
        <v>1444</v>
      </c>
      <c r="C64" s="24">
        <f ca="1">ROUND(C57*F64,1)</f>
        <v>0</v>
      </c>
      <c r="D64" s="1180" t="s">
        <v>1477</v>
      </c>
      <c r="E64" s="1166" t="s">
        <v>1417</v>
      </c>
      <c r="F64" s="372">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f ca="1">ROUND(C56*F65,1)</f>
        <v>0</v>
      </c>
      <c r="D65" s="1180" t="s">
        <v>1449</v>
      </c>
      <c r="E65" s="1166" t="s">
        <v>1417</v>
      </c>
      <c r="F65" s="374">
        <f t="shared" ca="1" si="0"/>
        <v>0</v>
      </c>
      <c r="I65" s="1924" t="s">
        <v>1574</v>
      </c>
      <c r="J65" s="1925">
        <v>40</v>
      </c>
      <c r="K65" s="1925">
        <v>30</v>
      </c>
      <c r="L65" s="1925">
        <v>50</v>
      </c>
      <c r="M65" s="1927">
        <v>0.02</v>
      </c>
      <c r="O65" s="1880" t="s">
        <v>1037</v>
      </c>
      <c r="P65" s="1881" t="s">
        <v>1523</v>
      </c>
      <c r="Q65" s="1882">
        <f ca="1">C40+J29</f>
        <v>0</v>
      </c>
      <c r="R65" s="1882" t="s">
        <v>1524</v>
      </c>
    </row>
    <row r="66" spans="1:18" s="1838" customFormat="1" ht="16.5" thickBot="1">
      <c r="A66" s="1198" t="s">
        <v>1499</v>
      </c>
      <c r="B66" s="1166" t="s">
        <v>1434</v>
      </c>
      <c r="C66" s="24">
        <f ca="1">ROUND(C48*F66,1)</f>
        <v>0</v>
      </c>
      <c r="D66" s="1180" t="s">
        <v>1454</v>
      </c>
      <c r="E66" s="1166" t="s">
        <v>1417</v>
      </c>
      <c r="F66" s="355">
        <f t="shared" ca="1" si="0"/>
        <v>0</v>
      </c>
      <c r="O66" s="1880" t="s">
        <v>1038</v>
      </c>
      <c r="P66" s="1881" t="s">
        <v>1553</v>
      </c>
      <c r="Q66" s="1882">
        <f ca="1">L60</f>
        <v>0</v>
      </c>
      <c r="R66" s="1882" t="s">
        <v>1576</v>
      </c>
    </row>
    <row r="67" spans="1:18" s="1838" customFormat="1" ht="16.5" thickBot="1">
      <c r="A67" s="1173" t="s">
        <v>1028</v>
      </c>
      <c r="B67" s="1183" t="s">
        <v>1458</v>
      </c>
      <c r="C67" s="359">
        <f ca="1">C48-C58</f>
        <v>-1312</v>
      </c>
      <c r="D67" s="1179" t="s">
        <v>1459</v>
      </c>
      <c r="E67" s="1184"/>
      <c r="F67" s="1185"/>
      <c r="I67" s="2950" t="s">
        <v>3074</v>
      </c>
      <c r="O67" s="1890" t="s">
        <v>1039</v>
      </c>
      <c r="P67" s="1881" t="s">
        <v>1557</v>
      </c>
      <c r="Q67" s="1928">
        <f ca="1">L51</f>
        <v>-18</v>
      </c>
      <c r="R67" s="1882" t="s">
        <v>1577</v>
      </c>
    </row>
    <row r="68" spans="1:18" s="1838" customFormat="1" ht="16.5" thickBot="1">
      <c r="A68" s="1163" t="s">
        <v>1029</v>
      </c>
      <c r="B68" s="1164" t="s">
        <v>1480</v>
      </c>
      <c r="C68" s="344">
        <f ca="1">ROUND(C67*(1-((1+F70)/(1+F68))^F69)/(F68-F70),0)</f>
        <v>0</v>
      </c>
      <c r="D68" s="1181" t="s">
        <v>1464</v>
      </c>
      <c r="E68" s="1166" t="s">
        <v>1465</v>
      </c>
      <c r="F68" s="355">
        <f ca="1">F40</f>
        <v>4.4999999999999998E-2</v>
      </c>
      <c r="O68" s="1890" t="s">
        <v>1040</v>
      </c>
      <c r="P68" s="1929" t="s">
        <v>1578</v>
      </c>
      <c r="Q68" s="1882">
        <f ca="1">ROUND(Q69-Q70*Q71,0)</f>
        <v>-1</v>
      </c>
      <c r="R68" s="1882" t="s">
        <v>1048</v>
      </c>
    </row>
    <row r="69" spans="1:18" s="1838" customFormat="1" ht="13.5" thickBot="1">
      <c r="A69" s="1167"/>
      <c r="B69" s="1168"/>
      <c r="C69" s="349"/>
      <c r="D69" s="1186" t="s">
        <v>1468</v>
      </c>
      <c r="E69" s="1166" t="s">
        <v>1469</v>
      </c>
      <c r="F69" s="377">
        <f ca="1">F41</f>
        <v>0</v>
      </c>
      <c r="O69" s="1890" t="s">
        <v>1045</v>
      </c>
      <c r="P69" s="1929" t="s">
        <v>1579</v>
      </c>
      <c r="Q69" s="1882">
        <f ca="1">C39</f>
        <v>-1</v>
      </c>
      <c r="R69" s="1882" t="s">
        <v>1524</v>
      </c>
    </row>
    <row r="70" spans="1:18" s="1838" customFormat="1" ht="13.5" thickBot="1">
      <c r="A70" s="1170"/>
      <c r="B70" s="1171"/>
      <c r="C70" s="353"/>
      <c r="D70" s="1182"/>
      <c r="E70" s="1166" t="s">
        <v>1472</v>
      </c>
      <c r="F70" s="1272"/>
      <c r="O70" s="1890" t="s">
        <v>1046</v>
      </c>
      <c r="P70" s="1929" t="s">
        <v>1580</v>
      </c>
      <c r="Q70" s="1882">
        <f ca="1">C13</f>
        <v>0</v>
      </c>
      <c r="R70" s="1882" t="s">
        <v>1524</v>
      </c>
    </row>
    <row r="71" spans="1:18" s="1838" customFormat="1" ht="13.5" thickBot="1">
      <c r="A71" s="1187" t="s">
        <v>1030</v>
      </c>
      <c r="B71" s="1188" t="s">
        <v>1482</v>
      </c>
      <c r="C71" s="380">
        <f ca="1">ROUND(C68*10000/F71,0)</f>
        <v>0</v>
      </c>
      <c r="D71" s="1189" t="s">
        <v>1483</v>
      </c>
      <c r="E71" s="1190" t="s">
        <v>1484</v>
      </c>
      <c r="F71" s="383">
        <f ca="1">F43</f>
        <v>22000.37</v>
      </c>
      <c r="O71" s="1890" t="s">
        <v>1047</v>
      </c>
      <c r="P71" s="1929" t="s">
        <v>1581</v>
      </c>
      <c r="Q71" s="1893">
        <f ca="1">C76</f>
        <v>0.09</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4" t="s">
        <v>1501</v>
      </c>
      <c r="C75" s="385">
        <f ca="1">ROUND(C13*C76,0)</f>
        <v>0</v>
      </c>
      <c r="D75" s="1838"/>
      <c r="E75" s="1838"/>
      <c r="F75" s="1838"/>
      <c r="K75" s="1864"/>
      <c r="L75" s="1838"/>
      <c r="O75" s="1880" t="s">
        <v>1043</v>
      </c>
      <c r="P75" s="1881" t="s">
        <v>1544</v>
      </c>
      <c r="Q75" s="1882">
        <f ca="1">Q65+Q66</f>
        <v>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1</v>
      </c>
    </row>
    <row r="80" spans="1:18">
      <c r="B80" s="384" t="s">
        <v>1506</v>
      </c>
      <c r="C80" s="316">
        <f ca="1">ROUND(C75/C39,3)</f>
        <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79"/>
      <c r="C1" s="1833" t="s">
        <v>3059</v>
      </c>
      <c r="D1" s="1816" t="s">
        <v>70</v>
      </c>
      <c r="E1" s="1817" t="s">
        <v>1382</v>
      </c>
      <c r="F1" s="1280" t="e">
        <f ca="1">J53</f>
        <v>#N/A</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1585</v>
      </c>
      <c r="B2" s="1840" t="e">
        <f ca="1">ROUND(D2/10000,0)</f>
        <v>#N/A</v>
      </c>
      <c r="C2" s="1841" t="s">
        <v>1586</v>
      </c>
      <c r="D2" s="1933"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1" t="s">
        <v>1583</v>
      </c>
      <c r="I3" s="1836"/>
      <c r="J3" s="1836"/>
      <c r="K3" s="1837"/>
      <c r="L3" s="1836"/>
      <c r="M3" s="1836"/>
    </row>
    <row r="4" spans="1:37" ht="18" customHeight="1">
      <c r="A4" s="338" t="s">
        <v>1590</v>
      </c>
      <c r="B4" s="339" t="s">
        <v>1591</v>
      </c>
      <c r="C4" s="339" t="s">
        <v>1592</v>
      </c>
      <c r="D4" s="339" t="s">
        <v>1593</v>
      </c>
      <c r="E4" s="340" t="s">
        <v>1594</v>
      </c>
      <c r="F4" s="341"/>
      <c r="G4" s="1847"/>
      <c r="H4" s="338" t="s">
        <v>1590</v>
      </c>
      <c r="I4" s="339" t="s">
        <v>1591</v>
      </c>
      <c r="J4" s="339" t="s">
        <v>1592</v>
      </c>
      <c r="K4" s="339" t="s">
        <v>1593</v>
      </c>
      <c r="L4" s="340" t="s">
        <v>1594</v>
      </c>
      <c r="M4" s="341"/>
    </row>
    <row r="5" spans="1:37" ht="18" customHeight="1">
      <c r="A5" s="342">
        <v>1</v>
      </c>
      <c r="B5" s="343" t="s">
        <v>1595</v>
      </c>
      <c r="C5" s="1289" t="e">
        <f ca="1">C6+C10+C12</f>
        <v>#N/A</v>
      </c>
      <c r="D5" s="1818" t="s">
        <v>1596</v>
      </c>
      <c r="E5" s="1290"/>
      <c r="F5" s="1291"/>
      <c r="G5" s="1847"/>
      <c r="H5" s="342">
        <v>1</v>
      </c>
      <c r="I5" s="343" t="s">
        <v>1595</v>
      </c>
      <c r="J5" s="1289" t="e">
        <f ca="1">J6+J10+J12</f>
        <v>#N/A</v>
      </c>
      <c r="K5" s="1818" t="s">
        <v>1596</v>
      </c>
      <c r="L5" s="1290"/>
      <c r="M5" s="1291"/>
    </row>
    <row r="6" spans="1:37" ht="18" customHeight="1">
      <c r="A6" s="1288" t="s">
        <v>1032</v>
      </c>
      <c r="B6" s="3286" t="s">
        <v>1398</v>
      </c>
      <c r="C6" s="1293" t="e">
        <f ca="1">ROUND(F6*F8*F7*(1-F9),0)</f>
        <v>#N/A</v>
      </c>
      <c r="D6" s="162" t="s">
        <v>3016</v>
      </c>
      <c r="E6" s="345" t="s">
        <v>1400</v>
      </c>
      <c r="F6" s="346" t="e">
        <f ca="1">INDIRECT("'数据-取费表'!u"&amp;$G$1)</f>
        <v>#N/A</v>
      </c>
      <c r="G6" s="1847"/>
      <c r="H6" s="1288" t="s">
        <v>1032</v>
      </c>
      <c r="I6" s="3286" t="s">
        <v>1398</v>
      </c>
      <c r="J6" s="344" t="e">
        <f ca="1">ROUND(M6*M8*M7*(1-M9),0)</f>
        <v>#N/A</v>
      </c>
      <c r="K6" s="1830" t="s">
        <v>3017</v>
      </c>
      <c r="L6" s="345" t="s">
        <v>1400</v>
      </c>
      <c r="M6" s="346" t="e">
        <f ca="1">INDIRECT("'数据-取费表'!z"&amp;$G$1)</f>
        <v>#N/A</v>
      </c>
    </row>
    <row r="7" spans="1:37" ht="18" customHeight="1">
      <c r="A7" s="1292"/>
      <c r="B7" s="3287"/>
      <c r="C7" s="1294"/>
      <c r="D7" s="350"/>
      <c r="E7" s="1295" t="s">
        <v>1401</v>
      </c>
      <c r="F7" s="346" t="e">
        <f ca="1">IF(INDIRECT("'数据-取费表'!ah"&amp;$G$1)="",INDIRECT("'数据-取费表'!k"&amp;$G$1),INDIRECT("'数据-取费表'!ah"&amp;$G$1))</f>
        <v>#N/A</v>
      </c>
      <c r="G7" s="1847"/>
      <c r="H7" s="347"/>
      <c r="I7" s="3287"/>
      <c r="J7" s="349"/>
      <c r="K7" s="350"/>
      <c r="L7" s="345" t="s">
        <v>1401</v>
      </c>
      <c r="M7" s="346" t="e">
        <f ca="1">F7</f>
        <v>#N/A</v>
      </c>
    </row>
    <row r="8" spans="1:37" ht="18" customHeight="1">
      <c r="A8" s="347"/>
      <c r="B8" s="3287"/>
      <c r="C8" s="349"/>
      <c r="D8" s="350"/>
      <c r="E8" s="345" t="s">
        <v>1402</v>
      </c>
      <c r="F8" s="346" t="e">
        <f ca="1">INDIRECT("'数据-取费表'!ai"&amp;$G$1)</f>
        <v>#N/A</v>
      </c>
      <c r="G8" s="1847"/>
      <c r="H8" s="347"/>
      <c r="I8" s="3287"/>
      <c r="J8" s="349"/>
      <c r="K8" s="350"/>
      <c r="L8" s="345" t="s">
        <v>1402</v>
      </c>
      <c r="M8" s="346" t="e">
        <f ca="1">INDIRECT("'数据-取费表'!ai"&amp;$G$1)</f>
        <v>#N/A</v>
      </c>
    </row>
    <row r="9" spans="1:37" ht="18" customHeight="1">
      <c r="A9" s="347"/>
      <c r="B9" s="3288"/>
      <c r="C9" s="349"/>
      <c r="D9" s="350"/>
      <c r="E9" s="345" t="s">
        <v>1403</v>
      </c>
      <c r="F9" s="355" t="e">
        <f ca="1">INDIRECT("'数据-取费表'!w"&amp;$G$1)</f>
        <v>#N/A</v>
      </c>
      <c r="G9" s="1847"/>
      <c r="H9" s="347"/>
      <c r="I9" s="3288"/>
      <c r="J9" s="349"/>
      <c r="K9" s="350"/>
      <c r="L9" s="356" t="s">
        <v>1403</v>
      </c>
      <c r="M9" s="357" t="e">
        <f ca="1">INDIRECT("'数据-取费表'!ab"&amp;$G$1)</f>
        <v>#N/A</v>
      </c>
    </row>
    <row r="10" spans="1:37" ht="18" customHeight="1">
      <c r="A10" s="1288" t="s">
        <v>1036</v>
      </c>
      <c r="B10" s="1819" t="s">
        <v>1404</v>
      </c>
      <c r="C10" s="359" t="e">
        <f ca="1">ROUND(IF(F10="押一",C6/12*F11,IF(F10="押二",C6/12*2*F11,IF(F10="押三",C6/12*3*F11,C11*F11))),0)</f>
        <v>#N/A</v>
      </c>
      <c r="D10" s="1820" t="s">
        <v>3027</v>
      </c>
      <c r="E10" s="356" t="s">
        <v>1405</v>
      </c>
      <c r="F10" s="1363" t="s">
        <v>3069</v>
      </c>
      <c r="G10" s="1847"/>
      <c r="H10" s="1288" t="s">
        <v>1036</v>
      </c>
      <c r="I10" s="1819" t="s">
        <v>1404</v>
      </c>
      <c r="J10" s="344">
        <f ca="1">ROUND(IF(M10="押一",J6/12*M11,IF(M10="押二",J6/12*2*M11,IF(M10="押三",J6/12*3*M11,J11*M11))),0)</f>
        <v>0</v>
      </c>
      <c r="K10" s="1831" t="s">
        <v>3029</v>
      </c>
      <c r="L10" s="356" t="s">
        <v>1405</v>
      </c>
      <c r="M10" s="1363"/>
    </row>
    <row r="11" spans="1:37" ht="18" customHeight="1">
      <c r="A11" s="351"/>
      <c r="B11" s="1821" t="s">
        <v>1597</v>
      </c>
      <c r="C11" s="1175"/>
      <c r="D11" s="350"/>
      <c r="E11" s="356" t="s">
        <v>1407</v>
      </c>
      <c r="F11" s="357">
        <f ca="1">'数据-取费表'!B39</f>
        <v>1.4999999999999999E-2</v>
      </c>
      <c r="G11" s="1847"/>
      <c r="H11" s="1296"/>
      <c r="I11" s="1821" t="s">
        <v>1598</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7"/>
      <c r="H13" s="1326">
        <v>2</v>
      </c>
      <c r="I13" s="1327" t="s">
        <v>1409</v>
      </c>
      <c r="J13" s="1287" t="e">
        <f ca="1">ROUND(J14*J15,0)</f>
        <v>#N/A</v>
      </c>
      <c r="K13" s="1334" t="s">
        <v>1410</v>
      </c>
      <c r="L13" s="1848"/>
      <c r="M13" s="1849"/>
    </row>
    <row r="14" spans="1:37" ht="18" customHeight="1">
      <c r="A14" s="1198" t="s">
        <v>1031</v>
      </c>
      <c r="B14" s="345" t="s">
        <v>1412</v>
      </c>
      <c r="C14" s="361" t="e">
        <f ca="1">ROUND(INDIRECT("'数据-取费表'!l"&amp;$G$1)*F43+'数据-取费表'!L14*INDIRECT("'数据-取费表'!S"&amp;$G$1),0)</f>
        <v>#N/A</v>
      </c>
      <c r="D14" s="1796" t="s">
        <v>1413</v>
      </c>
      <c r="E14" s="1790"/>
      <c r="F14" s="362"/>
      <c r="G14" s="1847"/>
      <c r="H14" s="1198" t="s">
        <v>1032</v>
      </c>
      <c r="I14" s="345" t="s">
        <v>1414</v>
      </c>
      <c r="J14" s="24" t="e">
        <f ca="1">C29</f>
        <v>#N/A</v>
      </c>
      <c r="K14" s="15"/>
      <c r="L14" s="976"/>
      <c r="M14" s="977"/>
    </row>
    <row r="15" spans="1:37" s="1854" customFormat="1" ht="18" customHeight="1" thickBot="1">
      <c r="A15" s="1198" t="s">
        <v>1033</v>
      </c>
      <c r="B15" s="345" t="s">
        <v>1415</v>
      </c>
      <c r="C15" s="24" t="e">
        <f ca="1">ROUND(C14*F15,0)</f>
        <v>#N/A</v>
      </c>
      <c r="D15" s="363" t="s">
        <v>1416</v>
      </c>
      <c r="E15" s="363" t="s">
        <v>1417</v>
      </c>
      <c r="F15" s="364">
        <f>'数据-取费表'!B33</f>
        <v>0.05</v>
      </c>
      <c r="G15" s="1850"/>
      <c r="H15" s="1336" t="s">
        <v>1036</v>
      </c>
      <c r="I15" s="1337" t="s">
        <v>1411</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7"/>
      <c r="H16" s="1326" t="s">
        <v>1027</v>
      </c>
      <c r="I16" s="1327" t="s">
        <v>1419</v>
      </c>
      <c r="J16" s="353" t="e">
        <f ca="1">ROUND(J17+J22+J23+J24,0)</f>
        <v>#N/A</v>
      </c>
      <c r="K16" s="1334" t="s">
        <v>1420</v>
      </c>
      <c r="L16" s="1335"/>
      <c r="M16" s="1291"/>
    </row>
    <row r="17" spans="1:37" s="1854" customFormat="1" ht="18" customHeight="1">
      <c r="A17" s="1198" t="s">
        <v>1385</v>
      </c>
      <c r="B17" s="345" t="s">
        <v>1421</v>
      </c>
      <c r="C17" s="24" t="e">
        <f ca="1">ROUND(F17*(F43+INDIRECT("'数据-取费表'!S"&amp;$G$1)),0)</f>
        <v>#N/A</v>
      </c>
      <c r="D17" s="345" t="s">
        <v>1422</v>
      </c>
      <c r="E17" s="345" t="s">
        <v>1423</v>
      </c>
      <c r="F17" s="26">
        <f>'数据-取费表'!B35</f>
        <v>200</v>
      </c>
      <c r="G17" s="1850"/>
      <c r="H17" s="1198" t="s">
        <v>1032</v>
      </c>
      <c r="I17" s="345" t="s">
        <v>1424</v>
      </c>
      <c r="J17" s="24" t="e">
        <f ca="1">ROUND(IF(项目基本情况!B11="自然人",J6*M17/(1+'数据-取费表'!C42),J18+J19+J20),0)</f>
        <v>#N/A</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t="e">
        <f ca="1">ROUND(C14*F18,0)</f>
        <v>#N/A</v>
      </c>
      <c r="D18" s="345" t="s">
        <v>1416</v>
      </c>
      <c r="E18" s="345" t="s">
        <v>1417</v>
      </c>
      <c r="F18" s="365">
        <f>'数据-取费表'!B36</f>
        <v>1.4999999999999999E-2</v>
      </c>
      <c r="G18" s="1850"/>
      <c r="H18" s="1198" t="s">
        <v>1031</v>
      </c>
      <c r="I18" s="345" t="s">
        <v>1428</v>
      </c>
      <c r="J18" s="24" t="e">
        <f ca="1">ROUND(J6*M18/(1+'数据-取费表'!C42),0)</f>
        <v>#N/A</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t="e">
        <f ca="1">SUM(C14:C18)</f>
        <v>#N/A</v>
      </c>
      <c r="D19" s="138" t="s">
        <v>1431</v>
      </c>
      <c r="E19" s="1814"/>
      <c r="F19" s="26"/>
      <c r="G19" s="1847"/>
      <c r="H19" s="1198" t="s">
        <v>1033</v>
      </c>
      <c r="I19" s="345" t="s">
        <v>1432</v>
      </c>
      <c r="J19" s="24" t="e">
        <f ca="1">IF(K19="按租金收入计税",ROUND(J6*M19/(1+'数据-取费表'!C42),0),ROUND(C29*M19*0.7,0))</f>
        <v>#N/A</v>
      </c>
      <c r="K19" s="1824" t="s">
        <v>1433</v>
      </c>
      <c r="L19" s="345" t="s">
        <v>1417</v>
      </c>
      <c r="M19" s="365">
        <f>IF(K19="按租金收入计税",'数据-取费表'!B51,'数据-取费表'!B50)</f>
        <v>1.2E-2</v>
      </c>
    </row>
    <row r="20" spans="1:37" s="1854" customFormat="1" ht="18" customHeight="1">
      <c r="A20" s="1198" t="s">
        <v>1036</v>
      </c>
      <c r="B20" s="345" t="s">
        <v>1434</v>
      </c>
      <c r="C20" s="24" t="e">
        <f ca="1">ROUND(C19*F20,0)</f>
        <v>#N/A</v>
      </c>
      <c r="D20" s="367" t="s">
        <v>1435</v>
      </c>
      <c r="E20" s="345" t="s">
        <v>1417</v>
      </c>
      <c r="F20" s="365">
        <f>'数据-取费表'!B37</f>
        <v>0.03</v>
      </c>
      <c r="G20" s="1850"/>
      <c r="H20" s="1198" t="s">
        <v>1384</v>
      </c>
      <c r="I20" s="162" t="s">
        <v>1436</v>
      </c>
      <c r="J20" s="25" t="e">
        <f ca="1">ROUND(M20*M21,0)</f>
        <v>#N/A</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v>
      </c>
      <c r="D21" s="367" t="s">
        <v>1440</v>
      </c>
      <c r="E21" s="345" t="s">
        <v>1441</v>
      </c>
      <c r="F21" s="365">
        <f>'数据-取费表'!B38</f>
        <v>0.03</v>
      </c>
      <c r="G21" s="1850"/>
      <c r="H21" s="370"/>
      <c r="I21" s="354"/>
      <c r="J21" s="29"/>
      <c r="K21" s="371"/>
      <c r="L21" s="345" t="s">
        <v>1442</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t="e">
        <f ca="1">ROUND(J14*M22,0)</f>
        <v>#N/A</v>
      </c>
      <c r="K22" s="1794" t="s">
        <v>1445</v>
      </c>
      <c r="L22" s="345" t="s">
        <v>1417</v>
      </c>
      <c r="M22" s="372" t="e">
        <f ca="1">INDIRECT("'数据-取费表'!Ak"&amp;$G$1)</f>
        <v>#N/A</v>
      </c>
    </row>
    <row r="23" spans="1:37" s="1854"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50"/>
      <c r="H23" s="1198" t="s">
        <v>1072</v>
      </c>
      <c r="I23" s="345" t="s">
        <v>1448</v>
      </c>
      <c r="J23" s="24" t="e">
        <f ca="1">ROUND(J13*M23,0)</f>
        <v>#N/A</v>
      </c>
      <c r="K23" s="1794" t="s">
        <v>1449</v>
      </c>
      <c r="L23" s="345" t="s">
        <v>1450</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t="e">
        <f ca="1">ROUND(J5*M24,0)</f>
        <v>#N/A</v>
      </c>
      <c r="K24" s="1339" t="s">
        <v>1454</v>
      </c>
      <c r="L24" s="1337" t="s">
        <v>1450</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5" t="s">
        <v>1456</v>
      </c>
      <c r="C25" s="24"/>
      <c r="D25" s="138" t="s">
        <v>1457</v>
      </c>
      <c r="E25" s="1814"/>
      <c r="F25" s="26"/>
      <c r="G25" s="1847"/>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7"/>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7"/>
      <c r="H27" s="347"/>
      <c r="I27" s="348"/>
      <c r="J27" s="349"/>
      <c r="K27" s="376" t="s">
        <v>1468</v>
      </c>
      <c r="L27" s="345" t="s">
        <v>1469</v>
      </c>
      <c r="M27" s="377" t="e">
        <f ca="1">INDIRECT("'数据-取费表'!ag"&amp;$G$1)</f>
        <v>#N/A</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t="e">
        <f ca="1">ROUND((C19+C20+C23+C26)/(1-F21-C24-C27-C28),0)</f>
        <v>#N/A</v>
      </c>
      <c r="D29" s="1339"/>
      <c r="E29" s="1337"/>
      <c r="F29" s="1340"/>
      <c r="G29" s="1850"/>
      <c r="H29" s="378" t="s">
        <v>1030</v>
      </c>
      <c r="I29" s="379" t="s">
        <v>1474</v>
      </c>
      <c r="J29" s="380" t="e">
        <f ca="1">ROUND(J26/(1+F40)^F41,0)</f>
        <v>#N/A</v>
      </c>
      <c r="K29" s="381" t="s">
        <v>1475</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t="e">
        <f ca="1">ROUND(C31+C36+C37+C38,0)</f>
        <v>#N/A</v>
      </c>
      <c r="D30" s="1334" t="s">
        <v>1420</v>
      </c>
      <c r="E30" s="1335"/>
      <c r="F30" s="1291"/>
      <c r="G30" s="1847"/>
      <c r="H30" s="742"/>
      <c r="I30" s="743"/>
      <c r="J30" s="744"/>
      <c r="K30" s="745"/>
      <c r="L30" s="746"/>
      <c r="M30" s="747"/>
    </row>
    <row r="31" spans="1:37" ht="18" customHeight="1">
      <c r="A31" s="1198" t="s">
        <v>1032</v>
      </c>
      <c r="B31" s="345" t="s">
        <v>1424</v>
      </c>
      <c r="C31" s="24" t="e">
        <f ca="1">ROUND(IF(项目基本情况!B11="自然人",C6*F31/(1+'数据-取费表'!C42),C32+C33+C34),0)</f>
        <v>#N/A</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t="e">
        <f ca="1">IF(项目基本情况!B11="自然人","——",ROUND(C6*F32/(1+'数据-取费表'!C42),0))</f>
        <v>#N/A</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t="e">
        <f ca="1">IF(项目基本情况!B11="自然人","——",ROUND(F34*F35,))</f>
        <v>#N/A</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t="e">
        <f ca="1">INDIRECT("'数据-取费表'!r"&amp;$G$1)</f>
        <v>#N/A</v>
      </c>
      <c r="G35" s="1847"/>
      <c r="H35" s="742"/>
      <c r="I35" s="1856"/>
      <c r="J35" s="1857"/>
      <c r="K35" s="1858"/>
      <c r="L35" s="1855"/>
      <c r="M35" s="1855"/>
    </row>
    <row r="36" spans="1:18" ht="18" customHeight="1">
      <c r="A36" s="1349" t="s">
        <v>1036</v>
      </c>
      <c r="B36" s="345" t="s">
        <v>1444</v>
      </c>
      <c r="C36" s="24" t="e">
        <f ca="1">ROUND(C29*F36,0)</f>
        <v>#N/A</v>
      </c>
      <c r="D36" s="1794" t="s">
        <v>1477</v>
      </c>
      <c r="E36" s="345" t="s">
        <v>1417</v>
      </c>
      <c r="F36" s="372" t="e">
        <f ca="1">INDIRECT("'数据-取费表'!Ak"&amp;$G$1)</f>
        <v>#N/A</v>
      </c>
      <c r="G36" s="1847"/>
      <c r="H36" s="1855"/>
      <c r="I36" s="1856"/>
      <c r="J36" s="1857"/>
      <c r="K36" s="748"/>
      <c r="L36" s="1855"/>
      <c r="M36" s="1855"/>
    </row>
    <row r="37" spans="1:18" ht="18" customHeight="1">
      <c r="A37" s="1198" t="s">
        <v>1072</v>
      </c>
      <c r="B37" s="345" t="s">
        <v>1448</v>
      </c>
      <c r="C37" s="24" t="e">
        <f ca="1">ROUND(C13*F37,0)</f>
        <v>#N/A</v>
      </c>
      <c r="D37" s="1794" t="s">
        <v>1449</v>
      </c>
      <c r="E37" s="345" t="s">
        <v>1450</v>
      </c>
      <c r="F37" s="374" t="e">
        <f ca="1">INDIRECT("'数据-取费表'!Al"&amp;$G$1)</f>
        <v>#N/A</v>
      </c>
      <c r="G37" s="1847"/>
      <c r="H37" s="1855"/>
      <c r="I37" s="1856"/>
      <c r="J37" s="1857"/>
      <c r="K37" s="748"/>
      <c r="L37" s="1855"/>
      <c r="M37" s="1855"/>
    </row>
    <row r="38" spans="1:18" ht="18" customHeight="1" thickBot="1">
      <c r="A38" s="1336" t="s">
        <v>1388</v>
      </c>
      <c r="B38" s="1337" t="s">
        <v>1434</v>
      </c>
      <c r="C38" s="1338" t="e">
        <f ca="1">ROUND(C5*F38,1)</f>
        <v>#N/A</v>
      </c>
      <c r="D38" s="1339" t="s">
        <v>1454</v>
      </c>
      <c r="E38" s="1337" t="s">
        <v>1450</v>
      </c>
      <c r="F38" s="1333" t="e">
        <f ca="1">INDIRECT("'数据-取费表'!Am"&amp;$G$1)</f>
        <v>#N/A</v>
      </c>
      <c r="G38" s="1847"/>
      <c r="H38" s="1855"/>
      <c r="I38" s="1856"/>
      <c r="J38" s="1857"/>
      <c r="K38" s="1861"/>
      <c r="L38" s="1855"/>
      <c r="M38" s="1855"/>
    </row>
    <row r="39" spans="1:18" ht="24.6" customHeight="1" thickTop="1">
      <c r="A39" s="1326" t="s">
        <v>1028</v>
      </c>
      <c r="B39" s="1341" t="s">
        <v>1478</v>
      </c>
      <c r="C39" s="353" t="e">
        <f ca="1">C5-C30</f>
        <v>#N/A</v>
      </c>
      <c r="D39" s="1342" t="s">
        <v>1479</v>
      </c>
      <c r="E39" s="1343"/>
      <c r="F39" s="1344"/>
      <c r="G39" s="1847"/>
      <c r="H39" s="1855"/>
      <c r="I39" s="1856"/>
      <c r="J39" s="1857"/>
      <c r="K39" s="1861"/>
      <c r="L39" s="1855"/>
      <c r="M39" s="1855"/>
    </row>
    <row r="40" spans="1:18" ht="18" customHeight="1">
      <c r="A40" s="342" t="s">
        <v>1029</v>
      </c>
      <c r="B40" s="343" t="s">
        <v>1480</v>
      </c>
      <c r="C40" s="344" t="e">
        <f ca="1">ROUND(C39*(1-((1+F42)/(1+F40))^F41)/(F40-F42),0)</f>
        <v>#N/A</v>
      </c>
      <c r="D40" s="368" t="s">
        <v>1464</v>
      </c>
      <c r="E40" s="345" t="s">
        <v>1465</v>
      </c>
      <c r="F40" s="355" t="e">
        <f ca="1">INDIRECT("'数据-取费表'!I"&amp;$G$1)</f>
        <v>#N/A</v>
      </c>
      <c r="G40" s="1847"/>
      <c r="H40" s="1835"/>
      <c r="I40" s="1856"/>
      <c r="J40" s="1857"/>
      <c r="K40" s="1861"/>
      <c r="L40" s="1835"/>
      <c r="M40" s="1835"/>
    </row>
    <row r="41" spans="1:18" ht="18" customHeight="1">
      <c r="A41" s="347"/>
      <c r="B41" s="348"/>
      <c r="C41" s="349"/>
      <c r="D41" s="376" t="s">
        <v>1481</v>
      </c>
      <c r="E41" s="345" t="s">
        <v>1469</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1472</v>
      </c>
      <c r="F42" s="355" t="e">
        <f ca="1">INDIRECT("'数据-取费表'!v"&amp;$G$1)</f>
        <v>#N/A</v>
      </c>
      <c r="G42" s="1847"/>
      <c r="H42" s="729"/>
      <c r="I42" s="1856"/>
      <c r="J42" s="1857"/>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#N/A</v>
      </c>
      <c r="D45" s="1935" t="s">
        <v>1599</v>
      </c>
      <c r="E45" s="1862"/>
      <c r="F45" s="1862"/>
      <c r="O45" s="1865" t="s">
        <v>1514</v>
      </c>
      <c r="P45" s="1835"/>
      <c r="Q45" s="1835"/>
      <c r="R45" s="1835"/>
    </row>
    <row r="46" spans="1:18" s="1838" customFormat="1" ht="13.5" thickBot="1">
      <c r="A46" s="1866" t="s">
        <v>1515</v>
      </c>
      <c r="C46" s="1867" t="e">
        <f ca="1">ROUND(C45/10000,0)</f>
        <v>#N/A</v>
      </c>
      <c r="D46" s="1868" t="str">
        <f>C2</f>
        <v>万元</v>
      </c>
      <c r="I46" s="1869" t="s">
        <v>1516</v>
      </c>
      <c r="J46" s="1870"/>
      <c r="K46" s="1871"/>
      <c r="L46" s="1872" t="e">
        <f ca="1">IF(M47="住宅",0,IF(L48&gt;J51,L60,J60))</f>
        <v>#N/A</v>
      </c>
      <c r="O46" s="1873" t="s">
        <v>1517</v>
      </c>
      <c r="P46" s="1874" t="s">
        <v>1518</v>
      </c>
      <c r="Q46" s="1875" t="s">
        <v>1519</v>
      </c>
      <c r="R46" s="1875" t="s">
        <v>1520</v>
      </c>
    </row>
    <row r="47" spans="1:18" s="1838" customFormat="1" ht="13.5" thickBot="1">
      <c r="A47" s="1162" t="s">
        <v>1391</v>
      </c>
      <c r="B47" s="1194" t="s">
        <v>1392</v>
      </c>
      <c r="C47" s="1194" t="s">
        <v>1393</v>
      </c>
      <c r="D47" s="1194" t="s">
        <v>1394</v>
      </c>
      <c r="E47" s="1276" t="s">
        <v>1395</v>
      </c>
      <c r="F47" s="1277"/>
      <c r="G47" s="789"/>
      <c r="I47" s="1876" t="s">
        <v>1521</v>
      </c>
      <c r="J47" s="1877" t="s">
        <v>3088</v>
      </c>
      <c r="K47" s="1878" t="s">
        <v>1522</v>
      </c>
      <c r="L47" s="1879" t="e">
        <f ca="1">INDIRECT("'数据-取费表'!d"&amp;$G$1)</f>
        <v>#N/A</v>
      </c>
      <c r="M47" s="1834" t="str">
        <f>IF(ISNUMBER(FIND("住宅",C1)),"住宅","非住宅")</f>
        <v>非住宅</v>
      </c>
      <c r="O47" s="1880" t="s">
        <v>1037</v>
      </c>
      <c r="P47" s="1881" t="s">
        <v>1523</v>
      </c>
      <c r="Q47" s="1882" t="e">
        <f ca="1">C40+J29</f>
        <v>#N/A</v>
      </c>
      <c r="R47" s="1882" t="s">
        <v>1524</v>
      </c>
    </row>
    <row r="48" spans="1:18" s="1838" customFormat="1" ht="28.5" thickBot="1">
      <c r="A48" s="1357" t="s">
        <v>1132</v>
      </c>
      <c r="B48" s="343" t="s">
        <v>1396</v>
      </c>
      <c r="C48" s="1813" t="e">
        <f ca="1">C49+C53+C55</f>
        <v>#N/A</v>
      </c>
      <c r="D48" s="1359"/>
      <c r="E48" s="1360"/>
      <c r="F48" s="1178"/>
      <c r="G48" s="789"/>
      <c r="H48" s="790"/>
      <c r="I48" s="1883" t="s">
        <v>1525</v>
      </c>
      <c r="J48" s="1884" t="s">
        <v>3089</v>
      </c>
      <c r="K48" s="1885" t="s">
        <v>1526</v>
      </c>
      <c r="L48" s="1886" t="e">
        <f ca="1">INDIRECT("'数据-取费表'!f"&amp;$G$1)</f>
        <v>#N/A</v>
      </c>
      <c r="O48" s="1880" t="s">
        <v>1038</v>
      </c>
      <c r="P48" s="1881" t="s">
        <v>1527</v>
      </c>
      <c r="Q48" s="1882" t="e">
        <f ca="1">J60</f>
        <v>#N/A</v>
      </c>
      <c r="R48" s="1882" t="s">
        <v>1528</v>
      </c>
    </row>
    <row r="49" spans="1:18" s="1838" customFormat="1" ht="13.5" thickBot="1">
      <c r="A49" s="1191" t="s">
        <v>1133</v>
      </c>
      <c r="B49" s="1825" t="s">
        <v>1485</v>
      </c>
      <c r="C49" s="1361" t="e">
        <f ca="1">ROUND(F49*F51*F50*(1-F52),0)</f>
        <v>#N/A</v>
      </c>
      <c r="D49" s="1273" t="s">
        <v>1399</v>
      </c>
      <c r="E49" s="1826" t="s">
        <v>1486</v>
      </c>
      <c r="F49" s="1278"/>
      <c r="G49" s="1887"/>
      <c r="H49" s="790"/>
      <c r="I49" s="1883" t="s">
        <v>1529</v>
      </c>
      <c r="J49" s="1888"/>
      <c r="K49" s="1885" t="s">
        <v>1530</v>
      </c>
      <c r="L49" s="1889"/>
      <c r="O49" s="1890" t="s">
        <v>1039</v>
      </c>
      <c r="P49" s="1881" t="s">
        <v>1531</v>
      </c>
      <c r="Q49" s="1882" t="e">
        <f ca="1">C29</f>
        <v>#N/A</v>
      </c>
      <c r="R49" s="1882" t="s">
        <v>1524</v>
      </c>
    </row>
    <row r="50" spans="1:18" s="1838" customFormat="1" ht="13.5" thickBot="1">
      <c r="A50" s="1192"/>
      <c r="B50" s="1195"/>
      <c r="C50" s="1196"/>
      <c r="D50" s="1169"/>
      <c r="E50" s="1274" t="s">
        <v>1401</v>
      </c>
      <c r="F50" s="1275" t="e">
        <f ca="1">F7</f>
        <v>#N/A</v>
      </c>
      <c r="H50" s="790"/>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3"/>
      <c r="B51" s="1195"/>
      <c r="C51" s="1196"/>
      <c r="D51" s="1169"/>
      <c r="E51" s="1197" t="s">
        <v>1402</v>
      </c>
      <c r="F51" s="346" t="e">
        <f ca="1">F8</f>
        <v>#N/A</v>
      </c>
      <c r="I51" s="1894" t="s">
        <v>1535</v>
      </c>
      <c r="J51" s="1895">
        <f>IF(J49="",J50,J49+J50-YEAR('数据-取费表'!B2))</f>
        <v>60</v>
      </c>
      <c r="K51" s="1896" t="s">
        <v>1536</v>
      </c>
      <c r="L51" s="1897" t="e">
        <f ca="1">ROUND(-PV(INDIRECT("'数据-取费表'!h"&amp;$G$1),L48,(C39-C13*C76),0),0)</f>
        <v>#N/A</v>
      </c>
      <c r="M51" s="1898"/>
      <c r="O51" s="1890" t="s">
        <v>1041</v>
      </c>
      <c r="P51" s="1881" t="s">
        <v>1537</v>
      </c>
      <c r="Q51" s="1893">
        <f>J52</f>
        <v>0</v>
      </c>
      <c r="R51" s="1882"/>
    </row>
    <row r="52" spans="1:18" s="1838" customFormat="1" ht="13.5" thickBot="1">
      <c r="A52" s="1193"/>
      <c r="B52" s="1195"/>
      <c r="C52" s="1196"/>
      <c r="D52" s="1169"/>
      <c r="E52" s="1197" t="s">
        <v>1403</v>
      </c>
      <c r="F52" s="1272"/>
      <c r="I52" s="1899" t="s">
        <v>1538</v>
      </c>
      <c r="J52" s="1900"/>
      <c r="K52" s="1899" t="s">
        <v>1539</v>
      </c>
      <c r="L52" s="1900"/>
      <c r="O52" s="1890" t="s">
        <v>1042</v>
      </c>
      <c r="P52" s="1881" t="s">
        <v>1540</v>
      </c>
      <c r="Q52" s="1882" t="e">
        <f ca="1">J53</f>
        <v>#N/A</v>
      </c>
      <c r="R52" s="1882" t="s">
        <v>1541</v>
      </c>
    </row>
    <row r="53" spans="1:18" s="1838" customFormat="1" ht="30.75" customHeight="1" thickBot="1">
      <c r="A53" s="1358" t="s">
        <v>1134</v>
      </c>
      <c r="B53" s="367" t="s">
        <v>1404</v>
      </c>
      <c r="C53" s="359">
        <f ca="1">ROUND(IF(F53="押一",C49/12*F11,IF(F53="押二",C49/12*2*F11,IF(F53="押三",C49/12*3*F11,C54*F11))),0)</f>
        <v>0</v>
      </c>
      <c r="D53" s="1820" t="s">
        <v>3030</v>
      </c>
      <c r="E53" s="356" t="s">
        <v>1405</v>
      </c>
      <c r="F53" s="1363"/>
      <c r="I53" s="1901" t="s">
        <v>1542</v>
      </c>
      <c r="J53" s="2944" t="e">
        <f ca="1">IF(M47="住宅",IF(D1="——",MAX(J51,L48),MAX(J51,L48-'数据-取费表'!B24)),IF(D1="——",MIN(J51,L48),MIN(J51,L48-'数据-取费表'!B24)))</f>
        <v>#N/A</v>
      </c>
      <c r="K53" s="3284" t="s">
        <v>1543</v>
      </c>
      <c r="L53" s="3285"/>
      <c r="O53" s="1880" t="s">
        <v>1043</v>
      </c>
      <c r="P53" s="1881" t="s">
        <v>1544</v>
      </c>
      <c r="Q53" s="1882" t="e">
        <f ca="1">Q47+Q48</f>
        <v>#N/A</v>
      </c>
      <c r="R53" s="1882" t="s">
        <v>1044</v>
      </c>
    </row>
    <row r="54" spans="1:18" s="1838" customFormat="1" ht="13.5" thickBot="1">
      <c r="A54" s="1191"/>
      <c r="B54" s="1936" t="s">
        <v>1598</v>
      </c>
      <c r="C54" s="1175"/>
      <c r="D54" s="1820"/>
      <c r="E54" s="182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1545</v>
      </c>
      <c r="P54" s="1835"/>
      <c r="Q54" s="1835"/>
      <c r="R54" s="1835"/>
    </row>
    <row r="55" spans="1:18" s="1838" customFormat="1" ht="13.5" thickBot="1">
      <c r="A55" s="1330" t="s">
        <v>1072</v>
      </c>
      <c r="B55" s="1823" t="s">
        <v>1408</v>
      </c>
      <c r="C55" s="1331"/>
      <c r="D55" s="1820"/>
      <c r="E55" s="1828"/>
      <c r="F55" s="1902"/>
      <c r="I55" s="1905" t="s">
        <v>1546</v>
      </c>
      <c r="J55" s="1906" t="e">
        <f ca="1">ROUND(IF(J47="钢混",J57/J50,1-(1-2%)*(J50-J57)/J50),3)</f>
        <v>#N/A</v>
      </c>
      <c r="K55" s="1907" t="s">
        <v>1547</v>
      </c>
      <c r="L55" s="1908"/>
      <c r="O55" s="1873" t="s">
        <v>1517</v>
      </c>
      <c r="P55" s="1874" t="s">
        <v>1518</v>
      </c>
      <c r="Q55" s="1875" t="s">
        <v>1519</v>
      </c>
      <c r="R55" s="1875" t="s">
        <v>1520</v>
      </c>
    </row>
    <row r="56" spans="1:18" s="1838" customFormat="1" ht="36" customHeight="1" thickTop="1" thickBot="1">
      <c r="A56" s="1173">
        <v>2</v>
      </c>
      <c r="B56" s="1174" t="s">
        <v>1409</v>
      </c>
      <c r="C56" s="274" t="e">
        <f ca="1">C13</f>
        <v>#N/A</v>
      </c>
      <c r="D56" s="1909"/>
      <c r="E56" s="1910"/>
      <c r="F56" s="1902"/>
      <c r="I56" s="1911" t="s">
        <v>1549</v>
      </c>
      <c r="J56" s="1912" t="s">
        <v>3056</v>
      </c>
      <c r="K56" s="1883" t="s">
        <v>1550</v>
      </c>
      <c r="L56" s="1886" t="e">
        <f ca="1">IF(L48&lt;J51,"——",L48-J51)</f>
        <v>#N/A</v>
      </c>
      <c r="O56" s="1880" t="s">
        <v>1037</v>
      </c>
      <c r="P56" s="1881" t="s">
        <v>1523</v>
      </c>
      <c r="Q56" s="1882" t="e">
        <f ca="1">C40+J29</f>
        <v>#N/A</v>
      </c>
      <c r="R56" s="1882" t="s">
        <v>1524</v>
      </c>
    </row>
    <row r="57" spans="1:18" s="1838" customFormat="1" ht="24.75" thickBot="1">
      <c r="A57" s="1913"/>
      <c r="B57" s="1166" t="s">
        <v>1473</v>
      </c>
      <c r="C57" s="280" t="e">
        <f ca="1">C29</f>
        <v>#N/A</v>
      </c>
      <c r="D57" s="1914"/>
      <c r="E57" s="1915"/>
      <c r="F57" s="1916"/>
      <c r="I57" s="1917" t="s">
        <v>1551</v>
      </c>
      <c r="J57" s="1918"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75" thickBot="1">
      <c r="A58" s="358" t="s">
        <v>1027</v>
      </c>
      <c r="B58" s="1174" t="s">
        <v>1419</v>
      </c>
      <c r="C58" s="359" t="e">
        <f ca="1">ROUND(C59+C64+C65+C66,0)</f>
        <v>#N/A</v>
      </c>
      <c r="D58" s="1176" t="s">
        <v>1420</v>
      </c>
      <c r="E58" s="1177"/>
      <c r="F58" s="1178"/>
      <c r="I58" s="1917" t="s">
        <v>1555</v>
      </c>
      <c r="J58" s="1919"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7" t="s">
        <v>1558</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5" thickBot="1">
      <c r="A60" s="1198" t="s">
        <v>1031</v>
      </c>
      <c r="B60" s="1166" t="s">
        <v>1428</v>
      </c>
      <c r="C60" s="24" t="e">
        <f ca="1">IF(项目基本情况!B11="自然人","——",ROUND(C48*F60/(1+'数据-取费表'!C42),0))</f>
        <v>#N/A</v>
      </c>
      <c r="D60" s="1180" t="s">
        <v>1429</v>
      </c>
      <c r="E60" s="1166" t="s">
        <v>1417</v>
      </c>
      <c r="F60" s="375">
        <f t="shared" ref="F60:F66" si="0">F32</f>
        <v>5.5000000000000007E-2</v>
      </c>
      <c r="I60" s="1920" t="s">
        <v>1560</v>
      </c>
      <c r="J60" s="1921" t="e">
        <f ca="1">IF(OR(M47="住宅",J51&lt;L48,J56="是"),"0",ROUND(J59/(1+J52)^J53,0))</f>
        <v>#N/A</v>
      </c>
      <c r="K60" s="1922" t="s">
        <v>1561</v>
      </c>
      <c r="L60" s="1921" t="e">
        <f ca="1">IF(OR(M47="住宅",L48&lt;J51),0,ROUND(L57*(L58/L59-1),0))</f>
        <v>#N/A</v>
      </c>
      <c r="O60" s="1890" t="s">
        <v>1041</v>
      </c>
      <c r="P60" s="1881" t="s">
        <v>1562</v>
      </c>
      <c r="Q60" s="1882" t="e">
        <f ca="1">L58</f>
        <v>#N/A</v>
      </c>
      <c r="R60" s="1882" t="s">
        <v>1563</v>
      </c>
    </row>
    <row r="61" spans="1:18" s="1838" customFormat="1" ht="13.5" thickBot="1">
      <c r="A61" s="1198" t="s">
        <v>1487</v>
      </c>
      <c r="B61" s="1166" t="s">
        <v>1488</v>
      </c>
      <c r="C61" s="24" t="e">
        <f ca="1">IF(项目基本情况!B11="自然人","——",IF(D61="按租金收入计税",ROUND(C48*F61,0),IF(D61="按房产原值计税",ROUND(C57*F61*0.7,0),INDIRECT("'数据-取费表'!Aj"&amp;$G$1))))</f>
        <v>#N/A</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#N/A</v>
      </c>
      <c r="R61" s="1882" t="s">
        <v>1564</v>
      </c>
    </row>
    <row r="62" spans="1:18" s="1838" customFormat="1" ht="13.5" thickBot="1">
      <c r="A62" s="1198" t="s">
        <v>1490</v>
      </c>
      <c r="B62" s="1165" t="s">
        <v>1491</v>
      </c>
      <c r="C62" s="25" t="e">
        <f ca="1">IF(项目基本情况!B11="自然人","——",ROUND(F62*F63,0))</f>
        <v>#N/A</v>
      </c>
      <c r="D62" s="1181" t="s">
        <v>1492</v>
      </c>
      <c r="E62" s="1166" t="s">
        <v>1493</v>
      </c>
      <c r="F62" s="369">
        <f t="shared" si="0"/>
        <v>1.5</v>
      </c>
      <c r="I62" s="1924" t="s">
        <v>1565</v>
      </c>
      <c r="J62" s="1925" t="s">
        <v>1566</v>
      </c>
      <c r="K62" s="1925" t="s">
        <v>1567</v>
      </c>
      <c r="L62" s="1925" t="s">
        <v>1568</v>
      </c>
      <c r="M62" s="1926" t="s">
        <v>1569</v>
      </c>
      <c r="O62" s="1880" t="s">
        <v>1043</v>
      </c>
      <c r="P62" s="1881" t="s">
        <v>1570</v>
      </c>
      <c r="Q62" s="1882" t="e">
        <f ca="1">Q56+Q57</f>
        <v>#N/A</v>
      </c>
      <c r="R62" s="1882" t="s">
        <v>1044</v>
      </c>
    </row>
    <row r="63" spans="1:18" s="1838" customFormat="1" ht="13.5" thickBot="1">
      <c r="A63" s="370"/>
      <c r="B63" s="1172"/>
      <c r="C63" s="29"/>
      <c r="D63" s="1182"/>
      <c r="E63" s="1166" t="s">
        <v>1494</v>
      </c>
      <c r="F63" s="346" t="e">
        <f t="shared" ca="1" si="0"/>
        <v>#N/A</v>
      </c>
      <c r="I63" s="1924" t="s">
        <v>1571</v>
      </c>
      <c r="J63" s="1925">
        <v>70</v>
      </c>
      <c r="K63" s="1925">
        <v>50</v>
      </c>
      <c r="L63" s="1925">
        <v>80</v>
      </c>
      <c r="M63" s="1927">
        <v>0.02</v>
      </c>
      <c r="O63" s="1865" t="s">
        <v>1572</v>
      </c>
      <c r="P63" s="1835"/>
      <c r="Q63" s="1835"/>
      <c r="R63" s="1835"/>
    </row>
    <row r="64" spans="1:18" s="1838" customFormat="1" ht="13.5" thickBot="1">
      <c r="A64" s="1198" t="s">
        <v>1495</v>
      </c>
      <c r="B64" s="1166" t="s">
        <v>1496</v>
      </c>
      <c r="C64" s="24" t="e">
        <f ca="1">ROUND(C57*F64,0)</f>
        <v>#N/A</v>
      </c>
      <c r="D64" s="1180" t="s">
        <v>1497</v>
      </c>
      <c r="E64" s="1166" t="s">
        <v>1489</v>
      </c>
      <c r="F64" s="372" t="e">
        <f t="shared" ca="1" si="0"/>
        <v>#N/A</v>
      </c>
      <c r="I64" s="1924" t="s">
        <v>1573</v>
      </c>
      <c r="J64" s="1925">
        <v>50</v>
      </c>
      <c r="K64" s="1925">
        <v>35</v>
      </c>
      <c r="L64" s="1925">
        <v>60</v>
      </c>
      <c r="M64" s="1926">
        <v>0</v>
      </c>
      <c r="O64" s="1873" t="s">
        <v>1517</v>
      </c>
      <c r="P64" s="1874" t="s">
        <v>1518</v>
      </c>
      <c r="Q64" s="1875" t="s">
        <v>1519</v>
      </c>
      <c r="R64" s="1875" t="s">
        <v>1520</v>
      </c>
    </row>
    <row r="65" spans="1:18" s="1838" customFormat="1" ht="13.5" thickBot="1">
      <c r="A65" s="1198" t="s">
        <v>1498</v>
      </c>
      <c r="B65" s="1166" t="s">
        <v>1448</v>
      </c>
      <c r="C65" s="24" t="e">
        <f ca="1">ROUND(C56*F65,0)</f>
        <v>#N/A</v>
      </c>
      <c r="D65" s="1180" t="s">
        <v>1449</v>
      </c>
      <c r="E65" s="1166" t="s">
        <v>1450</v>
      </c>
      <c r="F65" s="374" t="e">
        <f t="shared" ca="1" si="0"/>
        <v>#N/A</v>
      </c>
      <c r="I65" s="1924" t="s">
        <v>1574</v>
      </c>
      <c r="J65" s="1925">
        <v>40</v>
      </c>
      <c r="K65" s="1925">
        <v>30</v>
      </c>
      <c r="L65" s="1925">
        <v>50</v>
      </c>
      <c r="M65" s="1927">
        <v>0.02</v>
      </c>
      <c r="O65" s="1880" t="s">
        <v>1037</v>
      </c>
      <c r="P65" s="1881" t="s">
        <v>1575</v>
      </c>
      <c r="Q65" s="1882" t="e">
        <f ca="1">C40+J29</f>
        <v>#N/A</v>
      </c>
      <c r="R65" s="1882" t="s">
        <v>1524</v>
      </c>
    </row>
    <row r="66" spans="1:18" s="1838" customFormat="1" ht="16.5" thickBot="1">
      <c r="A66" s="1198" t="s">
        <v>1499</v>
      </c>
      <c r="B66" s="1166" t="s">
        <v>1434</v>
      </c>
      <c r="C66" s="24" t="e">
        <f ca="1">ROUND(C48*F66,0)</f>
        <v>#N/A</v>
      </c>
      <c r="D66" s="1180" t="s">
        <v>1500</v>
      </c>
      <c r="E66" s="1166" t="s">
        <v>1417</v>
      </c>
      <c r="F66" s="355" t="e">
        <f t="shared" ca="1" si="0"/>
        <v>#N/A</v>
      </c>
      <c r="O66" s="1880" t="s">
        <v>1038</v>
      </c>
      <c r="P66" s="1881" t="s">
        <v>1553</v>
      </c>
      <c r="Q66" s="1882" t="e">
        <f ca="1">L60</f>
        <v>#N/A</v>
      </c>
      <c r="R66" s="1882" t="s">
        <v>1576</v>
      </c>
    </row>
    <row r="67" spans="1:18" s="1838" customFormat="1" ht="16.5" thickBot="1">
      <c r="A67" s="1173" t="s">
        <v>1028</v>
      </c>
      <c r="B67" s="1183" t="s">
        <v>1458</v>
      </c>
      <c r="C67" s="359" t="e">
        <f ca="1">C48-C58</f>
        <v>#N/A</v>
      </c>
      <c r="D67" s="1179" t="s">
        <v>1459</v>
      </c>
      <c r="E67" s="1184"/>
      <c r="F67" s="1185"/>
      <c r="O67" s="1890" t="s">
        <v>1039</v>
      </c>
      <c r="P67" s="1881" t="s">
        <v>1557</v>
      </c>
      <c r="Q67" s="1928" t="e">
        <f ca="1">L51</f>
        <v>#N/A</v>
      </c>
      <c r="R67" s="1882" t="s">
        <v>1577</v>
      </c>
    </row>
    <row r="68" spans="1:18" s="1838" customFormat="1" ht="16.5" thickBot="1">
      <c r="A68" s="1163" t="s">
        <v>1029</v>
      </c>
      <c r="B68" s="1164" t="s">
        <v>1480</v>
      </c>
      <c r="C68" s="344" t="e">
        <f ca="1">ROUND(C67*(1-((1+F70)/(1+F68))^F69)/(F68-F70),0)</f>
        <v>#N/A</v>
      </c>
      <c r="D68" s="1181" t="s">
        <v>1464</v>
      </c>
      <c r="E68" s="1166" t="s">
        <v>1465</v>
      </c>
      <c r="F68" s="355" t="e">
        <f ca="1">F40</f>
        <v>#N/A</v>
      </c>
      <c r="O68" s="1890" t="s">
        <v>1040</v>
      </c>
      <c r="P68" s="1929" t="s">
        <v>1578</v>
      </c>
      <c r="Q68" s="1882" t="e">
        <f ca="1">ROUND(Q69-Q70*Q71,0)</f>
        <v>#N/A</v>
      </c>
      <c r="R68" s="1882" t="s">
        <v>1048</v>
      </c>
    </row>
    <row r="69" spans="1:18" s="1838" customFormat="1" ht="13.5" thickBot="1">
      <c r="A69" s="1167"/>
      <c r="B69" s="1168"/>
      <c r="C69" s="349"/>
      <c r="D69" s="1186" t="s">
        <v>1468</v>
      </c>
      <c r="E69" s="1166" t="s">
        <v>1469</v>
      </c>
      <c r="F69" s="377" t="e">
        <f ca="1">F41</f>
        <v>#N/A</v>
      </c>
      <c r="O69" s="1890" t="s">
        <v>1045</v>
      </c>
      <c r="P69" s="1929" t="s">
        <v>1579</v>
      </c>
      <c r="Q69" s="1882" t="e">
        <f ca="1">C39</f>
        <v>#N/A</v>
      </c>
      <c r="R69" s="1882" t="s">
        <v>1524</v>
      </c>
    </row>
    <row r="70" spans="1:18" s="1838" customFormat="1" ht="13.5" thickBot="1">
      <c r="A70" s="1170"/>
      <c r="B70" s="1171"/>
      <c r="C70" s="353"/>
      <c r="D70" s="1182"/>
      <c r="E70" s="1166" t="s">
        <v>1472</v>
      </c>
      <c r="F70" s="1272" t="e">
        <f ca="1">F42</f>
        <v>#N/A</v>
      </c>
      <c r="O70" s="1890" t="s">
        <v>1046</v>
      </c>
      <c r="P70" s="1929" t="s">
        <v>1580</v>
      </c>
      <c r="Q70" s="1882" t="e">
        <f ca="1">C13</f>
        <v>#N/A</v>
      </c>
      <c r="R70" s="1882" t="s">
        <v>1524</v>
      </c>
    </row>
    <row r="71" spans="1:18" s="1838" customFormat="1" ht="13.5" thickBot="1">
      <c r="A71" s="1187" t="s">
        <v>1030</v>
      </c>
      <c r="B71" s="1188" t="s">
        <v>1482</v>
      </c>
      <c r="C71" s="380" t="e">
        <f ca="1">ROUND(C68/F71,0)</f>
        <v>#N/A</v>
      </c>
      <c r="D71" s="1189" t="s">
        <v>1483</v>
      </c>
      <c r="E71" s="1190" t="s">
        <v>1484</v>
      </c>
      <c r="F71" s="383" t="e">
        <f ca="1">F43</f>
        <v>#N/A</v>
      </c>
      <c r="O71" s="1890" t="s">
        <v>1047</v>
      </c>
      <c r="P71" s="1929" t="s">
        <v>1581</v>
      </c>
      <c r="Q71" s="1893" t="e">
        <f ca="1">C76</f>
        <v>#N/A</v>
      </c>
      <c r="R71" s="1882"/>
    </row>
    <row r="72" spans="1:18" s="1838" customFormat="1" ht="13.5" thickBot="1">
      <c r="B72" s="793"/>
      <c r="C72" s="793"/>
      <c r="O72" s="1890" t="s">
        <v>1041</v>
      </c>
      <c r="P72" s="1881" t="s">
        <v>1559</v>
      </c>
      <c r="Q72" s="1893">
        <f>L52</f>
        <v>0</v>
      </c>
      <c r="R72" s="1882"/>
    </row>
    <row r="73" spans="1:18" ht="16.5" thickBot="1">
      <c r="A73" s="1838"/>
      <c r="B73" s="793"/>
      <c r="C73" s="793"/>
      <c r="D73" s="1838"/>
      <c r="E73" s="1838"/>
      <c r="F73" s="1838"/>
      <c r="O73" s="1890" t="s">
        <v>1042</v>
      </c>
      <c r="P73" s="1881" t="s">
        <v>1562</v>
      </c>
      <c r="Q73" s="1882" t="e">
        <f ca="1">L58</f>
        <v>#N/A</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#N/A</v>
      </c>
      <c r="R74" s="1882" t="s">
        <v>1564</v>
      </c>
    </row>
    <row r="75" spans="1:18" ht="13.5" thickBot="1">
      <c r="A75" s="1838"/>
      <c r="B75" s="384" t="s">
        <v>1501</v>
      </c>
      <c r="C75" s="385" t="e">
        <f ca="1">ROUND(C13*C76,0)</f>
        <v>#N/A</v>
      </c>
      <c r="D75" s="1838"/>
      <c r="E75" s="1838"/>
      <c r="F75" s="1838"/>
      <c r="K75" s="1864"/>
      <c r="L75" s="1838"/>
      <c r="O75" s="1880" t="s">
        <v>1043</v>
      </c>
      <c r="P75" s="1881" t="s">
        <v>1544</v>
      </c>
      <c r="Q75" s="1882" t="e">
        <f ca="1">Q65+Q66</f>
        <v>#N/A</v>
      </c>
      <c r="R75" s="1882" t="s">
        <v>1044</v>
      </c>
    </row>
    <row r="76" spans="1:18">
      <c r="B76" s="386" t="s">
        <v>1502</v>
      </c>
      <c r="C76" s="387" t="e">
        <f ca="1">INDIRECT("'数据-取费表'!j"&amp;$G$1)</f>
        <v>#N/A</v>
      </c>
      <c r="I76" s="1838"/>
      <c r="J76" s="1838"/>
      <c r="K76" s="1864"/>
      <c r="L76" s="1838"/>
    </row>
    <row r="77" spans="1:18">
      <c r="B77" s="388" t="s">
        <v>1503</v>
      </c>
      <c r="C77" s="389"/>
      <c r="I77" s="1838"/>
      <c r="J77" s="1838"/>
      <c r="K77" s="1864"/>
      <c r="L77" s="1838"/>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2520</v>
      </c>
      <c r="B1" s="2556"/>
      <c r="C1" s="2556"/>
      <c r="D1" s="2556"/>
      <c r="E1" s="2557"/>
    </row>
    <row r="2" spans="1:6" ht="15.75">
      <c r="A2" s="2558" t="s">
        <v>2321</v>
      </c>
      <c r="B2" s="2559">
        <f ca="1">SUMIF(B6:B13,"&lt;&gt;#ref!",B6:B13)</f>
        <v>257250</v>
      </c>
      <c r="C2" s="2560" t="s">
        <v>2513</v>
      </c>
      <c r="D2" s="2561" t="s">
        <v>2514</v>
      </c>
      <c r="E2" s="2562">
        <f>SUM(E6:E13)</f>
        <v>79297.55</v>
      </c>
    </row>
    <row r="3" spans="1:6" ht="15.75">
      <c r="A3" s="2558" t="s">
        <v>1390</v>
      </c>
      <c r="B3" s="2559">
        <f ca="1">ROUND(B2*10000/E2,0)</f>
        <v>32441</v>
      </c>
      <c r="C3" s="2560" t="s">
        <v>2521</v>
      </c>
      <c r="D3" s="2563"/>
      <c r="E3" s="2564"/>
    </row>
    <row r="4" spans="1:6" ht="15.75">
      <c r="A4" s="2565"/>
      <c r="B4" s="2563"/>
      <c r="C4" s="2563"/>
      <c r="D4" s="2563"/>
      <c r="E4" s="2564"/>
    </row>
    <row r="5" spans="1:6" ht="15">
      <c r="A5" s="2566" t="s">
        <v>2515</v>
      </c>
      <c r="B5" s="3289" t="s">
        <v>2516</v>
      </c>
      <c r="C5" s="3289"/>
      <c r="D5" s="2567"/>
      <c r="E5" s="2568" t="s">
        <v>2517</v>
      </c>
      <c r="F5" s="2569" t="s">
        <v>2518</v>
      </c>
    </row>
    <row r="6" spans="1:6">
      <c r="A6" s="2570" t="str">
        <f>'数据-取费表'!AN6</f>
        <v>收益法</v>
      </c>
      <c r="B6" s="2569">
        <f ca="1">IF(F6="是",'数据-取费表'!AO6,0)</f>
        <v>257250</v>
      </c>
      <c r="C6" s="2560" t="s">
        <v>2513</v>
      </c>
      <c r="D6" s="2563"/>
      <c r="E6" s="2571">
        <f>IF(OR(A6=0,F6="否"),0,'数据-取费表'!K6+'数据-取费表'!S6)</f>
        <v>79297.55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90" t="s">
        <v>1073</v>
      </c>
      <c r="B1" s="3291"/>
      <c r="C1" s="3292"/>
      <c r="D1" s="3293">
        <f>SUM(I10,I15,I20,I21,I23)</f>
        <v>0</v>
      </c>
      <c r="E1" s="3293"/>
      <c r="F1" s="3293"/>
      <c r="G1" s="3293"/>
      <c r="H1" s="3293"/>
      <c r="I1" s="3294"/>
    </row>
    <row r="2" spans="1:9">
      <c r="A2" s="3295" t="s">
        <v>1074</v>
      </c>
      <c r="B2" s="3296" t="s">
        <v>1075</v>
      </c>
      <c r="C2" s="3296"/>
      <c r="D2" s="1298" t="s">
        <v>1076</v>
      </c>
      <c r="E2" s="1298" t="s">
        <v>1077</v>
      </c>
      <c r="F2" s="1298" t="s">
        <v>1078</v>
      </c>
      <c r="G2" s="1298" t="s">
        <v>1079</v>
      </c>
      <c r="H2" s="1298" t="s">
        <v>1080</v>
      </c>
      <c r="I2" s="1299" t="s">
        <v>1081</v>
      </c>
    </row>
    <row r="3" spans="1:9">
      <c r="A3" s="3295"/>
      <c r="B3" s="3296" t="s">
        <v>1082</v>
      </c>
      <c r="C3" s="3296"/>
      <c r="D3" s="1300"/>
      <c r="E3" s="1298"/>
      <c r="F3" s="1301"/>
      <c r="G3" s="1301"/>
      <c r="H3" s="1302"/>
      <c r="I3" s="1303">
        <f>ROUND(D3*E3*F3*G3*H3/10000,0)</f>
        <v>0</v>
      </c>
    </row>
    <row r="4" spans="1:9">
      <c r="A4" s="3295"/>
      <c r="B4" s="3296" t="s">
        <v>1083</v>
      </c>
      <c r="C4" s="3296"/>
      <c r="D4" s="1300"/>
      <c r="E4" s="1298"/>
      <c r="F4" s="1301"/>
      <c r="G4" s="1301"/>
      <c r="H4" s="1302"/>
      <c r="I4" s="1303">
        <f t="shared" ref="I4:I9" si="0">ROUND(D4*E4*F4*G4*H4/10000,0)</f>
        <v>0</v>
      </c>
    </row>
    <row r="5" spans="1:9">
      <c r="A5" s="3295"/>
      <c r="B5" s="3296" t="s">
        <v>1084</v>
      </c>
      <c r="C5" s="3296"/>
      <c r="D5" s="1300"/>
      <c r="E5" s="1298"/>
      <c r="F5" s="1301"/>
      <c r="G5" s="1301"/>
      <c r="H5" s="1302"/>
      <c r="I5" s="1303">
        <f t="shared" si="0"/>
        <v>0</v>
      </c>
    </row>
    <row r="6" spans="1:9">
      <c r="A6" s="3295"/>
      <c r="B6" s="3296" t="s">
        <v>1085</v>
      </c>
      <c r="C6" s="3296"/>
      <c r="D6" s="1300"/>
      <c r="E6" s="1298"/>
      <c r="F6" s="1301"/>
      <c r="G6" s="1301"/>
      <c r="H6" s="1302"/>
      <c r="I6" s="1303">
        <f t="shared" si="0"/>
        <v>0</v>
      </c>
    </row>
    <row r="7" spans="1:9">
      <c r="A7" s="3295"/>
      <c r="B7" s="3296" t="s">
        <v>1086</v>
      </c>
      <c r="C7" s="3296"/>
      <c r="D7" s="1300"/>
      <c r="E7" s="1298"/>
      <c r="F7" s="1301"/>
      <c r="G7" s="1301"/>
      <c r="H7" s="1302"/>
      <c r="I7" s="1303">
        <f t="shared" si="0"/>
        <v>0</v>
      </c>
    </row>
    <row r="8" spans="1:9">
      <c r="A8" s="3295"/>
      <c r="B8" s="3296" t="s">
        <v>1087</v>
      </c>
      <c r="C8" s="3296"/>
      <c r="D8" s="1300"/>
      <c r="E8" s="1298"/>
      <c r="F8" s="1301"/>
      <c r="G8" s="1301"/>
      <c r="H8" s="1302"/>
      <c r="I8" s="1303">
        <f t="shared" si="0"/>
        <v>0</v>
      </c>
    </row>
    <row r="9" spans="1:9">
      <c r="A9" s="3295"/>
      <c r="B9" s="3296" t="s">
        <v>1088</v>
      </c>
      <c r="C9" s="3296"/>
      <c r="D9" s="1300"/>
      <c r="E9" s="1298"/>
      <c r="F9" s="1301"/>
      <c r="G9" s="1301"/>
      <c r="H9" s="1302"/>
      <c r="I9" s="1303">
        <f t="shared" si="0"/>
        <v>0</v>
      </c>
    </row>
    <row r="10" spans="1:9">
      <c r="A10" s="3295"/>
      <c r="B10" s="3297" t="s">
        <v>1089</v>
      </c>
      <c r="C10" s="3297"/>
      <c r="D10" s="1304"/>
      <c r="E10" s="1304" t="e">
        <f>ROUND(D1*10000/D10/H9,0)</f>
        <v>#DIV/0!</v>
      </c>
      <c r="F10" s="1305"/>
      <c r="G10" s="1305"/>
      <c r="H10" s="1306"/>
      <c r="I10" s="1307">
        <f>SUM(I3:I9)</f>
        <v>0</v>
      </c>
    </row>
    <row r="11" spans="1:9" ht="14.25">
      <c r="A11" s="3295" t="s">
        <v>1090</v>
      </c>
      <c r="B11" s="3296" t="s">
        <v>1091</v>
      </c>
      <c r="C11" s="3296"/>
      <c r="D11" s="1300" t="s">
        <v>1092</v>
      </c>
      <c r="E11" s="1300" t="s">
        <v>1093</v>
      </c>
      <c r="F11" s="1301" t="s">
        <v>1094</v>
      </c>
      <c r="G11" s="1301" t="s">
        <v>1080</v>
      </c>
      <c r="H11" s="1308" t="s">
        <v>1095</v>
      </c>
      <c r="I11" s="1299" t="s">
        <v>1081</v>
      </c>
    </row>
    <row r="12" spans="1:9">
      <c r="A12" s="3295"/>
      <c r="B12" s="3296" t="s">
        <v>1096</v>
      </c>
      <c r="C12" s="3296"/>
      <c r="D12" s="1300"/>
      <c r="E12" s="1300"/>
      <c r="F12" s="1301"/>
      <c r="G12" s="1302"/>
      <c r="H12" s="1309"/>
      <c r="I12" s="1299">
        <f>ROUND(D12*E12*F12*G12/10000,0)</f>
        <v>0</v>
      </c>
    </row>
    <row r="13" spans="1:9">
      <c r="A13" s="3295"/>
      <c r="B13" s="3296" t="s">
        <v>1097</v>
      </c>
      <c r="C13" s="3296"/>
      <c r="D13" s="1300"/>
      <c r="E13" s="1300"/>
      <c r="F13" s="1301"/>
      <c r="G13" s="1302"/>
      <c r="H13" s="1309"/>
      <c r="I13" s="1299">
        <f>ROUND(D13*E13*F13*G13/10000,0)</f>
        <v>0</v>
      </c>
    </row>
    <row r="14" spans="1:9">
      <c r="A14" s="3295"/>
      <c r="B14" s="3296" t="s">
        <v>1098</v>
      </c>
      <c r="C14" s="3296"/>
      <c r="D14" s="1300"/>
      <c r="E14" s="1300"/>
      <c r="F14" s="1301"/>
      <c r="G14" s="1302"/>
      <c r="H14" s="1309"/>
      <c r="I14" s="1299">
        <f>ROUND(D14*E14*F14*G14/10000,0)</f>
        <v>0</v>
      </c>
    </row>
    <row r="15" spans="1:9">
      <c r="A15" s="3295"/>
      <c r="B15" s="3297" t="s">
        <v>1089</v>
      </c>
      <c r="C15" s="3297"/>
      <c r="D15" s="1304"/>
      <c r="E15" s="1304">
        <f>SUM(E12:E14)</f>
        <v>0</v>
      </c>
      <c r="F15" s="1305"/>
      <c r="G15" s="1302"/>
      <c r="H15" s="1309"/>
      <c r="I15" s="1310">
        <f>SUM(I12:I14)</f>
        <v>0</v>
      </c>
    </row>
    <row r="16" spans="1:9" ht="24">
      <c r="A16" s="3295" t="s">
        <v>1099</v>
      </c>
      <c r="B16" s="3296" t="s">
        <v>1100</v>
      </c>
      <c r="C16" s="3296"/>
      <c r="D16" s="1300" t="s">
        <v>1076</v>
      </c>
      <c r="E16" s="1311" t="s">
        <v>1101</v>
      </c>
      <c r="F16" s="1301" t="s">
        <v>1102</v>
      </c>
      <c r="G16" s="1302" t="s">
        <v>1080</v>
      </c>
      <c r="H16" s="1308" t="s">
        <v>1095</v>
      </c>
      <c r="I16" s="1299" t="s">
        <v>1081</v>
      </c>
    </row>
    <row r="17" spans="1:9" ht="14.25">
      <c r="A17" s="3295"/>
      <c r="B17" s="3296" t="s">
        <v>1103</v>
      </c>
      <c r="C17" s="3296"/>
      <c r="D17" s="1300"/>
      <c r="E17" s="1300"/>
      <c r="F17" s="1301"/>
      <c r="G17" s="1302"/>
      <c r="H17" s="1312"/>
      <c r="I17" s="1313">
        <f>ROUND(D17*E17*F17*G17/10000,0)</f>
        <v>0</v>
      </c>
    </row>
    <row r="18" spans="1:9" ht="14.25">
      <c r="A18" s="3295"/>
      <c r="B18" s="3296" t="s">
        <v>1104</v>
      </c>
      <c r="C18" s="3296"/>
      <c r="D18" s="1300"/>
      <c r="E18" s="1300"/>
      <c r="F18" s="1301"/>
      <c r="G18" s="1302"/>
      <c r="H18" s="1312"/>
      <c r="I18" s="1313">
        <f>ROUND(D18*E18*F18*G18/10000,0)</f>
        <v>0</v>
      </c>
    </row>
    <row r="19" spans="1:9" ht="14.25">
      <c r="A19" s="3295"/>
      <c r="B19" s="3296" t="s">
        <v>1105</v>
      </c>
      <c r="C19" s="3296"/>
      <c r="D19" s="1300"/>
      <c r="E19" s="1300"/>
      <c r="F19" s="1301"/>
      <c r="G19" s="1302"/>
      <c r="H19" s="1312"/>
      <c r="I19" s="1313">
        <f>ROUND(D19*E19*F19*G19/10000,0)</f>
        <v>0</v>
      </c>
    </row>
    <row r="20" spans="1:9">
      <c r="A20" s="3295"/>
      <c r="B20" s="3297" t="s">
        <v>1089</v>
      </c>
      <c r="C20" s="3297"/>
      <c r="D20" s="1304">
        <f>SUM(D17:D19)</f>
        <v>0</v>
      </c>
      <c r="E20" s="1304"/>
      <c r="F20" s="1305"/>
      <c r="G20" s="1302"/>
      <c r="H20" s="1309"/>
      <c r="I20" s="1310">
        <f>SUM(I17:I19)</f>
        <v>0</v>
      </c>
    </row>
    <row r="21" spans="1:9">
      <c r="A21" s="3295" t="s">
        <v>1106</v>
      </c>
      <c r="B21" s="3299"/>
      <c r="C21" s="3299"/>
      <c r="D21" s="3299"/>
      <c r="E21" s="3299"/>
      <c r="F21" s="3299"/>
      <c r="G21" s="3299"/>
      <c r="H21" s="1761">
        <v>0.1</v>
      </c>
      <c r="I21" s="1307">
        <f>ROUND(I10*H21,0)</f>
        <v>0</v>
      </c>
    </row>
    <row r="22" spans="1:9" ht="14.25">
      <c r="A22" s="3300" t="s">
        <v>1107</v>
      </c>
      <c r="B22" s="3301"/>
      <c r="C22" s="3302"/>
      <c r="D22" s="1314" t="s">
        <v>1108</v>
      </c>
      <c r="E22" s="1314" t="s">
        <v>1109</v>
      </c>
      <c r="F22" s="1315" t="s">
        <v>1110</v>
      </c>
      <c r="G22" s="1315" t="s">
        <v>1111</v>
      </c>
      <c r="H22" s="1308" t="s">
        <v>1112</v>
      </c>
      <c r="I22" s="1299" t="s">
        <v>1113</v>
      </c>
    </row>
    <row r="23" spans="1:9" ht="14.25" thickBot="1">
      <c r="A23" s="3303"/>
      <c r="B23" s="3304"/>
      <c r="C23" s="3305"/>
      <c r="D23" s="1316"/>
      <c r="E23" s="1316"/>
      <c r="F23" s="1316"/>
      <c r="G23" s="1317"/>
      <c r="H23" s="1318"/>
      <c r="I23" s="1319">
        <f>ROUND(E23*D23*F23*(1-G23)/10000,0)</f>
        <v>0</v>
      </c>
    </row>
    <row r="26" spans="1:9">
      <c r="A26" s="1320" t="s">
        <v>1114</v>
      </c>
      <c r="B26" s="1320"/>
      <c r="C26" s="1320"/>
      <c r="D26" s="1320"/>
      <c r="E26" s="3306">
        <f>C27-C30-C31-C32</f>
        <v>0</v>
      </c>
      <c r="F26" s="3306"/>
      <c r="G26" s="3306"/>
      <c r="H26" s="1733" t="s">
        <v>1336</v>
      </c>
    </row>
    <row r="27" spans="1:9">
      <c r="A27" s="1321">
        <v>1</v>
      </c>
      <c r="B27" s="1322" t="s">
        <v>1115</v>
      </c>
      <c r="C27" s="1322">
        <f>C28+C29</f>
        <v>0</v>
      </c>
      <c r="D27" s="1322"/>
      <c r="E27" s="3307"/>
      <c r="F27" s="3307"/>
      <c r="G27" s="3307"/>
    </row>
    <row r="28" spans="1:9">
      <c r="A28" s="1323" t="s">
        <v>1116</v>
      </c>
      <c r="B28" s="1322" t="s">
        <v>1117</v>
      </c>
      <c r="C28" s="1322"/>
      <c r="D28" s="1322"/>
      <c r="E28" s="3307"/>
      <c r="F28" s="3307"/>
      <c r="G28" s="330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8"/>
      <c r="F32" s="3298"/>
      <c r="G32" s="3298"/>
    </row>
    <row r="33" spans="1:7" hidden="1">
      <c r="A33" s="3308" t="s">
        <v>1126</v>
      </c>
      <c r="B33" s="3309"/>
      <c r="C33" s="3309"/>
      <c r="D33" s="3310"/>
      <c r="E33" s="3306"/>
      <c r="F33" s="3306"/>
      <c r="G33" s="3306"/>
    </row>
    <row r="34" spans="1:7" hidden="1">
      <c r="A34" s="1325">
        <v>1</v>
      </c>
      <c r="B34" s="1322" t="s">
        <v>1127</v>
      </c>
      <c r="C34" s="1322"/>
      <c r="D34" s="1322"/>
      <c r="E34" s="3307"/>
      <c r="F34" s="3307"/>
      <c r="G34" s="3307"/>
    </row>
    <row r="35" spans="1:7" hidden="1">
      <c r="A35" s="1325">
        <v>2</v>
      </c>
      <c r="B35" s="1322" t="s">
        <v>1128</v>
      </c>
      <c r="C35" s="1322"/>
      <c r="D35" s="1322"/>
      <c r="E35" s="3307"/>
      <c r="F35" s="3307"/>
      <c r="G35" s="3307"/>
    </row>
    <row r="36" spans="1:7" hidden="1">
      <c r="A36" s="1325">
        <v>3</v>
      </c>
      <c r="B36" s="1322" t="s">
        <v>1129</v>
      </c>
      <c r="C36" s="1322"/>
      <c r="D36" s="1322"/>
      <c r="E36" s="3307"/>
      <c r="F36" s="3307"/>
      <c r="G36" s="3307"/>
    </row>
    <row r="37" spans="1:7" hidden="1">
      <c r="A37" s="1325">
        <v>4</v>
      </c>
      <c r="B37" s="1322" t="s">
        <v>1130</v>
      </c>
      <c r="C37" s="1322"/>
      <c r="D37" s="1322"/>
      <c r="E37" s="3307"/>
      <c r="F37" s="3307"/>
      <c r="G37" s="3307"/>
    </row>
    <row r="38" spans="1:7" hidden="1">
      <c r="A38" s="3308" t="s">
        <v>1131</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北京鸿坤伟业房地产开发有限公司 ：</v>
      </c>
    </row>
    <row r="4" spans="1:1" ht="36">
      <c r="A4" s="1943" t="str">
        <f>"受贵公司委托，我公司对"&amp;项目基本情况!S1&amp;"进行了预评估。"</f>
        <v>受贵公司委托，我公司对北京市大兴区欣旺北大街8号1幢商业用房房地产抵押价值进行了预评估。</v>
      </c>
    </row>
    <row r="5" spans="1:1" ht="18.75">
      <c r="A5" s="1944" t="s">
        <v>1607</v>
      </c>
    </row>
    <row r="6" spans="1:1" ht="18.75">
      <c r="A6" s="1945" t="s">
        <v>1608</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2019年10月18日（评估专业人员实地查勘之日）</v>
      </c>
    </row>
    <row r="16" spans="1:1" ht="18.75">
      <c r="A16" s="1948" t="s">
        <v>1614</v>
      </c>
    </row>
    <row r="17" spans="1:1" ht="75">
      <c r="A17" s="1943" t="s">
        <v>1615</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6" t="s">
        <v>2523</v>
      </c>
      <c r="C1" s="1630" t="s">
        <v>2524</v>
      </c>
      <c r="D1" s="1617"/>
      <c r="E1" s="2577"/>
      <c r="F1" s="2578" t="s">
        <v>2525</v>
      </c>
      <c r="G1" s="1627" t="s">
        <v>2526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80"/>
      <c r="D2" s="1362" t="e">
        <f ca="1">SUMIF(INDIRECT("'"&amp;F2&amp;"'"&amp;"!A:A"),"承租人权益价值",INDIRECT("'"&amp;F2&amp;"'"&amp;"!c:c"))</f>
        <v>#REF!</v>
      </c>
      <c r="E2" s="2581" t="s">
        <v>2527</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t="e">
        <f ca="1">IF(C2="——",C49,ROUND(B2*10000/D3,0))</f>
        <v>#DIV/0!</v>
      </c>
      <c r="C3" s="398" t="s">
        <v>2528</v>
      </c>
      <c r="D3" s="397">
        <f>IF(D1="",'数据-汇总表'!E3,SUMIF('数据-汇总表'!$C19:$C33,D1,'数据-汇总表'!$E19:$E33))</f>
        <v>101504.34</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399" t="s">
        <v>2529</v>
      </c>
      <c r="B4" s="400"/>
      <c r="C4" s="3259" t="s">
        <v>2530</v>
      </c>
      <c r="D4" s="3260"/>
      <c r="E4" s="3261" t="s">
        <v>2531</v>
      </c>
      <c r="F4" s="3262"/>
      <c r="G4" s="3259" t="s">
        <v>2532</v>
      </c>
      <c r="H4" s="3260"/>
      <c r="I4" s="3259" t="s">
        <v>2533</v>
      </c>
      <c r="J4" s="3260"/>
      <c r="K4" s="2590" t="s">
        <v>2534</v>
      </c>
      <c r="L4" s="1127"/>
      <c r="M4" s="1128"/>
      <c r="N4" s="1128"/>
      <c r="O4" s="1128"/>
      <c r="P4" s="3263" t="s">
        <v>2535</v>
      </c>
      <c r="Q4" s="3264"/>
      <c r="R4" s="3246" t="s">
        <v>2531</v>
      </c>
      <c r="S4" s="3247"/>
      <c r="T4" s="3246" t="s">
        <v>2532</v>
      </c>
      <c r="U4" s="3247"/>
      <c r="V4" s="3271" t="s">
        <v>2533</v>
      </c>
      <c r="W4" s="3271"/>
      <c r="X4" s="1809"/>
      <c r="Y4" s="3246" t="s">
        <v>2535</v>
      </c>
      <c r="Z4" s="3247"/>
      <c r="AA4" s="3241" t="s">
        <v>2531</v>
      </c>
      <c r="AB4" s="3241" t="s">
        <v>2532</v>
      </c>
      <c r="AC4" s="3241" t="s">
        <v>2533</v>
      </c>
    </row>
    <row r="5" spans="1:29" ht="15">
      <c r="A5" s="402"/>
      <c r="B5" s="403"/>
      <c r="C5" s="3252" t="s">
        <v>2536</v>
      </c>
      <c r="D5" s="3253"/>
      <c r="E5" s="3250" t="s">
        <v>2537</v>
      </c>
      <c r="F5" s="3251"/>
      <c r="G5" s="3252" t="s">
        <v>2538</v>
      </c>
      <c r="H5" s="3253"/>
      <c r="I5" s="3252" t="s">
        <v>2539</v>
      </c>
      <c r="J5" s="3253"/>
      <c r="K5" s="2591"/>
      <c r="L5" s="1127"/>
      <c r="M5" s="1128"/>
      <c r="N5" s="1128"/>
      <c r="O5" s="1128"/>
      <c r="P5" s="3265"/>
      <c r="Q5" s="3266"/>
      <c r="R5" s="3248"/>
      <c r="S5" s="3249"/>
      <c r="T5" s="3248"/>
      <c r="U5" s="3249"/>
      <c r="V5" s="3271"/>
      <c r="W5" s="3271"/>
      <c r="X5" s="1809"/>
      <c r="Y5" s="3248"/>
      <c r="Z5" s="3249"/>
      <c r="AA5" s="3242"/>
      <c r="AB5" s="3242"/>
      <c r="AC5" s="3242"/>
    </row>
    <row r="6" spans="1:29" ht="15.75" thickBot="1">
      <c r="A6" s="404"/>
      <c r="B6" s="405"/>
      <c r="C6" s="3254" t="s">
        <v>2540</v>
      </c>
      <c r="D6" s="3255"/>
      <c r="E6" s="3256" t="s">
        <v>2540</v>
      </c>
      <c r="F6" s="3257"/>
      <c r="G6" s="3254" t="s">
        <v>2540</v>
      </c>
      <c r="H6" s="3255"/>
      <c r="I6" s="3254" t="s">
        <v>2540</v>
      </c>
      <c r="J6" s="3255"/>
      <c r="K6" s="2591" t="s">
        <v>2541</v>
      </c>
      <c r="L6" s="1127"/>
      <c r="M6" s="1128"/>
      <c r="N6" s="1128"/>
      <c r="O6" s="1128"/>
      <c r="P6" s="3267"/>
      <c r="Q6" s="3268"/>
      <c r="R6" s="3248"/>
      <c r="S6" s="3249"/>
      <c r="T6" s="3269"/>
      <c r="U6" s="3270"/>
      <c r="V6" s="3271"/>
      <c r="W6" s="3271"/>
      <c r="X6" s="1809"/>
      <c r="Y6" s="3269"/>
      <c r="Z6" s="3270"/>
      <c r="AA6" s="3243"/>
      <c r="AB6" s="3243"/>
      <c r="AC6" s="3243"/>
    </row>
    <row r="7" spans="1:29" s="117" customFormat="1" ht="15.75" thickBot="1">
      <c r="A7" s="406" t="s">
        <v>2542</v>
      </c>
      <c r="B7" s="407"/>
      <c r="C7" s="408">
        <f>'数据-取费表'!B2</f>
        <v>43756</v>
      </c>
      <c r="D7" s="409">
        <v>100</v>
      </c>
      <c r="E7" s="410"/>
      <c r="F7" s="411">
        <f>SUMIF(58:58,YEAR(E7)&amp;"-"&amp;MONTH(E7),59:59)</f>
        <v>0</v>
      </c>
      <c r="G7" s="410"/>
      <c r="H7" s="409">
        <f>SUMIF(58:58,YEAR(G7)&amp;"-"&amp;MONTH(G7),59:59)</f>
        <v>0</v>
      </c>
      <c r="I7" s="410"/>
      <c r="J7" s="409">
        <f>SUMIF(58:58,YEAR(I7)&amp;"-"&amp;MONTH(I7),59:59)</f>
        <v>0</v>
      </c>
      <c r="K7" s="2592"/>
      <c r="L7" s="1129"/>
      <c r="M7" s="1130"/>
      <c r="N7" s="1130"/>
      <c r="O7" s="1130"/>
      <c r="P7" s="3244" t="s">
        <v>2543</v>
      </c>
      <c r="Q7" s="3272"/>
      <c r="R7" s="767" t="s">
        <v>23</v>
      </c>
      <c r="S7" s="768">
        <f t="shared" ref="S7:S15" si="0">F7</f>
        <v>0</v>
      </c>
      <c r="T7" s="767" t="s">
        <v>23</v>
      </c>
      <c r="U7" s="768">
        <f t="shared" ref="U7:U15" si="1">H7</f>
        <v>0</v>
      </c>
      <c r="V7" s="767" t="s">
        <v>23</v>
      </c>
      <c r="W7" s="768">
        <f t="shared" ref="W7:W15" si="2">J7</f>
        <v>0</v>
      </c>
      <c r="X7" s="769"/>
      <c r="Y7" s="3244" t="s">
        <v>2543</v>
      </c>
      <c r="Z7" s="3245"/>
      <c r="AA7" s="770" t="e">
        <f>D7/F7</f>
        <v>#DIV/0!</v>
      </c>
      <c r="AB7" s="770" t="e">
        <f>D7/H7</f>
        <v>#DIV/0!</v>
      </c>
      <c r="AC7" s="770" t="e">
        <f>D7/J7</f>
        <v>#DIV/0!</v>
      </c>
    </row>
    <row r="8" spans="1:29" s="117" customFormat="1" ht="15.7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29"/>
      <c r="M8" s="1130"/>
      <c r="N8" s="1130"/>
      <c r="O8" s="1130"/>
      <c r="P8" s="3244" t="s">
        <v>2546</v>
      </c>
      <c r="Q8" s="3245"/>
      <c r="R8" s="767" t="s">
        <v>23</v>
      </c>
      <c r="S8" s="768">
        <f t="shared" si="0"/>
        <v>0</v>
      </c>
      <c r="T8" s="767" t="s">
        <v>23</v>
      </c>
      <c r="U8" s="768">
        <f t="shared" si="1"/>
        <v>0</v>
      </c>
      <c r="V8" s="767" t="s">
        <v>23</v>
      </c>
      <c r="W8" s="768">
        <f t="shared" si="2"/>
        <v>0</v>
      </c>
      <c r="X8" s="769"/>
      <c r="Y8" s="3244" t="s">
        <v>2546</v>
      </c>
      <c r="Z8" s="3245"/>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82"/>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82"/>
      <c r="Q11" s="1791" t="str">
        <f t="shared" si="6"/>
        <v>容积率</v>
      </c>
      <c r="R11" s="767" t="s">
        <v>21</v>
      </c>
      <c r="S11" s="768" t="e">
        <f t="shared" si="0"/>
        <v>#N/A</v>
      </c>
      <c r="T11" s="767" t="s">
        <v>21</v>
      </c>
      <c r="U11" s="768" t="e">
        <f t="shared" si="1"/>
        <v>#N/A</v>
      </c>
      <c r="V11" s="767" t="s">
        <v>21</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82"/>
      <c r="Q12" s="1791">
        <f t="shared" si="6"/>
        <v>111</v>
      </c>
      <c r="R12" s="767" t="s">
        <v>21</v>
      </c>
      <c r="S12" s="768">
        <f t="shared" si="0"/>
        <v>100</v>
      </c>
      <c r="T12" s="767" t="s">
        <v>21</v>
      </c>
      <c r="U12" s="768">
        <f t="shared" si="1"/>
        <v>100</v>
      </c>
      <c r="V12" s="767" t="s">
        <v>21</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82"/>
      <c r="Q13" s="1791">
        <f t="shared" si="6"/>
        <v>111</v>
      </c>
      <c r="R13" s="767" t="s">
        <v>21</v>
      </c>
      <c r="S13" s="768">
        <f t="shared" si="0"/>
        <v>100</v>
      </c>
      <c r="T13" s="767" t="s">
        <v>21</v>
      </c>
      <c r="U13" s="768">
        <f t="shared" si="1"/>
        <v>100</v>
      </c>
      <c r="V13" s="767" t="s">
        <v>21</v>
      </c>
      <c r="W13" s="768">
        <f t="shared" si="2"/>
        <v>100</v>
      </c>
      <c r="X13" s="769"/>
      <c r="Y13" s="3079"/>
      <c r="Z13" s="55">
        <f t="shared" si="7"/>
        <v>111</v>
      </c>
      <c r="AA13" s="770">
        <f t="shared" si="3"/>
        <v>1</v>
      </c>
      <c r="AB13" s="770">
        <f t="shared" si="4"/>
        <v>1</v>
      </c>
      <c r="AC13" s="770">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82"/>
      <c r="Q14" s="1791">
        <f t="shared" si="6"/>
        <v>111</v>
      </c>
      <c r="R14" s="767" t="s">
        <v>21</v>
      </c>
      <c r="S14" s="768">
        <f t="shared" si="0"/>
        <v>100</v>
      </c>
      <c r="T14" s="767" t="s">
        <v>21</v>
      </c>
      <c r="U14" s="768">
        <f t="shared" si="1"/>
        <v>100</v>
      </c>
      <c r="V14" s="767" t="s">
        <v>21</v>
      </c>
      <c r="W14" s="768">
        <f t="shared" si="2"/>
        <v>100</v>
      </c>
      <c r="X14" s="769"/>
      <c r="Y14" s="3079"/>
      <c r="Z14" s="55">
        <f t="shared" si="7"/>
        <v>111</v>
      </c>
      <c r="AA14" s="770">
        <f t="shared" si="3"/>
        <v>1</v>
      </c>
      <c r="AB14" s="770">
        <f t="shared" si="4"/>
        <v>1</v>
      </c>
      <c r="AC14" s="770">
        <f t="shared" si="5"/>
        <v>1</v>
      </c>
    </row>
    <row r="15" spans="1:29" ht="99.75">
      <c r="A15" s="438" t="s">
        <v>2553</v>
      </c>
      <c r="B15" s="69" t="s">
        <v>2080</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17" t="s">
        <v>2554</v>
      </c>
      <c r="Q15" s="1806" t="str">
        <f t="shared" si="6"/>
        <v>居住社区成熟度</v>
      </c>
      <c r="R15" s="771" t="s">
        <v>21</v>
      </c>
      <c r="S15" s="772">
        <f t="shared" si="0"/>
        <v>100</v>
      </c>
      <c r="T15" s="771" t="s">
        <v>21</v>
      </c>
      <c r="U15" s="772">
        <f t="shared" si="1"/>
        <v>100</v>
      </c>
      <c r="V15" s="771" t="s">
        <v>21</v>
      </c>
      <c r="W15" s="772">
        <f t="shared" si="2"/>
        <v>100</v>
      </c>
      <c r="X15" s="1809"/>
      <c r="Y15" s="3273" t="s">
        <v>2554</v>
      </c>
      <c r="Z15" s="1810" t="str">
        <f t="shared" si="7"/>
        <v>居住社区成熟度</v>
      </c>
      <c r="AA15" s="1807">
        <f t="shared" si="3"/>
        <v>1</v>
      </c>
      <c r="AB15" s="1807">
        <f t="shared" si="4"/>
        <v>1</v>
      </c>
      <c r="AC15" s="1807">
        <f t="shared" si="5"/>
        <v>1</v>
      </c>
    </row>
    <row r="16" spans="1:29" ht="15">
      <c r="A16" s="426"/>
      <c r="B16" s="444"/>
      <c r="C16" s="445"/>
      <c r="D16" s="446"/>
      <c r="E16" s="2598"/>
      <c r="F16" s="446"/>
      <c r="G16" s="2599"/>
      <c r="H16" s="448"/>
      <c r="I16" s="2599"/>
      <c r="J16" s="446"/>
      <c r="K16" s="2600"/>
      <c r="L16" s="1137"/>
      <c r="M16" s="1128"/>
      <c r="N16" s="1128"/>
      <c r="O16" s="1128"/>
      <c r="P16" s="3318"/>
      <c r="Q16" s="1806"/>
      <c r="R16" s="771"/>
      <c r="S16" s="772"/>
      <c r="T16" s="771"/>
      <c r="U16" s="772"/>
      <c r="V16" s="771"/>
      <c r="W16" s="772"/>
      <c r="X16" s="1809"/>
      <c r="Y16" s="3274"/>
      <c r="Z16" s="1810"/>
      <c r="AA16" s="1807">
        <v>1</v>
      </c>
      <c r="AB16" s="1807">
        <v>1</v>
      </c>
      <c r="AC16" s="1807">
        <v>1</v>
      </c>
    </row>
    <row r="17" spans="1:29" ht="85.5">
      <c r="A17" s="426"/>
      <c r="B17" s="449" t="s">
        <v>2091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8"/>
      <c r="Q17" s="1806" t="str">
        <f>B17</f>
        <v>交通便捷度</v>
      </c>
      <c r="R17" s="771" t="s">
        <v>21</v>
      </c>
      <c r="S17" s="772">
        <f>F17</f>
        <v>100</v>
      </c>
      <c r="T17" s="771" t="s">
        <v>21</v>
      </c>
      <c r="U17" s="772">
        <f>H17</f>
        <v>100</v>
      </c>
      <c r="V17" s="771" t="s">
        <v>21</v>
      </c>
      <c r="W17" s="772">
        <f>J17</f>
        <v>100</v>
      </c>
      <c r="X17" s="1809"/>
      <c r="Y17" s="3274"/>
      <c r="Z17" s="1810" t="str">
        <f>Q17</f>
        <v>交通便捷度</v>
      </c>
      <c r="AA17" s="1807">
        <f t="shared" si="3"/>
        <v>1</v>
      </c>
      <c r="AB17" s="1807">
        <f t="shared" si="4"/>
        <v>1</v>
      </c>
      <c r="AC17" s="1807">
        <f t="shared" si="5"/>
        <v>1</v>
      </c>
    </row>
    <row r="18" spans="1:29" ht="15">
      <c r="A18" s="426"/>
      <c r="B18" s="454"/>
      <c r="C18" s="2602"/>
      <c r="D18" s="448"/>
      <c r="E18" s="2603"/>
      <c r="F18" s="448"/>
      <c r="G18" s="2604"/>
      <c r="H18" s="446"/>
      <c r="I18" s="2604"/>
      <c r="J18" s="446"/>
      <c r="K18" s="2600"/>
      <c r="L18" s="1137"/>
      <c r="M18" s="1128"/>
      <c r="N18" s="1128"/>
      <c r="O18" s="1128"/>
      <c r="P18" s="3318"/>
      <c r="Q18" s="1806"/>
      <c r="R18" s="771"/>
      <c r="S18" s="772"/>
      <c r="T18" s="771"/>
      <c r="U18" s="772"/>
      <c r="V18" s="771"/>
      <c r="W18" s="772"/>
      <c r="X18" s="1809"/>
      <c r="Y18" s="3274"/>
      <c r="Z18" s="1810"/>
      <c r="AA18" s="1807">
        <v>1</v>
      </c>
      <c r="AB18" s="1807">
        <v>1</v>
      </c>
      <c r="AC18" s="1807">
        <v>1</v>
      </c>
    </row>
    <row r="19" spans="1:29" ht="42.75">
      <c r="A19" s="426"/>
      <c r="B19" s="449" t="s">
        <v>2089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8"/>
      <c r="Q19" s="1806" t="str">
        <f>B19</f>
        <v>公共配套设施</v>
      </c>
      <c r="R19" s="771" t="s">
        <v>21</v>
      </c>
      <c r="S19" s="772">
        <f>F19</f>
        <v>100</v>
      </c>
      <c r="T19" s="771" t="s">
        <v>21</v>
      </c>
      <c r="U19" s="772">
        <f>H19</f>
        <v>100</v>
      </c>
      <c r="V19" s="771" t="s">
        <v>21</v>
      </c>
      <c r="W19" s="772">
        <f>J19</f>
        <v>100</v>
      </c>
      <c r="X19" s="1809"/>
      <c r="Y19" s="3274"/>
      <c r="Z19" s="1810" t="str">
        <f>Q19</f>
        <v>公共配套设施</v>
      </c>
      <c r="AA19" s="1807">
        <f t="shared" si="3"/>
        <v>1</v>
      </c>
      <c r="AB19" s="1807">
        <f t="shared" si="4"/>
        <v>1</v>
      </c>
      <c r="AC19" s="1807">
        <f t="shared" si="5"/>
        <v>1</v>
      </c>
    </row>
    <row r="20" spans="1:29" ht="15">
      <c r="A20" s="426"/>
      <c r="B20" s="454"/>
      <c r="C20" s="445"/>
      <c r="D20" s="446"/>
      <c r="E20" s="2598"/>
      <c r="F20" s="446"/>
      <c r="G20" s="2599"/>
      <c r="H20" s="446"/>
      <c r="I20" s="2599"/>
      <c r="J20" s="446"/>
      <c r="K20" s="2600"/>
      <c r="L20" s="1137"/>
      <c r="M20" s="1128"/>
      <c r="N20" s="1128"/>
      <c r="O20" s="1128"/>
      <c r="P20" s="3318"/>
      <c r="Q20" s="1806"/>
      <c r="R20" s="771"/>
      <c r="S20" s="772"/>
      <c r="T20" s="771"/>
      <c r="U20" s="772"/>
      <c r="V20" s="771"/>
      <c r="W20" s="772"/>
      <c r="X20" s="1809"/>
      <c r="Y20" s="3274"/>
      <c r="Z20" s="1810"/>
      <c r="AA20" s="1807">
        <v>1</v>
      </c>
      <c r="AB20" s="1807">
        <v>1</v>
      </c>
      <c r="AC20" s="1807">
        <v>1</v>
      </c>
    </row>
    <row r="21" spans="1:29" ht="28.5">
      <c r="A21" s="426"/>
      <c r="B21" s="1381" t="s">
        <v>2092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6"/>
      <c r="G22" s="2605"/>
      <c r="H22" s="446"/>
      <c r="I22" s="445"/>
      <c r="J22" s="446"/>
      <c r="K22" s="2606"/>
      <c r="L22" s="1137"/>
      <c r="M22" s="1128"/>
      <c r="N22" s="1128"/>
      <c r="O22" s="1128"/>
      <c r="P22" s="3318"/>
      <c r="Q22" s="1806"/>
      <c r="R22" s="771"/>
      <c r="S22" s="772"/>
      <c r="T22" s="771"/>
      <c r="U22" s="772"/>
      <c r="V22" s="771"/>
      <c r="W22" s="772"/>
      <c r="X22" s="1809"/>
      <c r="Y22" s="3274"/>
      <c r="Z22" s="1810"/>
      <c r="AA22" s="1807">
        <v>1</v>
      </c>
      <c r="AB22" s="1807">
        <v>1</v>
      </c>
      <c r="AC22" s="1807">
        <v>1</v>
      </c>
    </row>
    <row r="23" spans="1:29" ht="57">
      <c r="A23" s="426"/>
      <c r="B23" s="449" t="s">
        <v>2095</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8"/>
      <c r="Q23" s="1806" t="str">
        <f>B23</f>
        <v>自然及人文环境</v>
      </c>
      <c r="R23" s="771" t="s">
        <v>21</v>
      </c>
      <c r="S23" s="772">
        <f>F23</f>
        <v>100</v>
      </c>
      <c r="T23" s="771" t="s">
        <v>21</v>
      </c>
      <c r="U23" s="772">
        <f>H23</f>
        <v>100</v>
      </c>
      <c r="V23" s="771" t="s">
        <v>21</v>
      </c>
      <c r="W23" s="772">
        <f>J23</f>
        <v>100</v>
      </c>
      <c r="X23" s="1809"/>
      <c r="Y23" s="3274"/>
      <c r="Z23" s="1810" t="str">
        <f>Q23</f>
        <v>自然及人文环境</v>
      </c>
      <c r="AA23" s="1807">
        <f>D23/F23</f>
        <v>1</v>
      </c>
      <c r="AB23" s="1807">
        <f>D23/H23</f>
        <v>1</v>
      </c>
      <c r="AC23" s="1807">
        <f>D23/J23</f>
        <v>1</v>
      </c>
    </row>
    <row r="24" spans="1:29" ht="15">
      <c r="A24" s="426"/>
      <c r="B24" s="454"/>
      <c r="C24" s="445"/>
      <c r="D24" s="446"/>
      <c r="E24" s="2598"/>
      <c r="F24" s="446"/>
      <c r="G24" s="2599"/>
      <c r="H24" s="446"/>
      <c r="I24" s="2599"/>
      <c r="J24" s="446"/>
      <c r="K24" s="2600"/>
      <c r="L24" s="1137"/>
      <c r="M24" s="1128"/>
      <c r="N24" s="1128"/>
      <c r="O24" s="1128"/>
      <c r="P24" s="3318"/>
      <c r="Q24" s="1806"/>
      <c r="R24" s="771"/>
      <c r="S24" s="772"/>
      <c r="T24" s="771"/>
      <c r="U24" s="772"/>
      <c r="V24" s="771"/>
      <c r="W24" s="772"/>
      <c r="X24" s="1809"/>
      <c r="Y24" s="3274"/>
      <c r="Z24" s="1810"/>
      <c r="AA24" s="1807">
        <v>1</v>
      </c>
      <c r="AB24" s="1807">
        <v>1</v>
      </c>
      <c r="AC24" s="1807">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318"/>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74"/>
      <c r="Z25" s="1810" t="str">
        <f>Q25</f>
        <v>楼层-1</v>
      </c>
      <c r="AA25" s="1807">
        <f t="shared" ref="AA25:AA46" si="15">D25/F25</f>
        <v>1</v>
      </c>
      <c r="AB25" s="1807">
        <f t="shared" ref="AB25:AB46" si="16">D25/H25</f>
        <v>1</v>
      </c>
      <c r="AC25" s="1807">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318"/>
      <c r="Q26" s="1806" t="str">
        <f t="shared" si="11"/>
        <v>朝向</v>
      </c>
      <c r="R26" s="771" t="s">
        <v>21</v>
      </c>
      <c r="S26" s="772">
        <f t="shared" si="12"/>
        <v>100</v>
      </c>
      <c r="T26" s="771" t="s">
        <v>21</v>
      </c>
      <c r="U26" s="772">
        <f t="shared" si="13"/>
        <v>100</v>
      </c>
      <c r="V26" s="771" t="s">
        <v>21</v>
      </c>
      <c r="W26" s="772">
        <f t="shared" si="14"/>
        <v>100</v>
      </c>
      <c r="X26" s="1809"/>
      <c r="Y26" s="3274"/>
      <c r="Z26" s="1810" t="str">
        <f>Q26</f>
        <v>朝向</v>
      </c>
      <c r="AA26" s="1807">
        <f t="shared" si="15"/>
        <v>1</v>
      </c>
      <c r="AB26" s="1807">
        <f t="shared" si="16"/>
        <v>1</v>
      </c>
      <c r="AC26" s="1807">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318"/>
      <c r="Q27" s="1791">
        <f t="shared" si="11"/>
        <v>111</v>
      </c>
      <c r="R27" s="767" t="s">
        <v>21</v>
      </c>
      <c r="S27" s="768">
        <f t="shared" si="12"/>
        <v>100</v>
      </c>
      <c r="T27" s="767" t="s">
        <v>21</v>
      </c>
      <c r="U27" s="768">
        <f t="shared" si="13"/>
        <v>100</v>
      </c>
      <c r="V27" s="767" t="s">
        <v>21</v>
      </c>
      <c r="W27" s="768">
        <f t="shared" si="14"/>
        <v>100</v>
      </c>
      <c r="X27" s="769"/>
      <c r="Y27" s="3274"/>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318"/>
      <c r="Q28" s="1806">
        <f t="shared" si="11"/>
        <v>111</v>
      </c>
      <c r="R28" s="771" t="s">
        <v>21</v>
      </c>
      <c r="S28" s="772">
        <f t="shared" si="12"/>
        <v>100</v>
      </c>
      <c r="T28" s="771" t="s">
        <v>21</v>
      </c>
      <c r="U28" s="772">
        <f t="shared" si="13"/>
        <v>100</v>
      </c>
      <c r="V28" s="771" t="s">
        <v>21</v>
      </c>
      <c r="W28" s="772">
        <f t="shared" si="14"/>
        <v>100</v>
      </c>
      <c r="X28" s="1809"/>
      <c r="Y28" s="3274"/>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318"/>
      <c r="Q29" s="1806">
        <f t="shared" si="11"/>
        <v>111</v>
      </c>
      <c r="R29" s="771" t="s">
        <v>21</v>
      </c>
      <c r="S29" s="772">
        <f t="shared" si="12"/>
        <v>100</v>
      </c>
      <c r="T29" s="771" t="s">
        <v>21</v>
      </c>
      <c r="U29" s="772">
        <f t="shared" si="13"/>
        <v>100</v>
      </c>
      <c r="V29" s="771" t="s">
        <v>21</v>
      </c>
      <c r="W29" s="772">
        <f t="shared" si="14"/>
        <v>100</v>
      </c>
      <c r="X29" s="1809"/>
      <c r="Y29" s="3274"/>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318"/>
      <c r="Q30" s="1806">
        <f t="shared" si="11"/>
        <v>111</v>
      </c>
      <c r="R30" s="771" t="s">
        <v>21</v>
      </c>
      <c r="S30" s="772">
        <f t="shared" si="12"/>
        <v>100</v>
      </c>
      <c r="T30" s="771" t="s">
        <v>21</v>
      </c>
      <c r="U30" s="772">
        <f t="shared" si="13"/>
        <v>100</v>
      </c>
      <c r="V30" s="771" t="s">
        <v>21</v>
      </c>
      <c r="W30" s="772">
        <f t="shared" si="14"/>
        <v>100</v>
      </c>
      <c r="X30" s="1809"/>
      <c r="Y30" s="3274"/>
      <c r="Z30" s="1810">
        <f t="shared" si="18"/>
        <v>111</v>
      </c>
      <c r="AA30" s="1807">
        <f t="shared" si="15"/>
        <v>1</v>
      </c>
      <c r="AB30" s="1807">
        <f t="shared" si="16"/>
        <v>1</v>
      </c>
      <c r="AC30" s="1807">
        <f t="shared" si="17"/>
        <v>1</v>
      </c>
    </row>
    <row r="31" spans="1:29" ht="15.75"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318"/>
      <c r="Q31" s="1806">
        <f t="shared" si="11"/>
        <v>111</v>
      </c>
      <c r="R31" s="771" t="s">
        <v>21</v>
      </c>
      <c r="S31" s="772">
        <f t="shared" si="12"/>
        <v>100</v>
      </c>
      <c r="T31" s="771" t="s">
        <v>21</v>
      </c>
      <c r="U31" s="772">
        <f t="shared" si="13"/>
        <v>100</v>
      </c>
      <c r="V31" s="771" t="s">
        <v>21</v>
      </c>
      <c r="W31" s="772">
        <f t="shared" si="14"/>
        <v>100</v>
      </c>
      <c r="X31" s="1809"/>
      <c r="Y31" s="3274"/>
      <c r="Z31" s="1810">
        <f t="shared" si="18"/>
        <v>111</v>
      </c>
      <c r="AA31" s="1807">
        <f t="shared" si="15"/>
        <v>1</v>
      </c>
      <c r="AB31" s="1807">
        <f t="shared" si="16"/>
        <v>1</v>
      </c>
      <c r="AC31" s="1807">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7"/>
      <c r="M32" s="1128"/>
      <c r="N32" s="1128"/>
      <c r="O32" s="1128"/>
      <c r="P32" s="3313" t="s">
        <v>2559</v>
      </c>
      <c r="Q32" s="1806" t="str">
        <f t="shared" si="11"/>
        <v>建筑类型</v>
      </c>
      <c r="R32" s="771" t="s">
        <v>21</v>
      </c>
      <c r="S32" s="772">
        <f t="shared" si="12"/>
        <v>100</v>
      </c>
      <c r="T32" s="771" t="s">
        <v>21</v>
      </c>
      <c r="U32" s="772">
        <f t="shared" si="13"/>
        <v>100</v>
      </c>
      <c r="V32" s="771" t="s">
        <v>21</v>
      </c>
      <c r="W32" s="772">
        <f t="shared" si="14"/>
        <v>100</v>
      </c>
      <c r="X32" s="1809"/>
      <c r="Y32" s="3276" t="s">
        <v>2559</v>
      </c>
      <c r="Z32" s="1810" t="str">
        <f t="shared" si="18"/>
        <v>建筑类型</v>
      </c>
      <c r="AA32" s="1807">
        <f t="shared" si="15"/>
        <v>1</v>
      </c>
      <c r="AB32" s="1807">
        <f t="shared" si="16"/>
        <v>1</v>
      </c>
      <c r="AC32" s="1807">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5"/>
      <c r="M33" s="1138"/>
      <c r="N33" s="1138"/>
      <c r="O33" s="1138"/>
      <c r="P33" s="3314"/>
      <c r="Q33" s="773" t="str">
        <f t="shared" si="11"/>
        <v>项目建筑规模</v>
      </c>
      <c r="R33" s="774" t="s">
        <v>21</v>
      </c>
      <c r="S33" s="775" t="e">
        <f t="shared" si="12"/>
        <v>#N/A</v>
      </c>
      <c r="T33" s="774" t="s">
        <v>21</v>
      </c>
      <c r="U33" s="775" t="e">
        <f t="shared" si="13"/>
        <v>#N/A</v>
      </c>
      <c r="V33" s="774" t="s">
        <v>21</v>
      </c>
      <c r="W33" s="775" t="e">
        <f t="shared" si="14"/>
        <v>#N/A</v>
      </c>
      <c r="X33" s="776"/>
      <c r="Y33" s="3276"/>
      <c r="Z33" s="777" t="str">
        <f t="shared" si="18"/>
        <v>项目建筑规模</v>
      </c>
      <c r="AA33" s="1807" t="e">
        <f t="shared" si="15"/>
        <v>#N/A</v>
      </c>
      <c r="AB33" s="1807" t="e">
        <f t="shared" si="16"/>
        <v>#N/A</v>
      </c>
      <c r="AC33" s="1807"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7"/>
      <c r="M34" s="1128"/>
      <c r="N34" s="1128"/>
      <c r="O34" s="1128"/>
      <c r="P34" s="3314"/>
      <c r="Q34" s="1806" t="str">
        <f t="shared" si="11"/>
        <v>建筑结构</v>
      </c>
      <c r="R34" s="771" t="s">
        <v>21</v>
      </c>
      <c r="S34" s="772">
        <f t="shared" si="12"/>
        <v>100</v>
      </c>
      <c r="T34" s="771" t="s">
        <v>21</v>
      </c>
      <c r="U34" s="772">
        <f t="shared" si="13"/>
        <v>100</v>
      </c>
      <c r="V34" s="771" t="s">
        <v>21</v>
      </c>
      <c r="W34" s="772">
        <f t="shared" si="14"/>
        <v>100</v>
      </c>
      <c r="X34" s="1809"/>
      <c r="Y34" s="3276"/>
      <c r="Z34" s="1810" t="str">
        <f t="shared" si="18"/>
        <v>建筑结构</v>
      </c>
      <c r="AA34" s="1807">
        <f t="shared" si="15"/>
        <v>1</v>
      </c>
      <c r="AB34" s="1807">
        <f t="shared" si="16"/>
        <v>1</v>
      </c>
      <c r="AC34" s="1807">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7"/>
      <c r="M35" s="1128"/>
      <c r="N35" s="1128"/>
      <c r="O35" s="1128"/>
      <c r="P35" s="3314"/>
      <c r="Q35" s="1806" t="str">
        <f t="shared" si="11"/>
        <v>建筑品质</v>
      </c>
      <c r="R35" s="771" t="s">
        <v>21</v>
      </c>
      <c r="S35" s="772">
        <f t="shared" si="12"/>
        <v>100</v>
      </c>
      <c r="T35" s="771" t="s">
        <v>21</v>
      </c>
      <c r="U35" s="772">
        <f t="shared" si="13"/>
        <v>100</v>
      </c>
      <c r="V35" s="771" t="s">
        <v>21</v>
      </c>
      <c r="W35" s="772">
        <f t="shared" si="14"/>
        <v>100</v>
      </c>
      <c r="X35" s="1809"/>
      <c r="Y35" s="3276"/>
      <c r="Z35" s="1810" t="str">
        <f t="shared" si="18"/>
        <v>建筑品质</v>
      </c>
      <c r="AA35" s="1807">
        <f t="shared" si="15"/>
        <v>1</v>
      </c>
      <c r="AB35" s="1807">
        <f t="shared" si="16"/>
        <v>1</v>
      </c>
      <c r="AC35" s="1807">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7"/>
      <c r="M36" s="1128"/>
      <c r="N36" s="1128"/>
      <c r="O36" s="1128"/>
      <c r="P36" s="3314"/>
      <c r="Q36" s="1806" t="str">
        <f t="shared" si="11"/>
        <v>公共部分装修</v>
      </c>
      <c r="R36" s="771" t="s">
        <v>21</v>
      </c>
      <c r="S36" s="772">
        <f t="shared" si="12"/>
        <v>100</v>
      </c>
      <c r="T36" s="771" t="s">
        <v>21</v>
      </c>
      <c r="U36" s="772">
        <f t="shared" si="13"/>
        <v>100</v>
      </c>
      <c r="V36" s="771" t="s">
        <v>21</v>
      </c>
      <c r="W36" s="772">
        <f t="shared" si="14"/>
        <v>100</v>
      </c>
      <c r="X36" s="1809"/>
      <c r="Y36" s="3276"/>
      <c r="Z36" s="1810" t="str">
        <f t="shared" si="18"/>
        <v>公共部分装修</v>
      </c>
      <c r="AA36" s="1807">
        <f t="shared" si="15"/>
        <v>1</v>
      </c>
      <c r="AB36" s="1807">
        <f t="shared" si="16"/>
        <v>1</v>
      </c>
      <c r="AC36" s="1807">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14"/>
      <c r="Q37" s="1791" t="str">
        <f t="shared" si="11"/>
        <v>成新度</v>
      </c>
      <c r="R37" s="767" t="s">
        <v>21</v>
      </c>
      <c r="S37" s="768" t="e">
        <f t="shared" si="12"/>
        <v>#N/A</v>
      </c>
      <c r="T37" s="767" t="s">
        <v>21</v>
      </c>
      <c r="U37" s="768" t="e">
        <f t="shared" si="13"/>
        <v>#N/A</v>
      </c>
      <c r="V37" s="767" t="s">
        <v>21</v>
      </c>
      <c r="W37" s="768" t="e">
        <f t="shared" si="14"/>
        <v>#N/A</v>
      </c>
      <c r="X37" s="769"/>
      <c r="Y37" s="3276"/>
      <c r="Z37" s="55" t="str">
        <f t="shared" si="18"/>
        <v>成新度</v>
      </c>
      <c r="AA37" s="770" t="e">
        <f t="shared" si="15"/>
        <v>#N/A</v>
      </c>
      <c r="AB37" s="770" t="e">
        <f t="shared" si="16"/>
        <v>#N/A</v>
      </c>
      <c r="AC37" s="770"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7"/>
      <c r="M38" s="1128"/>
      <c r="N38" s="1128"/>
      <c r="O38" s="1128"/>
      <c r="P38" s="3314" t="s">
        <v>2559</v>
      </c>
      <c r="Q38" s="1806" t="str">
        <f t="shared" si="11"/>
        <v>物业管理</v>
      </c>
      <c r="R38" s="771" t="s">
        <v>21</v>
      </c>
      <c r="S38" s="772">
        <f t="shared" si="12"/>
        <v>100</v>
      </c>
      <c r="T38" s="771" t="s">
        <v>21</v>
      </c>
      <c r="U38" s="772">
        <f t="shared" si="13"/>
        <v>100</v>
      </c>
      <c r="V38" s="771" t="s">
        <v>21</v>
      </c>
      <c r="W38" s="772">
        <f t="shared" si="14"/>
        <v>100</v>
      </c>
      <c r="X38" s="1809"/>
      <c r="Y38" s="3276" t="s">
        <v>2559</v>
      </c>
      <c r="Z38" s="1810" t="str">
        <f t="shared" si="18"/>
        <v>物业管理</v>
      </c>
      <c r="AA38" s="1807">
        <f t="shared" si="15"/>
        <v>1</v>
      </c>
      <c r="AB38" s="1807">
        <f t="shared" si="16"/>
        <v>1</v>
      </c>
      <c r="AC38" s="1807">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7"/>
      <c r="M39" s="1128"/>
      <c r="N39" s="1128"/>
      <c r="O39" s="1128"/>
      <c r="P39" s="3314"/>
      <c r="Q39" s="1806" t="str">
        <f t="shared" si="11"/>
        <v>市政基础设施</v>
      </c>
      <c r="R39" s="771" t="s">
        <v>21</v>
      </c>
      <c r="S39" s="772">
        <f t="shared" si="12"/>
        <v>100</v>
      </c>
      <c r="T39" s="771" t="s">
        <v>21</v>
      </c>
      <c r="U39" s="772">
        <f t="shared" si="13"/>
        <v>100</v>
      </c>
      <c r="V39" s="771" t="s">
        <v>21</v>
      </c>
      <c r="W39" s="772">
        <f t="shared" si="14"/>
        <v>100</v>
      </c>
      <c r="X39" s="1809"/>
      <c r="Y39" s="3276"/>
      <c r="Z39" s="1810" t="str">
        <f t="shared" si="18"/>
        <v>市政基础设施</v>
      </c>
      <c r="AA39" s="1807">
        <f t="shared" si="15"/>
        <v>1</v>
      </c>
      <c r="AB39" s="1807">
        <f t="shared" si="16"/>
        <v>1</v>
      </c>
      <c r="AC39" s="1807">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7"/>
      <c r="M40" s="1128"/>
      <c r="N40" s="1128"/>
      <c r="O40" s="1128"/>
      <c r="P40" s="3314"/>
      <c r="Q40" s="1806" t="str">
        <f t="shared" si="11"/>
        <v>房型</v>
      </c>
      <c r="R40" s="771" t="s">
        <v>21</v>
      </c>
      <c r="S40" s="772">
        <f t="shared" si="12"/>
        <v>100</v>
      </c>
      <c r="T40" s="771" t="s">
        <v>21</v>
      </c>
      <c r="U40" s="772">
        <f t="shared" si="13"/>
        <v>100</v>
      </c>
      <c r="V40" s="771" t="s">
        <v>21</v>
      </c>
      <c r="W40" s="772">
        <f t="shared" si="14"/>
        <v>100</v>
      </c>
      <c r="X40" s="1809"/>
      <c r="Y40" s="3276"/>
      <c r="Z40" s="1810" t="str">
        <f t="shared" si="18"/>
        <v>房型</v>
      </c>
      <c r="AA40" s="1807">
        <f t="shared" si="15"/>
        <v>1</v>
      </c>
      <c r="AB40" s="1807">
        <f t="shared" si="16"/>
        <v>1</v>
      </c>
      <c r="AC40" s="1807">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5"/>
      <c r="M41" s="1138"/>
      <c r="N41" s="1138"/>
      <c r="O41" s="1138"/>
      <c r="P41" s="3314"/>
      <c r="Q41" s="773" t="str">
        <f t="shared" si="11"/>
        <v>单套/主力户型建筑面积</v>
      </c>
      <c r="R41" s="774" t="s">
        <v>21</v>
      </c>
      <c r="S41" s="775">
        <f t="shared" si="12"/>
        <v>100</v>
      </c>
      <c r="T41" s="774" t="s">
        <v>21</v>
      </c>
      <c r="U41" s="775">
        <f t="shared" si="13"/>
        <v>100</v>
      </c>
      <c r="V41" s="774" t="s">
        <v>21</v>
      </c>
      <c r="W41" s="775">
        <f t="shared" si="14"/>
        <v>100</v>
      </c>
      <c r="X41" s="776"/>
      <c r="Y41" s="3276"/>
      <c r="Z41" s="777" t="str">
        <f t="shared" si="18"/>
        <v>单套/主力户型建筑面积</v>
      </c>
      <c r="AA41" s="1807">
        <f t="shared" si="15"/>
        <v>1</v>
      </c>
      <c r="AB41" s="1807">
        <f t="shared" si="16"/>
        <v>1</v>
      </c>
      <c r="AC41" s="1807">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7"/>
      <c r="M42" s="1128"/>
      <c r="N42" s="1128"/>
      <c r="O42" s="1128"/>
      <c r="P42" s="3314"/>
      <c r="Q42" s="1806" t="str">
        <f t="shared" si="11"/>
        <v>内部装修</v>
      </c>
      <c r="R42" s="771" t="s">
        <v>21</v>
      </c>
      <c r="S42" s="772">
        <f t="shared" si="12"/>
        <v>100</v>
      </c>
      <c r="T42" s="771" t="s">
        <v>21</v>
      </c>
      <c r="U42" s="772">
        <f t="shared" si="13"/>
        <v>100</v>
      </c>
      <c r="V42" s="771" t="s">
        <v>21</v>
      </c>
      <c r="W42" s="772">
        <f t="shared" si="14"/>
        <v>100</v>
      </c>
      <c r="X42" s="1809"/>
      <c r="Y42" s="3276"/>
      <c r="Z42" s="1810" t="str">
        <f t="shared" si="18"/>
        <v>内部装修</v>
      </c>
      <c r="AA42" s="1807">
        <f t="shared" si="15"/>
        <v>1</v>
      </c>
      <c r="AB42" s="1807">
        <f t="shared" si="16"/>
        <v>1</v>
      </c>
      <c r="AC42" s="1807">
        <f t="shared" si="17"/>
        <v>1</v>
      </c>
    </row>
    <row r="43" spans="1:29" ht="15">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7"/>
      <c r="M43" s="1128"/>
      <c r="N43" s="1128"/>
      <c r="O43" s="1128"/>
      <c r="P43" s="3314"/>
      <c r="Q43" s="1806" t="str">
        <f t="shared" si="11"/>
        <v>内部装修维护情况</v>
      </c>
      <c r="R43" s="771" t="s">
        <v>21</v>
      </c>
      <c r="S43" s="772">
        <f t="shared" si="12"/>
        <v>100</v>
      </c>
      <c r="T43" s="771" t="s">
        <v>21</v>
      </c>
      <c r="U43" s="772">
        <f t="shared" si="13"/>
        <v>100</v>
      </c>
      <c r="V43" s="771" t="s">
        <v>21</v>
      </c>
      <c r="W43" s="772">
        <f t="shared" si="14"/>
        <v>100</v>
      </c>
      <c r="X43" s="1809"/>
      <c r="Y43" s="3276"/>
      <c r="Z43" s="1810" t="str">
        <f t="shared" si="18"/>
        <v>内部装修维护情况</v>
      </c>
      <c r="AA43" s="1807">
        <f t="shared" si="15"/>
        <v>1</v>
      </c>
      <c r="AB43" s="1807">
        <f t="shared" si="16"/>
        <v>1</v>
      </c>
      <c r="AC43" s="1807">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314"/>
      <c r="Q44" s="1791">
        <f t="shared" si="11"/>
        <v>111</v>
      </c>
      <c r="R44" s="767" t="s">
        <v>21</v>
      </c>
      <c r="S44" s="768">
        <f t="shared" si="12"/>
        <v>100</v>
      </c>
      <c r="T44" s="767" t="s">
        <v>21</v>
      </c>
      <c r="U44" s="768">
        <f t="shared" si="13"/>
        <v>100</v>
      </c>
      <c r="V44" s="767" t="s">
        <v>21</v>
      </c>
      <c r="W44" s="768">
        <f t="shared" si="14"/>
        <v>100</v>
      </c>
      <c r="X44" s="769"/>
      <c r="Y44" s="3276"/>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314"/>
      <c r="Q45" s="1806">
        <f t="shared" si="11"/>
        <v>111</v>
      </c>
      <c r="R45" s="771" t="s">
        <v>21</v>
      </c>
      <c r="S45" s="772">
        <f t="shared" si="12"/>
        <v>100</v>
      </c>
      <c r="T45" s="771" t="s">
        <v>21</v>
      </c>
      <c r="U45" s="772">
        <f t="shared" si="13"/>
        <v>100</v>
      </c>
      <c r="V45" s="771" t="s">
        <v>21</v>
      </c>
      <c r="W45" s="772">
        <f t="shared" si="14"/>
        <v>100</v>
      </c>
      <c r="X45" s="1809"/>
      <c r="Y45" s="3276"/>
      <c r="Z45" s="1810">
        <f t="shared" si="18"/>
        <v>111</v>
      </c>
      <c r="AA45" s="1807">
        <f t="shared" si="15"/>
        <v>1</v>
      </c>
      <c r="AB45" s="1807">
        <f t="shared" si="16"/>
        <v>1</v>
      </c>
      <c r="AC45" s="1807">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315"/>
      <c r="Q46" s="1806">
        <f t="shared" si="11"/>
        <v>111</v>
      </c>
      <c r="R46" s="771" t="s">
        <v>20</v>
      </c>
      <c r="S46" s="772">
        <f t="shared" si="12"/>
        <v>100</v>
      </c>
      <c r="T46" s="771" t="s">
        <v>20</v>
      </c>
      <c r="U46" s="772">
        <f t="shared" si="13"/>
        <v>100</v>
      </c>
      <c r="V46" s="771" t="s">
        <v>20</v>
      </c>
      <c r="W46" s="772">
        <f t="shared" si="14"/>
        <v>100</v>
      </c>
      <c r="X46" s="1809"/>
      <c r="Y46" s="3316"/>
      <c r="Z46" s="1810">
        <f t="shared" si="18"/>
        <v>111</v>
      </c>
      <c r="AA46" s="1807">
        <f t="shared" si="15"/>
        <v>1</v>
      </c>
      <c r="AB46" s="1807">
        <f t="shared" si="16"/>
        <v>1</v>
      </c>
      <c r="AC46" s="1807">
        <f t="shared" si="17"/>
        <v>1</v>
      </c>
    </row>
    <row r="47" spans="1:29" ht="15">
      <c r="A47" s="477" t="s">
        <v>2571</v>
      </c>
      <c r="B47" s="478"/>
      <c r="C47" s="1404" t="s">
        <v>19</v>
      </c>
      <c r="D47" s="1405"/>
      <c r="E47" s="1406"/>
      <c r="F47" s="1407"/>
      <c r="G47" s="1408"/>
      <c r="H47" s="1409"/>
      <c r="I47" s="1406"/>
      <c r="J47" s="1409"/>
      <c r="K47" s="2615"/>
      <c r="L47" s="1140"/>
      <c r="M47" s="1141"/>
      <c r="N47" s="1128"/>
      <c r="O47" s="1141"/>
      <c r="P47" s="3258" t="str">
        <f>A47</f>
        <v>成交单价（元/平方米）</v>
      </c>
      <c r="Q47" s="3258"/>
      <c r="R47" s="3312">
        <f>E47</f>
        <v>0</v>
      </c>
      <c r="S47" s="3312"/>
      <c r="T47" s="3312">
        <f>G47</f>
        <v>0</v>
      </c>
      <c r="U47" s="3312"/>
      <c r="V47" s="3312">
        <f>I47</f>
        <v>0</v>
      </c>
      <c r="W47" s="3312"/>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6"/>
      <c r="L48" s="1140"/>
      <c r="M48" s="1141"/>
      <c r="N48" s="1141"/>
      <c r="O48" s="1141"/>
      <c r="P48" s="3258" t="str">
        <f>A48</f>
        <v>比较价值（元/平方米）</v>
      </c>
      <c r="Q48" s="3258"/>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7"/>
      <c r="L49" s="1140"/>
      <c r="M49" s="1141"/>
      <c r="N49" s="1141"/>
      <c r="O49" s="1141"/>
      <c r="P49" s="3278" t="str">
        <f>A49</f>
        <v>估价对象XX用房的比较价值（楼面单价，元/平方米）</v>
      </c>
      <c r="Q49" s="3279"/>
      <c r="R49" s="3311" t="e">
        <f>IF(F1="售价",ROUND(AVERAGE(R48:V48),0),ROUND(AVERAGE(R48:V48),1))</f>
        <v>#DIV/0!</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9"/>
    </row>
    <row r="55" spans="1:29" s="500"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20"/>
      <c r="Q57" s="502"/>
    </row>
    <row r="58" spans="1:29" s="506" customFormat="1" ht="15">
      <c r="A58" s="503" t="s">
        <v>2578</v>
      </c>
      <c r="B58" s="504"/>
      <c r="C58" s="1572" t="str">
        <f>YEAR(C7)&amp;"-"&amp;MONTH(C7)</f>
        <v>2019-10</v>
      </c>
      <c r="D58" s="1571">
        <f>EDATE(C58,-1)</f>
        <v>43709</v>
      </c>
      <c r="E58" s="1571">
        <f>EDATE(D58,-1)</f>
        <v>43678</v>
      </c>
      <c r="F58" s="1571">
        <f t="shared" ref="F58:O58" si="19">EDATE(E58,-1)</f>
        <v>43647</v>
      </c>
      <c r="G58" s="1571">
        <f t="shared" si="19"/>
        <v>43617</v>
      </c>
      <c r="H58" s="1571">
        <f t="shared" si="19"/>
        <v>43586</v>
      </c>
      <c r="I58" s="1571">
        <f t="shared" si="19"/>
        <v>43556</v>
      </c>
      <c r="J58" s="1571">
        <f t="shared" si="19"/>
        <v>43525</v>
      </c>
      <c r="K58" s="1571">
        <f t="shared" si="19"/>
        <v>43497</v>
      </c>
      <c r="L58" s="1571">
        <f t="shared" si="19"/>
        <v>43466</v>
      </c>
      <c r="M58" s="1571">
        <f t="shared" si="19"/>
        <v>43435</v>
      </c>
      <c r="N58" s="1571">
        <f t="shared" si="19"/>
        <v>43405</v>
      </c>
      <c r="O58" s="1571">
        <f t="shared" si="19"/>
        <v>43374</v>
      </c>
      <c r="P58" s="1566"/>
    </row>
    <row r="59" spans="1:29" s="117" customFormat="1" ht="15">
      <c r="A59" s="507"/>
      <c r="B59" s="2621"/>
      <c r="C59" s="1569">
        <v>100</v>
      </c>
      <c r="D59" s="509"/>
      <c r="E59" s="510"/>
      <c r="F59" s="510"/>
      <c r="G59" s="510"/>
      <c r="H59" s="510"/>
      <c r="I59" s="510"/>
      <c r="J59" s="510"/>
      <c r="K59" s="510"/>
      <c r="L59" s="510"/>
      <c r="M59" s="511"/>
      <c r="N59" s="510"/>
      <c r="O59" s="511"/>
      <c r="P59" s="2622"/>
    </row>
    <row r="60" spans="1:29" s="117" customFormat="1" ht="15.75" thickBot="1">
      <c r="A60" s="513" t="s">
        <v>2579</v>
      </c>
      <c r="B60" s="514"/>
      <c r="C60" s="515"/>
      <c r="D60" s="516"/>
      <c r="E60" s="516"/>
      <c r="F60" s="516"/>
      <c r="G60" s="516"/>
      <c r="H60" s="516"/>
      <c r="I60" s="516"/>
      <c r="J60" s="516"/>
      <c r="K60" s="516"/>
      <c r="L60" s="516"/>
      <c r="M60" s="517"/>
      <c r="N60" s="516"/>
      <c r="O60" s="517"/>
      <c r="P60" s="2622"/>
      <c r="Q60" s="502"/>
    </row>
    <row r="61" spans="1:29" s="117" customFormat="1" ht="15">
      <c r="A61" s="519" t="s">
        <v>2580</v>
      </c>
      <c r="B61" s="508"/>
      <c r="C61" s="520" t="s">
        <v>2581</v>
      </c>
      <c r="D61" s="521"/>
      <c r="E61" s="521"/>
      <c r="F61" s="521"/>
      <c r="G61" s="521"/>
      <c r="H61" s="521"/>
      <c r="I61" s="521"/>
      <c r="J61" s="521"/>
      <c r="K61" s="521"/>
      <c r="L61" s="522"/>
      <c r="M61" s="523"/>
      <c r="N61" s="1148"/>
      <c r="O61" s="1148"/>
      <c r="P61" s="2623"/>
      <c r="Q61" s="502"/>
    </row>
    <row r="62" spans="1:29" s="117" customFormat="1" ht="15.75" thickBot="1">
      <c r="A62" s="519"/>
      <c r="B62" s="508"/>
      <c r="C62" s="509">
        <v>100</v>
      </c>
      <c r="D62" s="510"/>
      <c r="E62" s="510"/>
      <c r="F62" s="510"/>
      <c r="G62" s="510"/>
      <c r="H62" s="510"/>
      <c r="I62" s="510"/>
      <c r="J62" s="510"/>
      <c r="K62" s="510"/>
      <c r="L62" s="510"/>
      <c r="M62" s="512"/>
      <c r="N62" s="1148"/>
      <c r="O62" s="1148"/>
      <c r="P62" s="2622"/>
      <c r="Q62" s="502"/>
    </row>
    <row r="63" spans="1:29">
      <c r="A63" s="525" t="s">
        <v>2582</v>
      </c>
      <c r="B63" s="526" t="s">
        <v>2548</v>
      </c>
      <c r="C63" s="527">
        <f>C9</f>
        <v>0</v>
      </c>
      <c r="D63" s="528"/>
      <c r="E63" s="528"/>
      <c r="F63" s="528"/>
      <c r="G63" s="528"/>
      <c r="H63" s="528"/>
      <c r="I63" s="528"/>
      <c r="J63" s="528"/>
      <c r="K63" s="529"/>
      <c r="L63" s="530"/>
      <c r="M63" s="531"/>
      <c r="N63" s="1149"/>
      <c r="O63" s="1149"/>
      <c r="P63" s="2624"/>
      <c r="Q63" s="502"/>
    </row>
    <row r="64" spans="1:29" ht="15.75" thickBot="1">
      <c r="A64" s="532"/>
      <c r="B64" s="533"/>
      <c r="C64" s="534">
        <v>100</v>
      </c>
      <c r="D64" s="534"/>
      <c r="E64" s="534"/>
      <c r="F64" s="534"/>
      <c r="G64" s="534"/>
      <c r="H64" s="534"/>
      <c r="I64" s="534"/>
      <c r="J64" s="534"/>
      <c r="K64" s="534"/>
      <c r="L64" s="534"/>
      <c r="M64" s="535"/>
      <c r="N64" s="1150"/>
      <c r="O64" s="1150"/>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4"/>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4"/>
      <c r="Q67" s="502"/>
    </row>
    <row r="68" spans="1:17" ht="15">
      <c r="A68" s="532"/>
      <c r="B68" s="546"/>
      <c r="C68" s="547"/>
      <c r="D68" s="547"/>
      <c r="E68" s="547"/>
      <c r="F68" s="547"/>
      <c r="G68" s="547"/>
      <c r="H68" s="547"/>
      <c r="I68" s="547"/>
      <c r="J68" s="547"/>
      <c r="K68" s="548"/>
      <c r="L68" s="549"/>
      <c r="M68" s="550"/>
      <c r="N68" s="1149"/>
      <c r="O68" s="1149"/>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4"/>
      <c r="Q69" s="502"/>
    </row>
    <row r="70" spans="1:17" s="469" customFormat="1" ht="15.75" thickTop="1">
      <c r="A70" s="551"/>
      <c r="B70" s="536">
        <f>B12</f>
        <v>111</v>
      </c>
      <c r="C70" s="552"/>
      <c r="D70" s="552"/>
      <c r="E70" s="552"/>
      <c r="F70" s="552"/>
      <c r="G70" s="552"/>
      <c r="H70" s="553"/>
      <c r="I70" s="553"/>
      <c r="J70" s="553"/>
      <c r="K70" s="553"/>
      <c r="L70" s="554"/>
      <c r="M70" s="555"/>
      <c r="N70" s="1151"/>
      <c r="O70" s="1151"/>
      <c r="P70" s="2625"/>
      <c r="Q70" s="557"/>
    </row>
    <row r="71" spans="1:17" s="469" customFormat="1" ht="15.75" thickBot="1">
      <c r="A71" s="551"/>
      <c r="B71" s="541"/>
      <c r="C71" s="558"/>
      <c r="D71" s="534"/>
      <c r="E71" s="534"/>
      <c r="F71" s="534"/>
      <c r="G71" s="534"/>
      <c r="H71" s="534"/>
      <c r="I71" s="534"/>
      <c r="J71" s="534"/>
      <c r="K71" s="534"/>
      <c r="L71" s="534"/>
      <c r="M71" s="535"/>
      <c r="N71" s="1150"/>
      <c r="O71" s="1150"/>
      <c r="P71" s="2625"/>
      <c r="Q71" s="557"/>
    </row>
    <row r="72" spans="1:17" s="469" customFormat="1" ht="15.75" thickTop="1">
      <c r="A72" s="551"/>
      <c r="B72" s="536">
        <f>B13</f>
        <v>111</v>
      </c>
      <c r="C72" s="552"/>
      <c r="D72" s="552"/>
      <c r="E72" s="552"/>
      <c r="F72" s="552"/>
      <c r="G72" s="552"/>
      <c r="H72" s="553"/>
      <c r="I72" s="553"/>
      <c r="J72" s="553"/>
      <c r="K72" s="553"/>
      <c r="L72" s="554"/>
      <c r="M72" s="555"/>
      <c r="N72" s="1151"/>
      <c r="O72" s="1151"/>
      <c r="P72" s="2626"/>
      <c r="Q72" s="559"/>
    </row>
    <row r="73" spans="1:17" s="469" customFormat="1" ht="15.75" thickBot="1">
      <c r="A73" s="551"/>
      <c r="B73" s="541"/>
      <c r="C73" s="558"/>
      <c r="D73" s="558"/>
      <c r="E73" s="558"/>
      <c r="F73" s="558"/>
      <c r="G73" s="558"/>
      <c r="H73" s="560"/>
      <c r="I73" s="560"/>
      <c r="J73" s="560"/>
      <c r="K73" s="560"/>
      <c r="L73" s="560"/>
      <c r="M73" s="561"/>
      <c r="N73" s="1151"/>
      <c r="O73" s="1151"/>
      <c r="P73" s="2625"/>
      <c r="Q73" s="557"/>
    </row>
    <row r="74" spans="1:17" s="469" customFormat="1" ht="15.75" thickTop="1">
      <c r="A74" s="551"/>
      <c r="B74" s="544">
        <f>B14</f>
        <v>111</v>
      </c>
      <c r="C74" s="552"/>
      <c r="D74" s="552"/>
      <c r="E74" s="552"/>
      <c r="F74" s="552"/>
      <c r="G74" s="521"/>
      <c r="H74" s="562"/>
      <c r="I74" s="562"/>
      <c r="J74" s="562"/>
      <c r="K74" s="562"/>
      <c r="L74" s="563"/>
      <c r="M74" s="564"/>
      <c r="N74" s="1151"/>
      <c r="O74" s="1151"/>
      <c r="P74" s="2627"/>
      <c r="Q74" s="557"/>
    </row>
    <row r="75" spans="1:17" s="469" customFormat="1" ht="15.75" thickBot="1">
      <c r="A75" s="566"/>
      <c r="B75" s="567"/>
      <c r="C75" s="568"/>
      <c r="D75" s="568"/>
      <c r="E75" s="568"/>
      <c r="F75" s="568"/>
      <c r="G75" s="568"/>
      <c r="H75" s="569"/>
      <c r="I75" s="569"/>
      <c r="J75" s="569"/>
      <c r="K75" s="569"/>
      <c r="L75" s="569"/>
      <c r="M75" s="570"/>
      <c r="N75" s="1151"/>
      <c r="O75" s="1151"/>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4"/>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4"/>
      <c r="Q85" s="502"/>
    </row>
    <row r="86" spans="1:17" s="117" customFormat="1" ht="15.75" thickTop="1">
      <c r="A86" s="577"/>
      <c r="B86" s="536" t="s">
        <v>2604</v>
      </c>
      <c r="C86" s="552"/>
      <c r="D86" s="552"/>
      <c r="E86" s="552"/>
      <c r="F86" s="552"/>
      <c r="G86" s="552"/>
      <c r="H86" s="552"/>
      <c r="I86" s="552"/>
      <c r="J86" s="552"/>
      <c r="K86" s="552"/>
      <c r="L86" s="578"/>
      <c r="M86" s="579"/>
      <c r="N86" s="1148"/>
      <c r="O86" s="1148"/>
      <c r="P86" s="2624"/>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4"/>
      <c r="Q87" s="502"/>
    </row>
    <row r="88" spans="1:17" s="117" customFormat="1" ht="15.75" thickTop="1">
      <c r="A88" s="577"/>
      <c r="B88" s="536" t="s">
        <v>2605</v>
      </c>
      <c r="C88" s="552"/>
      <c r="D88" s="552"/>
      <c r="E88" s="552"/>
      <c r="F88" s="2629"/>
      <c r="G88" s="552"/>
      <c r="H88" s="552"/>
      <c r="I88" s="552"/>
      <c r="J88" s="552"/>
      <c r="K88" s="552"/>
      <c r="L88" s="552"/>
      <c r="M88" s="579"/>
      <c r="N88" s="1148"/>
      <c r="O88" s="1148"/>
      <c r="P88" s="2624"/>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4"/>
      <c r="Q89" s="502"/>
    </row>
    <row r="90" spans="1:17" s="469" customFormat="1" ht="15.75" thickTop="1">
      <c r="A90" s="551"/>
      <c r="B90" s="536">
        <f>B27</f>
        <v>111</v>
      </c>
      <c r="C90" s="552"/>
      <c r="D90" s="552"/>
      <c r="E90" s="552"/>
      <c r="F90" s="552"/>
      <c r="G90" s="552"/>
      <c r="H90" s="553"/>
      <c r="I90" s="553"/>
      <c r="J90" s="553"/>
      <c r="K90" s="553"/>
      <c r="L90" s="554"/>
      <c r="M90" s="555"/>
      <c r="N90" s="1151"/>
      <c r="O90" s="1151"/>
      <c r="P90" s="2625"/>
      <c r="Q90" s="557"/>
    </row>
    <row r="91" spans="1:17" s="469" customFormat="1" ht="15.75" thickBot="1">
      <c r="A91" s="551"/>
      <c r="B91" s="541"/>
      <c r="C91" s="558"/>
      <c r="D91" s="558"/>
      <c r="E91" s="558"/>
      <c r="F91" s="558"/>
      <c r="G91" s="558"/>
      <c r="H91" s="560"/>
      <c r="I91" s="560"/>
      <c r="J91" s="560"/>
      <c r="K91" s="560"/>
      <c r="L91" s="560"/>
      <c r="M91" s="561"/>
      <c r="N91" s="1151"/>
      <c r="O91" s="1151"/>
      <c r="P91" s="2625"/>
      <c r="Q91" s="557"/>
    </row>
    <row r="92" spans="1:17" ht="15.75" thickTop="1">
      <c r="A92" s="532"/>
      <c r="B92" s="536">
        <f>B28</f>
        <v>111</v>
      </c>
      <c r="C92" s="552"/>
      <c r="D92" s="552"/>
      <c r="E92" s="552"/>
      <c r="F92" s="552"/>
      <c r="G92" s="581"/>
      <c r="H92" s="581"/>
      <c r="I92" s="581"/>
      <c r="J92" s="581"/>
      <c r="K92" s="582"/>
      <c r="L92" s="583"/>
      <c r="M92" s="584"/>
      <c r="N92" s="1149"/>
      <c r="O92" s="1149"/>
      <c r="P92" s="2624"/>
      <c r="Q92" s="502"/>
    </row>
    <row r="93" spans="1:17" ht="15.75" thickBot="1">
      <c r="A93" s="532"/>
      <c r="B93" s="541"/>
      <c r="C93" s="558"/>
      <c r="D93" s="534"/>
      <c r="E93" s="534"/>
      <c r="F93" s="534"/>
      <c r="G93" s="534"/>
      <c r="H93" s="534"/>
      <c r="I93" s="534"/>
      <c r="J93" s="534"/>
      <c r="K93" s="534"/>
      <c r="L93" s="534"/>
      <c r="M93" s="535"/>
      <c r="N93" s="1150"/>
      <c r="O93" s="1150"/>
      <c r="P93" s="2624"/>
      <c r="Q93" s="502"/>
    </row>
    <row r="94" spans="1:17" ht="15.75" thickTop="1">
      <c r="A94" s="532"/>
      <c r="B94" s="536">
        <f>B29</f>
        <v>111</v>
      </c>
      <c r="C94" s="552"/>
      <c r="D94" s="552"/>
      <c r="E94" s="552"/>
      <c r="F94" s="552"/>
      <c r="G94" s="581"/>
      <c r="H94" s="581"/>
      <c r="I94" s="581"/>
      <c r="J94" s="581"/>
      <c r="K94" s="582"/>
      <c r="L94" s="583"/>
      <c r="M94" s="584"/>
      <c r="N94" s="1149"/>
      <c r="O94" s="1149"/>
      <c r="P94" s="2624"/>
      <c r="Q94" s="502"/>
    </row>
    <row r="95" spans="1:17" ht="15.75" thickBot="1">
      <c r="A95" s="532"/>
      <c r="B95" s="541"/>
      <c r="C95" s="558"/>
      <c r="D95" s="558"/>
      <c r="E95" s="558"/>
      <c r="F95" s="558"/>
      <c r="G95" s="534"/>
      <c r="H95" s="534"/>
      <c r="I95" s="534"/>
      <c r="J95" s="534"/>
      <c r="K95" s="534"/>
      <c r="L95" s="534"/>
      <c r="M95" s="535"/>
      <c r="N95" s="1150"/>
      <c r="O95" s="1150"/>
      <c r="P95" s="2624"/>
      <c r="Q95" s="502"/>
    </row>
    <row r="96" spans="1:17" ht="15.75" thickTop="1">
      <c r="A96" s="532"/>
      <c r="B96" s="536">
        <f>B30</f>
        <v>111</v>
      </c>
      <c r="C96" s="552"/>
      <c r="D96" s="552"/>
      <c r="E96" s="552"/>
      <c r="F96" s="552"/>
      <c r="G96" s="581"/>
      <c r="H96" s="581"/>
      <c r="I96" s="581"/>
      <c r="J96" s="581"/>
      <c r="K96" s="582"/>
      <c r="L96" s="583"/>
      <c r="M96" s="584"/>
      <c r="N96" s="1149"/>
      <c r="O96" s="1149"/>
      <c r="P96" s="2624"/>
      <c r="Q96" s="502"/>
    </row>
    <row r="97" spans="1:17" ht="15.75" thickBot="1">
      <c r="A97" s="532"/>
      <c r="B97" s="541"/>
      <c r="C97" s="568"/>
      <c r="D97" s="568"/>
      <c r="E97" s="568"/>
      <c r="F97" s="568"/>
      <c r="G97" s="534"/>
      <c r="H97" s="534"/>
      <c r="I97" s="534"/>
      <c r="J97" s="534"/>
      <c r="K97" s="534"/>
      <c r="L97" s="534"/>
      <c r="M97" s="535"/>
      <c r="N97" s="1150"/>
      <c r="O97" s="1150"/>
      <c r="P97" s="2624"/>
      <c r="Q97" s="502"/>
    </row>
    <row r="98" spans="1:17" ht="15.75" thickTop="1">
      <c r="A98" s="532"/>
      <c r="B98" s="544">
        <f>B31</f>
        <v>111</v>
      </c>
      <c r="C98" s="585"/>
      <c r="D98" s="585"/>
      <c r="E98" s="585"/>
      <c r="F98" s="585"/>
      <c r="G98" s="585"/>
      <c r="H98" s="585"/>
      <c r="I98" s="585"/>
      <c r="J98" s="585"/>
      <c r="K98" s="586"/>
      <c r="L98" s="587"/>
      <c r="M98" s="588"/>
      <c r="N98" s="1149"/>
      <c r="O98" s="1149"/>
      <c r="P98" s="2624"/>
      <c r="Q98" s="502"/>
    </row>
    <row r="99" spans="1:17" ht="15.75" thickBot="1">
      <c r="A99" s="2630"/>
      <c r="B99" s="567"/>
      <c r="C99" s="589"/>
      <c r="D99" s="589"/>
      <c r="E99" s="589"/>
      <c r="F99" s="589"/>
      <c r="G99" s="589"/>
      <c r="H99" s="589"/>
      <c r="I99" s="589"/>
      <c r="J99" s="589"/>
      <c r="K99" s="589"/>
      <c r="L99" s="589"/>
      <c r="M99" s="590"/>
      <c r="N99" s="1150"/>
      <c r="O99" s="1150"/>
      <c r="P99" s="2624"/>
      <c r="Q99" s="502"/>
    </row>
    <row r="100" spans="1:17">
      <c r="A100" s="525" t="s">
        <v>2557</v>
      </c>
      <c r="B100" s="526" t="s">
        <v>2606</v>
      </c>
      <c r="C100" s="528"/>
      <c r="D100" s="528"/>
      <c r="E100" s="528"/>
      <c r="F100" s="528"/>
      <c r="G100" s="528"/>
      <c r="H100" s="528"/>
      <c r="I100" s="528"/>
      <c r="J100" s="528"/>
      <c r="K100" s="529"/>
      <c r="L100" s="530"/>
      <c r="M100" s="531"/>
      <c r="N100" s="1149"/>
      <c r="O100" s="1149"/>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4"/>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4"/>
      <c r="Q102" s="502"/>
    </row>
    <row r="103" spans="1:17" s="469" customFormat="1">
      <c r="A103" s="591"/>
      <c r="B103" s="592"/>
      <c r="C103" s="593"/>
      <c r="D103" s="593"/>
      <c r="E103" s="593"/>
      <c r="F103" s="593"/>
      <c r="G103" s="593"/>
      <c r="H103" s="593"/>
      <c r="I103" s="593"/>
      <c r="J103" s="594"/>
      <c r="K103" s="594"/>
      <c r="L103" s="595"/>
      <c r="M103" s="596"/>
      <c r="N103" s="1151"/>
      <c r="O103" s="1151"/>
      <c r="P103" s="2625"/>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5"/>
      <c r="Q104" s="557"/>
    </row>
    <row r="105" spans="1:17" ht="15" thickTop="1">
      <c r="A105" s="597"/>
      <c r="B105" s="536" t="s">
        <v>2608</v>
      </c>
      <c r="C105" s="552"/>
      <c r="D105" s="552"/>
      <c r="E105" s="581"/>
      <c r="F105" s="581"/>
      <c r="G105" s="581"/>
      <c r="H105" s="581"/>
      <c r="I105" s="581"/>
      <c r="J105" s="581"/>
      <c r="K105" s="582"/>
      <c r="L105" s="583"/>
      <c r="M105" s="584"/>
      <c r="N105" s="1149"/>
      <c r="O105" s="1149"/>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4"/>
      <c r="Q106" s="502"/>
    </row>
    <row r="107" spans="1:17" ht="15" thickTop="1">
      <c r="A107" s="597"/>
      <c r="B107" s="536" t="s">
        <v>2609</v>
      </c>
      <c r="C107" s="581"/>
      <c r="D107" s="581"/>
      <c r="E107" s="581"/>
      <c r="F107" s="581"/>
      <c r="G107" s="581"/>
      <c r="H107" s="581"/>
      <c r="I107" s="581"/>
      <c r="J107" s="581"/>
      <c r="K107" s="582"/>
      <c r="L107" s="583"/>
      <c r="M107" s="584"/>
      <c r="N107" s="1149"/>
      <c r="O107" s="1149"/>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4"/>
      <c r="Q108" s="502"/>
    </row>
    <row r="109" spans="1:17" ht="15" thickTop="1">
      <c r="A109" s="597"/>
      <c r="B109" s="536" t="s">
        <v>2610</v>
      </c>
      <c r="C109" s="552"/>
      <c r="D109" s="552"/>
      <c r="E109" s="552"/>
      <c r="F109" s="581"/>
      <c r="G109" s="581"/>
      <c r="H109" s="581"/>
      <c r="I109" s="581"/>
      <c r="J109" s="581"/>
      <c r="K109" s="582"/>
      <c r="L109" s="583"/>
      <c r="M109" s="584"/>
      <c r="N109" s="1149"/>
      <c r="O109" s="1149"/>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4"/>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5"/>
      <c r="Q113" s="557"/>
    </row>
    <row r="114" spans="1:17" ht="15" thickTop="1">
      <c r="A114" s="597"/>
      <c r="B114" s="536" t="s">
        <v>2611</v>
      </c>
      <c r="C114" s="552"/>
      <c r="D114" s="552"/>
      <c r="E114" s="581"/>
      <c r="F114" s="581"/>
      <c r="G114" s="581"/>
      <c r="H114" s="581"/>
      <c r="I114" s="581"/>
      <c r="J114" s="581"/>
      <c r="K114" s="582"/>
      <c r="L114" s="583"/>
      <c r="M114" s="584"/>
      <c r="N114" s="1149"/>
      <c r="O114" s="1149"/>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4"/>
      <c r="Q115" s="502"/>
    </row>
    <row r="116" spans="1:17" ht="15" thickTop="1">
      <c r="A116" s="597"/>
      <c r="B116" s="536" t="s">
        <v>2612</v>
      </c>
      <c r="C116" s="552"/>
      <c r="D116" s="552"/>
      <c r="E116" s="552"/>
      <c r="F116" s="552"/>
      <c r="G116" s="552"/>
      <c r="H116" s="581"/>
      <c r="I116" s="581"/>
      <c r="J116" s="581"/>
      <c r="K116" s="582"/>
      <c r="L116" s="583"/>
      <c r="M116" s="584"/>
      <c r="N116" s="1149"/>
      <c r="O116" s="1149"/>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4"/>
      <c r="Q117" s="502"/>
    </row>
    <row r="118" spans="1:17" ht="15" thickTop="1">
      <c r="A118" s="597"/>
      <c r="B118" s="536" t="s">
        <v>2613</v>
      </c>
      <c r="C118" s="581"/>
      <c r="D118" s="581"/>
      <c r="E118" s="581"/>
      <c r="F118" s="581"/>
      <c r="G118" s="581"/>
      <c r="H118" s="581"/>
      <c r="I118" s="581"/>
      <c r="J118" s="581"/>
      <c r="K118" s="582"/>
      <c r="L118" s="583"/>
      <c r="M118" s="584"/>
      <c r="N118" s="1149"/>
      <c r="O118" s="1149"/>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4"/>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5"/>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5"/>
      <c r="Q121" s="557"/>
    </row>
    <row r="122" spans="1:17" ht="15" thickTop="1">
      <c r="A122" s="597"/>
      <c r="B122" s="536" t="s">
        <v>2614</v>
      </c>
      <c r="C122" s="552"/>
      <c r="D122" s="552"/>
      <c r="E122" s="552"/>
      <c r="F122" s="581"/>
      <c r="G122" s="581"/>
      <c r="H122" s="581"/>
      <c r="I122" s="581"/>
      <c r="J122" s="581"/>
      <c r="K122" s="582"/>
      <c r="L122" s="583"/>
      <c r="M122" s="584"/>
      <c r="N122" s="1149"/>
      <c r="O122" s="1149"/>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4"/>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5"/>
      <c r="Q127" s="557"/>
    </row>
    <row r="128" spans="1:17" ht="15" thickTop="1">
      <c r="A128" s="597"/>
      <c r="B128" s="536">
        <f>B45</f>
        <v>111</v>
      </c>
      <c r="C128" s="552"/>
      <c r="D128" s="552"/>
      <c r="E128" s="552"/>
      <c r="F128" s="552"/>
      <c r="G128" s="581"/>
      <c r="H128" s="581"/>
      <c r="I128" s="581"/>
      <c r="J128" s="581"/>
      <c r="K128" s="582"/>
      <c r="L128" s="583"/>
      <c r="M128" s="584"/>
      <c r="N128" s="1149"/>
      <c r="O128" s="1149"/>
      <c r="P128" s="2624"/>
      <c r="Q128" s="502"/>
    </row>
    <row r="129" spans="1:17" ht="15.75" thickBot="1">
      <c r="A129" s="532"/>
      <c r="B129" s="541"/>
      <c r="C129" s="558"/>
      <c r="D129" s="558"/>
      <c r="E129" s="558"/>
      <c r="F129" s="558"/>
      <c r="G129" s="534"/>
      <c r="H129" s="534"/>
      <c r="I129" s="534"/>
      <c r="J129" s="534"/>
      <c r="K129" s="534"/>
      <c r="L129" s="534"/>
      <c r="M129" s="535"/>
      <c r="N129" s="1150"/>
      <c r="O129" s="1150"/>
      <c r="P129" s="2624"/>
      <c r="Q129" s="502"/>
    </row>
    <row r="130" spans="1:17" ht="15" thickTop="1">
      <c r="A130" s="597"/>
      <c r="B130" s="544">
        <f>B46</f>
        <v>111</v>
      </c>
      <c r="C130" s="552"/>
      <c r="D130" s="552"/>
      <c r="E130" s="552"/>
      <c r="F130" s="552"/>
      <c r="G130" s="585"/>
      <c r="H130" s="585"/>
      <c r="I130" s="585"/>
      <c r="J130" s="585"/>
      <c r="K130" s="521"/>
      <c r="L130" s="522"/>
      <c r="M130" s="588"/>
      <c r="N130" s="1149"/>
      <c r="O130" s="1149"/>
      <c r="P130" s="2624"/>
      <c r="Q130" s="502"/>
    </row>
    <row r="131" spans="1:17" ht="15.75" thickBot="1">
      <c r="A131" s="2630"/>
      <c r="B131" s="567"/>
      <c r="C131" s="568"/>
      <c r="D131" s="568"/>
      <c r="E131" s="568"/>
      <c r="F131" s="568"/>
      <c r="G131" s="589"/>
      <c r="H131" s="589"/>
      <c r="I131" s="589"/>
      <c r="J131" s="589"/>
      <c r="K131" s="589"/>
      <c r="L131" s="589"/>
      <c r="M131" s="590"/>
      <c r="N131" s="1150"/>
      <c r="O131" s="1150"/>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1">
        <v>6</v>
      </c>
      <c r="C139" s="1082">
        <v>96</v>
      </c>
      <c r="D139" s="2642" t="s">
        <v>2625</v>
      </c>
      <c r="E139" s="1083">
        <v>100</v>
      </c>
      <c r="F139" s="1084">
        <v>102.5</v>
      </c>
      <c r="G139" s="2642" t="s">
        <v>2625</v>
      </c>
      <c r="H139" s="1085">
        <v>105</v>
      </c>
      <c r="I139" s="2643" t="s">
        <v>2626</v>
      </c>
      <c r="J139" s="1082">
        <v>20</v>
      </c>
      <c r="K139" s="1086">
        <f>C145/(J139-2)</f>
        <v>4.0555555555555553E-3</v>
      </c>
    </row>
    <row r="140" spans="1:17" ht="15">
      <c r="B140" s="1087">
        <v>5</v>
      </c>
      <c r="C140" s="1088">
        <v>100</v>
      </c>
      <c r="D140" s="1088"/>
      <c r="E140" s="1089"/>
      <c r="F140" s="1090">
        <v>102</v>
      </c>
      <c r="G140" s="1088"/>
      <c r="H140" s="1091"/>
      <c r="I140" s="2644" t="s">
        <v>2627</v>
      </c>
      <c r="J140" s="313">
        <f>ROUNDUP((J139-1)/2,0)</f>
        <v>10</v>
      </c>
      <c r="K140" s="1092">
        <v>100</v>
      </c>
    </row>
    <row r="141" spans="1:17" ht="15">
      <c r="B141" s="1087">
        <v>4</v>
      </c>
      <c r="C141" s="1088">
        <v>102</v>
      </c>
      <c r="D141" s="1088"/>
      <c r="E141" s="1089"/>
      <c r="F141" s="1090">
        <v>101.5</v>
      </c>
      <c r="G141" s="1088"/>
      <c r="H141" s="1091"/>
      <c r="I141" s="2644" t="s">
        <v>2628</v>
      </c>
      <c r="J141" s="313">
        <v>1</v>
      </c>
      <c r="K141" s="1093">
        <f>ROUND(100+(J141-J140)*K139*100,1)</f>
        <v>96.4</v>
      </c>
    </row>
    <row r="142" spans="1:17" ht="15">
      <c r="B142" s="1087">
        <v>3</v>
      </c>
      <c r="C142" s="1088">
        <v>103</v>
      </c>
      <c r="D142" s="1088"/>
      <c r="E142" s="1089"/>
      <c r="F142" s="1090">
        <v>101</v>
      </c>
      <c r="G142" s="1088"/>
      <c r="H142" s="1091"/>
      <c r="I142" s="2644" t="s">
        <v>2629</v>
      </c>
      <c r="J142" s="313">
        <f>J139</f>
        <v>20</v>
      </c>
      <c r="K142" s="1094">
        <v>95</v>
      </c>
    </row>
    <row r="143" spans="1:17" ht="15">
      <c r="B143" s="1087">
        <v>2</v>
      </c>
      <c r="C143" s="1088">
        <v>100</v>
      </c>
      <c r="D143" s="1088"/>
      <c r="E143" s="1089"/>
      <c r="F143" s="1090">
        <v>100.5</v>
      </c>
      <c r="G143" s="1088"/>
      <c r="H143" s="1091"/>
      <c r="I143" s="2644" t="s">
        <v>2630</v>
      </c>
      <c r="J143" s="1088">
        <v>15</v>
      </c>
      <c r="K143" s="1093">
        <f>ROUND(100+(J143-J140)*K139*100,1)</f>
        <v>102</v>
      </c>
    </row>
    <row r="144" spans="1:17" ht="15">
      <c r="B144" s="1087">
        <v>1</v>
      </c>
      <c r="C144" s="1088">
        <v>98</v>
      </c>
      <c r="D144" s="2645" t="s">
        <v>2631</v>
      </c>
      <c r="E144" s="1089">
        <v>102</v>
      </c>
      <c r="F144" s="1095">
        <v>100</v>
      </c>
      <c r="G144" s="2645" t="s">
        <v>2631</v>
      </c>
      <c r="H144" s="1091">
        <v>105</v>
      </c>
      <c r="I144" s="2644" t="s">
        <v>2630</v>
      </c>
      <c r="J144" s="1088">
        <v>18</v>
      </c>
      <c r="K144" s="1093">
        <f>ROUND(100+(J144-J140)*K139*100,1)</f>
        <v>103.2</v>
      </c>
    </row>
    <row r="145" spans="2:11" ht="15.75" thickBot="1">
      <c r="B145" s="2646" t="s">
        <v>2632</v>
      </c>
      <c r="C145" s="1096">
        <f>ROUND(MAX(C139:C144)/MIN(C139:C144)-1,3)</f>
        <v>7.2999999999999995E-2</v>
      </c>
      <c r="D145" s="1097"/>
      <c r="E145" s="1097"/>
      <c r="F145" s="2647" t="s">
        <v>2633</v>
      </c>
      <c r="G145" s="2648"/>
      <c r="H145" s="2649"/>
      <c r="I145" s="2650" t="s">
        <v>2630</v>
      </c>
      <c r="J145" s="1098">
        <v>8</v>
      </c>
      <c r="K145" s="1099">
        <f>ROUND(100+(J145-J140)*K139*100,1)</f>
        <v>99.2</v>
      </c>
    </row>
    <row r="147" spans="2:11">
      <c r="B147" s="2631" t="s">
        <v>2634</v>
      </c>
    </row>
    <row r="148" spans="2:11">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I8" sqref="I8"/>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6" t="s">
        <v>2636</v>
      </c>
      <c r="C1" s="1630" t="s">
        <v>2524</v>
      </c>
      <c r="D1" s="1617" t="s">
        <v>1373</v>
      </c>
      <c r="E1" s="2651"/>
      <c r="F1" s="2578" t="s">
        <v>3288</v>
      </c>
      <c r="G1" s="1627" t="s">
        <v>2637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6" customFormat="1" ht="28.5" customHeight="1" thickTop="1">
      <c r="A2" s="1613" t="s">
        <v>2321</v>
      </c>
      <c r="B2" s="1415">
        <f>IF(C2="——",ROUND(C49*D3/10000,0),ROUND(C49*D3/10000,0)-D2)</f>
        <v>406857</v>
      </c>
      <c r="C2" s="2580" t="s">
        <v>70</v>
      </c>
      <c r="D2" s="1362" t="e">
        <f ca="1">SUMIF(INDIRECT("'"&amp;F2&amp;"'"&amp;"!A:A"),"承租人权益价值",INDIRECT("'"&amp;F2&amp;"'"&amp;"!c:c"))</f>
        <v>#REF!</v>
      </c>
      <c r="E2" s="2581" t="s">
        <v>2322</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6" customFormat="1" ht="28.5" customHeight="1" thickBot="1">
      <c r="A3" s="245" t="s">
        <v>2323</v>
      </c>
      <c r="B3" s="607">
        <f>IF(C2="——",C49,ROUND(B2*10000/D3,0))</f>
        <v>51789</v>
      </c>
      <c r="C3" s="398" t="s">
        <v>2638</v>
      </c>
      <c r="D3" s="397">
        <f>IF(D1="",'数据-汇总表'!E3,SUMIF('数据-汇总表'!$C19:$C33,D1,'数据-汇总表'!$E19:$E33))</f>
        <v>78560.460000000006</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71" t="s">
        <v>2642</v>
      </c>
      <c r="AC4" s="3241" t="s">
        <v>2643</v>
      </c>
    </row>
    <row r="5" spans="1:29" ht="15">
      <c r="A5" s="402"/>
      <c r="B5" s="403"/>
      <c r="C5" s="3252" t="s">
        <v>2536</v>
      </c>
      <c r="D5" s="3253"/>
      <c r="E5" s="3319" t="s">
        <v>3311</v>
      </c>
      <c r="F5" s="3251"/>
      <c r="G5" s="3320" t="s">
        <v>3297</v>
      </c>
      <c r="H5" s="3253"/>
      <c r="I5" s="3320" t="str">
        <f>G5</f>
        <v>嘉悦广场</v>
      </c>
      <c r="J5" s="3253"/>
      <c r="K5" s="608"/>
      <c r="L5" s="1127"/>
      <c r="M5" s="1128"/>
      <c r="N5" s="1128"/>
      <c r="O5" s="1128"/>
      <c r="P5" s="3265"/>
      <c r="Q5" s="3266"/>
      <c r="R5" s="3248"/>
      <c r="S5" s="3249"/>
      <c r="T5" s="3248"/>
      <c r="U5" s="3249"/>
      <c r="V5" s="3271"/>
      <c r="W5" s="3271"/>
      <c r="X5" s="1809"/>
      <c r="Y5" s="3248"/>
      <c r="Z5" s="3249"/>
      <c r="AA5" s="3242"/>
      <c r="AB5" s="3271"/>
      <c r="AC5" s="3242"/>
    </row>
    <row r="6" spans="1:29" ht="15.7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71"/>
      <c r="AC6" s="3243"/>
    </row>
    <row r="7" spans="1:29" s="117" customFormat="1" ht="15.75" thickBot="1">
      <c r="A7" s="406" t="s">
        <v>2542</v>
      </c>
      <c r="B7" s="407"/>
      <c r="C7" s="408">
        <f>'数据-取费表'!B2</f>
        <v>43756</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44" t="s">
        <v>2543</v>
      </c>
      <c r="Q7" s="3272"/>
      <c r="R7" s="767" t="s">
        <v>17</v>
      </c>
      <c r="S7" s="768">
        <f t="shared" ref="S7:S15" si="0">F7</f>
        <v>99</v>
      </c>
      <c r="T7" s="767" t="s">
        <v>17</v>
      </c>
      <c r="U7" s="768">
        <f t="shared" ref="U7:U15" si="1">H7</f>
        <v>99</v>
      </c>
      <c r="V7" s="767" t="s">
        <v>17</v>
      </c>
      <c r="W7" s="768">
        <f t="shared" ref="W7:W15" si="2">J7</f>
        <v>99</v>
      </c>
      <c r="X7" s="769"/>
      <c r="Y7" s="3244" t="s">
        <v>2543</v>
      </c>
      <c r="Z7" s="3245"/>
      <c r="AA7" s="770">
        <f>D7/F7</f>
        <v>1.0101010101010102</v>
      </c>
      <c r="AB7" s="770">
        <f>D7/H7</f>
        <v>1.0101010101010102</v>
      </c>
      <c r="AC7" s="770">
        <f>D7/J7</f>
        <v>1.0101010101010102</v>
      </c>
    </row>
    <row r="8" spans="1:29" s="117" customFormat="1" ht="15.75" thickBot="1">
      <c r="A8" s="406" t="s">
        <v>2544</v>
      </c>
      <c r="B8" s="407"/>
      <c r="C8" s="412" t="s">
        <v>2646</v>
      </c>
      <c r="D8" s="409">
        <v>100</v>
      </c>
      <c r="E8" s="412" t="s">
        <v>3270</v>
      </c>
      <c r="F8" s="411">
        <f>SUMIF(61:61,E8,62:62)-SUMIF(61:61,C8,62:62)+100</f>
        <v>100</v>
      </c>
      <c r="G8" s="412" t="s">
        <v>3270</v>
      </c>
      <c r="H8" s="409">
        <f>SUMIF(61:61,G8,62:62)-SUMIF(61:61,C8,62:62)+100</f>
        <v>100</v>
      </c>
      <c r="I8" s="412" t="s">
        <v>3270</v>
      </c>
      <c r="J8" s="409">
        <f>SUMIF(61:61,I8,62:62)-SUMIF(61:61,C8,62:62)+100</f>
        <v>100</v>
      </c>
      <c r="K8" s="609"/>
      <c r="L8" s="1129"/>
      <c r="M8" s="1130"/>
      <c r="N8" s="1130"/>
      <c r="O8" s="1130"/>
      <c r="P8" s="3244" t="s">
        <v>2546</v>
      </c>
      <c r="Q8" s="3245"/>
      <c r="R8" s="767" t="s">
        <v>17</v>
      </c>
      <c r="S8" s="768">
        <f t="shared" si="0"/>
        <v>100</v>
      </c>
      <c r="T8" s="767" t="s">
        <v>17</v>
      </c>
      <c r="U8" s="768">
        <f t="shared" si="1"/>
        <v>100</v>
      </c>
      <c r="V8" s="767" t="s">
        <v>17</v>
      </c>
      <c r="W8" s="768">
        <f t="shared" si="2"/>
        <v>100</v>
      </c>
      <c r="X8" s="769"/>
      <c r="Y8" s="3244" t="s">
        <v>2546</v>
      </c>
      <c r="Z8" s="3245"/>
      <c r="AA8" s="770">
        <f t="shared" ref="AA8:AA46" si="3">D8/F8</f>
        <v>1</v>
      </c>
      <c r="AB8" s="770">
        <f t="shared" ref="AB8:AB46" si="4">D8/H8</f>
        <v>1</v>
      </c>
      <c r="AC8" s="770">
        <f t="shared" ref="AC8:AC46" si="5">D8/J8</f>
        <v>1</v>
      </c>
    </row>
    <row r="9" spans="1:29" s="117" customFormat="1">
      <c r="A9" s="413" t="s">
        <v>2547</v>
      </c>
      <c r="B9" s="71" t="s">
        <v>2548</v>
      </c>
      <c r="C9" s="2987" t="s">
        <v>3293</v>
      </c>
      <c r="D9" s="133">
        <v>100</v>
      </c>
      <c r="E9" s="2988" t="s">
        <v>1373</v>
      </c>
      <c r="F9" s="416">
        <f>SUMIF(63:63,E9,64:64)-SUMIF(63:63,C9,64:64)+100</f>
        <v>100</v>
      </c>
      <c r="G9" s="2988" t="s">
        <v>1373</v>
      </c>
      <c r="H9" s="133">
        <f>SUMIF(63:63,G9,64:64)-SUMIF(63:63,C9,64:64)+100</f>
        <v>100</v>
      </c>
      <c r="I9" s="2988" t="s">
        <v>1373</v>
      </c>
      <c r="J9" s="133">
        <f>SUMIF(63:63,I9,64:64)-SUMIF(63:63,C9,64:64)+100</f>
        <v>100</v>
      </c>
      <c r="K9" s="609"/>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7">
      <c r="A10" s="419"/>
      <c r="B10" s="420" t="s">
        <v>2551</v>
      </c>
      <c r="C10" s="421" t="s">
        <v>3294</v>
      </c>
      <c r="D10" s="134">
        <v>100</v>
      </c>
      <c r="E10" s="422" t="s">
        <v>3310</v>
      </c>
      <c r="F10" s="423">
        <f>SUMIF(65:65,E10,66:66)-SUMIF(65:65,C10,66:66)+100</f>
        <v>101</v>
      </c>
      <c r="G10" s="421" t="s">
        <v>3310</v>
      </c>
      <c r="H10" s="134">
        <f>SUMIF(65:65,G10,66:66)-SUMIF(65:65,C10,66:66)+100</f>
        <v>101</v>
      </c>
      <c r="I10" s="421" t="s">
        <v>3310</v>
      </c>
      <c r="J10" s="134">
        <f>SUMIF(65:65,I10,66:66)-SUMIF(65:65,C10,66:66)+100</f>
        <v>101</v>
      </c>
      <c r="K10" s="610">
        <v>1</v>
      </c>
      <c r="L10" s="1132"/>
      <c r="M10" s="1133"/>
      <c r="N10" s="1133"/>
      <c r="O10" s="1133"/>
      <c r="P10" s="3282"/>
      <c r="Q10" s="1791" t="str">
        <f t="shared" si="6"/>
        <v>土地使用年限（年）</v>
      </c>
      <c r="R10" s="767" t="s">
        <v>17</v>
      </c>
      <c r="S10" s="768">
        <f t="shared" si="0"/>
        <v>101</v>
      </c>
      <c r="T10" s="767" t="s">
        <v>17</v>
      </c>
      <c r="U10" s="768">
        <f t="shared" si="1"/>
        <v>101</v>
      </c>
      <c r="V10" s="767" t="s">
        <v>17</v>
      </c>
      <c r="W10" s="768">
        <f t="shared" si="2"/>
        <v>101</v>
      </c>
      <c r="X10" s="769"/>
      <c r="Y10" s="3079"/>
      <c r="Z10" s="55" t="str">
        <f t="shared" si="7"/>
        <v>土地使用年限（年）</v>
      </c>
      <c r="AA10" s="770">
        <f t="shared" si="3"/>
        <v>0.99009900990099009</v>
      </c>
      <c r="AB10" s="770">
        <f t="shared" si="4"/>
        <v>0.99009900990099009</v>
      </c>
      <c r="AC10" s="770">
        <f t="shared" si="5"/>
        <v>0.99009900990099009</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82"/>
      <c r="Q11" s="1791" t="str">
        <f t="shared" si="6"/>
        <v>容积率</v>
      </c>
      <c r="R11" s="767" t="s">
        <v>17</v>
      </c>
      <c r="S11" s="768">
        <f t="shared" si="0"/>
        <v>100</v>
      </c>
      <c r="T11" s="767" t="s">
        <v>17</v>
      </c>
      <c r="U11" s="768">
        <f t="shared" si="1"/>
        <v>100</v>
      </c>
      <c r="V11" s="767" t="s">
        <v>17</v>
      </c>
      <c r="W11" s="768">
        <f t="shared" si="2"/>
        <v>100</v>
      </c>
      <c r="X11" s="769"/>
      <c r="Y11" s="3079"/>
      <c r="Z11" s="55" t="str">
        <f t="shared" si="7"/>
        <v>容积率</v>
      </c>
      <c r="AA11" s="770">
        <f t="shared" si="3"/>
        <v>1</v>
      </c>
      <c r="AB11" s="770">
        <f t="shared" si="4"/>
        <v>1</v>
      </c>
      <c r="AC11" s="770">
        <f t="shared" si="5"/>
        <v>1</v>
      </c>
    </row>
    <row r="12" spans="1:29" s="117"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82"/>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2"/>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2"/>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71.25">
      <c r="A15" s="438" t="s">
        <v>2553</v>
      </c>
      <c r="B15" s="69" t="s">
        <v>2647</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17" t="s">
        <v>2554</v>
      </c>
      <c r="Q15" s="1806" t="str">
        <f t="shared" si="6"/>
        <v>商业繁华度</v>
      </c>
      <c r="R15" s="771" t="s">
        <v>17</v>
      </c>
      <c r="S15" s="772">
        <f t="shared" si="0"/>
        <v>100</v>
      </c>
      <c r="T15" s="771" t="s">
        <v>17</v>
      </c>
      <c r="U15" s="772">
        <f t="shared" si="1"/>
        <v>100</v>
      </c>
      <c r="V15" s="771" t="s">
        <v>17</v>
      </c>
      <c r="W15" s="772">
        <f t="shared" si="2"/>
        <v>100</v>
      </c>
      <c r="X15" s="1809"/>
      <c r="Y15" s="3273" t="s">
        <v>2554</v>
      </c>
      <c r="Z15" s="1810" t="str">
        <f t="shared" si="7"/>
        <v>商业繁华度</v>
      </c>
      <c r="AA15" s="1807">
        <f t="shared" si="3"/>
        <v>1</v>
      </c>
      <c r="AB15" s="1807">
        <f t="shared" si="4"/>
        <v>1</v>
      </c>
      <c r="AC15" s="1807">
        <f t="shared" si="5"/>
        <v>1</v>
      </c>
    </row>
    <row r="16" spans="1:29" ht="15">
      <c r="A16" s="426"/>
      <c r="B16" s="444"/>
      <c r="C16" s="445" t="s">
        <v>3068</v>
      </c>
      <c r="D16" s="446"/>
      <c r="E16" s="445" t="s">
        <v>3068</v>
      </c>
      <c r="F16" s="447"/>
      <c r="G16" s="445" t="s">
        <v>3068</v>
      </c>
      <c r="H16" s="448"/>
      <c r="I16" s="445" t="s">
        <v>3068</v>
      </c>
      <c r="J16" s="446"/>
      <c r="K16" s="613"/>
      <c r="L16" s="1137"/>
      <c r="M16" s="1128"/>
      <c r="N16" s="1128"/>
      <c r="O16" s="1128"/>
      <c r="P16" s="3318"/>
      <c r="Q16" s="1806"/>
      <c r="R16" s="771"/>
      <c r="S16" s="772"/>
      <c r="T16" s="771"/>
      <c r="U16" s="772"/>
      <c r="V16" s="771"/>
      <c r="W16" s="772"/>
      <c r="X16" s="1809"/>
      <c r="Y16" s="3274"/>
      <c r="Z16" s="1810"/>
      <c r="AA16" s="1807">
        <v>1</v>
      </c>
      <c r="AB16" s="1807">
        <v>1</v>
      </c>
      <c r="AC16" s="1807">
        <v>1</v>
      </c>
    </row>
    <row r="17" spans="1:29" ht="85.5">
      <c r="A17" s="426"/>
      <c r="B17" s="449" t="s">
        <v>2091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18"/>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454"/>
      <c r="C18" s="445" t="s">
        <v>3068</v>
      </c>
      <c r="D18" s="448"/>
      <c r="E18" s="445" t="s">
        <v>3068</v>
      </c>
      <c r="F18" s="451"/>
      <c r="G18" s="445" t="s">
        <v>3068</v>
      </c>
      <c r="H18" s="446"/>
      <c r="I18" s="445" t="s">
        <v>3068</v>
      </c>
      <c r="J18" s="446"/>
      <c r="K18" s="613"/>
      <c r="L18" s="1137"/>
      <c r="M18" s="1128"/>
      <c r="N18" s="1128"/>
      <c r="O18" s="1128"/>
      <c r="P18" s="3318"/>
      <c r="Q18" s="1806"/>
      <c r="R18" s="771"/>
      <c r="S18" s="772"/>
      <c r="T18" s="771"/>
      <c r="U18" s="772"/>
      <c r="V18" s="771"/>
      <c r="W18" s="772"/>
      <c r="X18" s="1809"/>
      <c r="Y18" s="3274"/>
      <c r="Z18" s="1810"/>
      <c r="AA18" s="1807">
        <v>1</v>
      </c>
      <c r="AB18" s="1807">
        <v>1</v>
      </c>
      <c r="AC18" s="1807">
        <v>1</v>
      </c>
    </row>
    <row r="19" spans="1:29" ht="42.75">
      <c r="A19" s="426"/>
      <c r="B19" s="449" t="s">
        <v>2648</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6"/>
      <c r="B20" s="454"/>
      <c r="C20" s="445" t="s">
        <v>3068</v>
      </c>
      <c r="D20" s="446"/>
      <c r="E20" s="445" t="s">
        <v>3068</v>
      </c>
      <c r="F20" s="447"/>
      <c r="G20" s="445" t="s">
        <v>3068</v>
      </c>
      <c r="H20" s="446"/>
      <c r="I20" s="445" t="s">
        <v>3068</v>
      </c>
      <c r="J20" s="446"/>
      <c r="K20" s="613"/>
      <c r="L20" s="1137"/>
      <c r="M20" s="1128"/>
      <c r="N20" s="1128"/>
      <c r="O20" s="1128"/>
      <c r="P20" s="3318"/>
      <c r="Q20" s="1806"/>
      <c r="R20" s="771"/>
      <c r="S20" s="772"/>
      <c r="T20" s="771"/>
      <c r="U20" s="772"/>
      <c r="V20" s="771"/>
      <c r="W20" s="772"/>
      <c r="X20" s="1809"/>
      <c r="Y20" s="3274"/>
      <c r="Z20" s="1810"/>
      <c r="AA20" s="1807">
        <v>1</v>
      </c>
      <c r="AB20" s="1807">
        <v>1</v>
      </c>
      <c r="AC20" s="1807">
        <v>1</v>
      </c>
    </row>
    <row r="21" spans="1:29" ht="28.5">
      <c r="A21" s="426"/>
      <c r="B21" s="1381" t="s">
        <v>2649</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t="s">
        <v>3277</v>
      </c>
      <c r="D22" s="446"/>
      <c r="E22" s="2602" t="s">
        <v>3277</v>
      </c>
      <c r="F22" s="447"/>
      <c r="G22" s="2602" t="s">
        <v>3277</v>
      </c>
      <c r="H22" s="446"/>
      <c r="I22" s="2602" t="s">
        <v>3277</v>
      </c>
      <c r="J22" s="446"/>
      <c r="K22" s="1380"/>
      <c r="L22" s="1137"/>
      <c r="M22" s="1128"/>
      <c r="N22" s="1128"/>
      <c r="O22" s="1128"/>
      <c r="P22" s="3318"/>
      <c r="Q22" s="1806"/>
      <c r="R22" s="771"/>
      <c r="S22" s="772"/>
      <c r="T22" s="771"/>
      <c r="U22" s="772"/>
      <c r="V22" s="771"/>
      <c r="W22" s="772"/>
      <c r="X22" s="1809"/>
      <c r="Y22" s="3274"/>
      <c r="Z22" s="1810"/>
      <c r="AA22" s="1807">
        <v>1</v>
      </c>
      <c r="AB22" s="1807">
        <v>1</v>
      </c>
      <c r="AC22" s="1807">
        <v>1</v>
      </c>
    </row>
    <row r="23" spans="1:29" ht="57">
      <c r="A23" s="426"/>
      <c r="B23" s="449" t="s">
        <v>2095</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18"/>
      <c r="Q23" s="1806" t="str">
        <f>B23</f>
        <v>自然及人文环境</v>
      </c>
      <c r="R23" s="771" t="s">
        <v>17</v>
      </c>
      <c r="S23" s="772">
        <f>F23</f>
        <v>100</v>
      </c>
      <c r="T23" s="771" t="s">
        <v>17</v>
      </c>
      <c r="U23" s="772">
        <f>H23</f>
        <v>100</v>
      </c>
      <c r="V23" s="771" t="s">
        <v>17</v>
      </c>
      <c r="W23" s="772">
        <f>J23</f>
        <v>100</v>
      </c>
      <c r="X23" s="1809"/>
      <c r="Y23" s="3274"/>
      <c r="Z23" s="1810" t="str">
        <f>Q23</f>
        <v>自然及人文环境</v>
      </c>
      <c r="AA23" s="1807">
        <f t="shared" si="3"/>
        <v>1</v>
      </c>
      <c r="AB23" s="1807">
        <f t="shared" si="4"/>
        <v>1</v>
      </c>
      <c r="AC23" s="1807">
        <f t="shared" si="5"/>
        <v>1</v>
      </c>
    </row>
    <row r="24" spans="1:29" ht="15">
      <c r="A24" s="426"/>
      <c r="B24" s="454"/>
      <c r="C24" s="445" t="s">
        <v>3068</v>
      </c>
      <c r="D24" s="446"/>
      <c r="E24" s="445" t="s">
        <v>3068</v>
      </c>
      <c r="F24" s="447"/>
      <c r="G24" s="445" t="s">
        <v>3068</v>
      </c>
      <c r="H24" s="446"/>
      <c r="I24" s="445" t="s">
        <v>3068</v>
      </c>
      <c r="J24" s="446"/>
      <c r="K24" s="613"/>
      <c r="L24" s="1137"/>
      <c r="M24" s="1128"/>
      <c r="N24" s="1128"/>
      <c r="O24" s="1128"/>
      <c r="P24" s="3318"/>
      <c r="Q24" s="1806"/>
      <c r="R24" s="771"/>
      <c r="S24" s="772"/>
      <c r="T24" s="771"/>
      <c r="U24" s="772"/>
      <c r="V24" s="771"/>
      <c r="W24" s="772"/>
      <c r="X24" s="1809"/>
      <c r="Y24" s="3274"/>
      <c r="Z24" s="1810"/>
      <c r="AA24" s="1807">
        <v>1</v>
      </c>
      <c r="AB24" s="1807">
        <v>1</v>
      </c>
      <c r="AC24" s="1807">
        <v>1</v>
      </c>
    </row>
    <row r="25" spans="1:29" ht="15">
      <c r="A25" s="426"/>
      <c r="B25" s="420" t="s">
        <v>2650</v>
      </c>
      <c r="C25" s="614" t="s">
        <v>3062</v>
      </c>
      <c r="D25" s="433">
        <v>100</v>
      </c>
      <c r="E25" s="2989" t="s">
        <v>3295</v>
      </c>
      <c r="F25" s="459">
        <f>SUMIF(86:86,E25,87:87)-SUMIF(86:86,C25,87:87)+100</f>
        <v>98</v>
      </c>
      <c r="G25" s="614" t="s">
        <v>3295</v>
      </c>
      <c r="H25" s="433">
        <f>SUMIF(86:86,G25,87:87)-SUMIF(86:86,C25,87:87)+100</f>
        <v>98</v>
      </c>
      <c r="I25" s="2989" t="s">
        <v>3302</v>
      </c>
      <c r="J25" s="433">
        <f>SUMIF(86:86,I25,87:87)-SUMIF(86:86,C25,87:87)+100</f>
        <v>100</v>
      </c>
      <c r="K25" s="610">
        <v>2</v>
      </c>
      <c r="L25" s="1137"/>
      <c r="M25" s="1128"/>
      <c r="N25" s="1128"/>
      <c r="O25" s="1128"/>
      <c r="P25" s="3318"/>
      <c r="Q25" s="1806" t="str">
        <f t="shared" ref="Q25:Q46" si="11">B25</f>
        <v>临街状况</v>
      </c>
      <c r="R25" s="771" t="s">
        <v>17</v>
      </c>
      <c r="S25" s="772">
        <f>F25</f>
        <v>98</v>
      </c>
      <c r="T25" s="771" t="s">
        <v>17</v>
      </c>
      <c r="U25" s="772">
        <f>H25</f>
        <v>98</v>
      </c>
      <c r="V25" s="771" t="s">
        <v>17</v>
      </c>
      <c r="W25" s="772">
        <f>J25</f>
        <v>100</v>
      </c>
      <c r="X25" s="1809"/>
      <c r="Y25" s="3274"/>
      <c r="Z25" s="1810" t="str">
        <f>Q25</f>
        <v>临街状况</v>
      </c>
      <c r="AA25" s="1807">
        <f t="shared" si="3"/>
        <v>1.0204081632653061</v>
      </c>
      <c r="AB25" s="1807">
        <f t="shared" si="4"/>
        <v>1.0204081632653061</v>
      </c>
      <c r="AC25" s="1807">
        <f t="shared" si="5"/>
        <v>1</v>
      </c>
    </row>
    <row r="26" spans="1:29" ht="15">
      <c r="A26" s="426"/>
      <c r="B26" s="1383" t="s">
        <v>2651</v>
      </c>
      <c r="C26" s="2992" t="s">
        <v>3284</v>
      </c>
      <c r="D26" s="433">
        <v>100</v>
      </c>
      <c r="E26" s="2992" t="s">
        <v>3322</v>
      </c>
      <c r="F26" s="459">
        <f>SUMIF(88:88,E26,89:89)-SUMIF(88:88,C26,89:89)+100</f>
        <v>97</v>
      </c>
      <c r="G26" s="2992" t="s">
        <v>3322</v>
      </c>
      <c r="H26" s="433">
        <f>SUMIF(88:88,G26,89:89)-SUMIF(88:88,C26,89:89)+100</f>
        <v>97</v>
      </c>
      <c r="I26" s="2992" t="s">
        <v>3284</v>
      </c>
      <c r="J26" s="433">
        <f>SUMIF(88:88,I26,89:89)-SUMIF(88:88,C26,89:89)+100</f>
        <v>100</v>
      </c>
      <c r="K26" s="611"/>
      <c r="L26" s="1137"/>
      <c r="M26" s="1128"/>
      <c r="N26" s="1128"/>
      <c r="O26" s="1128"/>
      <c r="P26" s="3318"/>
      <c r="Q26" s="1806" t="str">
        <f t="shared" si="11"/>
        <v>平面位置/可视性</v>
      </c>
      <c r="R26" s="771" t="s">
        <v>17</v>
      </c>
      <c r="S26" s="772">
        <f>F26</f>
        <v>97</v>
      </c>
      <c r="T26" s="771" t="s">
        <v>17</v>
      </c>
      <c r="U26" s="772">
        <f>H26</f>
        <v>97</v>
      </c>
      <c r="V26" s="771" t="s">
        <v>17</v>
      </c>
      <c r="W26" s="772">
        <f>J26</f>
        <v>100</v>
      </c>
      <c r="X26" s="1809"/>
      <c r="Y26" s="3274"/>
      <c r="Z26" s="1810" t="str">
        <f>Q26</f>
        <v>平面位置/可视性</v>
      </c>
      <c r="AA26" s="1807">
        <f t="shared" si="3"/>
        <v>1.0309278350515463</v>
      </c>
      <c r="AB26" s="1807">
        <f t="shared" si="4"/>
        <v>1.0309278350515463</v>
      </c>
      <c r="AC26" s="1807">
        <f t="shared" si="5"/>
        <v>1</v>
      </c>
    </row>
    <row r="27" spans="1:29" s="117" customFormat="1" ht="15">
      <c r="A27" s="429"/>
      <c r="B27" s="449" t="s">
        <v>2652</v>
      </c>
      <c r="C27" s="2659" t="s">
        <v>3320</v>
      </c>
      <c r="D27" s="460">
        <v>100</v>
      </c>
      <c r="E27" s="2659" t="s">
        <v>3320</v>
      </c>
      <c r="F27" s="462">
        <f>SUMIF(90:90,E27,91:91)-SUMIF(90:90,C27,91:91)+100</f>
        <v>100</v>
      </c>
      <c r="G27" s="2659" t="s">
        <v>3320</v>
      </c>
      <c r="H27" s="460">
        <f>SUMIF(90:90,G27,91:91)-SUMIF(90:90,C27,91:91)+100</f>
        <v>100</v>
      </c>
      <c r="I27" s="2659" t="s">
        <v>3320</v>
      </c>
      <c r="J27" s="460">
        <f>SUMIF(90:90,I27,91:91)-SUMIF(90:90,C27,91:91)+100</f>
        <v>100</v>
      </c>
      <c r="K27" s="610">
        <v>3</v>
      </c>
      <c r="L27" s="1129"/>
      <c r="M27" s="1130"/>
      <c r="N27" s="1130"/>
      <c r="O27" s="1130"/>
      <c r="P27" s="3318"/>
      <c r="Q27" s="1791" t="str">
        <f t="shared" si="11"/>
        <v>人流量</v>
      </c>
      <c r="R27" s="767" t="s">
        <v>17</v>
      </c>
      <c r="S27" s="768">
        <f>F27</f>
        <v>100</v>
      </c>
      <c r="T27" s="767" t="s">
        <v>17</v>
      </c>
      <c r="U27" s="768">
        <f>H27</f>
        <v>100</v>
      </c>
      <c r="V27" s="767" t="s">
        <v>17</v>
      </c>
      <c r="W27" s="768">
        <f>J27</f>
        <v>100</v>
      </c>
      <c r="X27" s="769"/>
      <c r="Y27" s="3274"/>
      <c r="Z27" s="55" t="str">
        <f>Q27</f>
        <v>人流量</v>
      </c>
      <c r="AA27" s="1807">
        <f>D27/F27</f>
        <v>1</v>
      </c>
      <c r="AB27" s="1807">
        <f>D27/H27</f>
        <v>1</v>
      </c>
      <c r="AC27" s="1807">
        <f>D27/J27</f>
        <v>1</v>
      </c>
    </row>
    <row r="28" spans="1:29" ht="15.75" thickBot="1">
      <c r="A28" s="426"/>
      <c r="B28" s="420" t="s">
        <v>2653</v>
      </c>
      <c r="C28" s="614" t="s">
        <v>3331</v>
      </c>
      <c r="D28" s="433">
        <v>100</v>
      </c>
      <c r="E28" s="614" t="s">
        <v>3363</v>
      </c>
      <c r="F28" s="459">
        <f>SUMIF(92:92,E28,93:93)-SUMIF(92:92,C28,93:93)+100</f>
        <v>90</v>
      </c>
      <c r="G28" s="614" t="s">
        <v>3331</v>
      </c>
      <c r="H28" s="433">
        <f>SUMIF(92:92,G28,93:93)-SUMIF(92:92,C28,93:93)+100</f>
        <v>100</v>
      </c>
      <c r="I28" s="614" t="s">
        <v>3331</v>
      </c>
      <c r="J28" s="433">
        <f>SUMIF(92:92,I28,93:93)-SUMIF(92:92,C28,93:93)+100</f>
        <v>100</v>
      </c>
      <c r="K28" s="611"/>
      <c r="L28" s="1137"/>
      <c r="M28" s="1128"/>
      <c r="N28" s="1128"/>
      <c r="O28" s="1128"/>
      <c r="P28" s="3318"/>
      <c r="Q28" s="1806" t="str">
        <f t="shared" si="11"/>
        <v>楼层</v>
      </c>
      <c r="R28" s="771" t="s">
        <v>17</v>
      </c>
      <c r="S28" s="772">
        <f t="shared" ref="S28:S46" si="12">F28</f>
        <v>90</v>
      </c>
      <c r="T28" s="771" t="s">
        <v>17</v>
      </c>
      <c r="U28" s="772">
        <f t="shared" ref="U28:U46" si="13">H28</f>
        <v>100</v>
      </c>
      <c r="V28" s="771" t="s">
        <v>17</v>
      </c>
      <c r="W28" s="772">
        <f t="shared" ref="W28:W46" si="14">J28</f>
        <v>100</v>
      </c>
      <c r="X28" s="1809"/>
      <c r="Y28" s="3274"/>
      <c r="Z28" s="1810" t="str">
        <f t="shared" ref="Z28:Z46" si="15">Q28</f>
        <v>楼层</v>
      </c>
      <c r="AA28" s="1807">
        <f t="shared" si="3"/>
        <v>1.1111111111111112</v>
      </c>
      <c r="AB28" s="1807">
        <f t="shared" si="4"/>
        <v>1</v>
      </c>
      <c r="AC28" s="1807">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8"/>
      <c r="Q29" s="1806">
        <f t="shared" si="11"/>
        <v>111</v>
      </c>
      <c r="R29" s="771" t="s">
        <v>17</v>
      </c>
      <c r="S29" s="772">
        <f t="shared" si="12"/>
        <v>100</v>
      </c>
      <c r="T29" s="771" t="s">
        <v>17</v>
      </c>
      <c r="U29" s="772">
        <f t="shared" si="13"/>
        <v>100</v>
      </c>
      <c r="V29" s="771" t="s">
        <v>17</v>
      </c>
      <c r="W29" s="772">
        <f t="shared" si="14"/>
        <v>100</v>
      </c>
      <c r="X29" s="1809"/>
      <c r="Y29" s="3274"/>
      <c r="Z29" s="1810">
        <f t="shared" si="15"/>
        <v>111</v>
      </c>
      <c r="AA29" s="1807">
        <f t="shared" si="3"/>
        <v>1</v>
      </c>
      <c r="AB29" s="1807">
        <f t="shared" si="4"/>
        <v>1</v>
      </c>
      <c r="AC29" s="1807">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1807">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1807">
        <f t="shared" si="5"/>
        <v>1</v>
      </c>
    </row>
    <row r="32" spans="1:29" ht="15">
      <c r="A32" s="438" t="s">
        <v>2557</v>
      </c>
      <c r="B32" s="71" t="s">
        <v>2654</v>
      </c>
      <c r="C32" s="2611" t="s">
        <v>3308</v>
      </c>
      <c r="D32" s="465">
        <v>100</v>
      </c>
      <c r="E32" s="2991" t="s">
        <v>3303</v>
      </c>
      <c r="F32" s="459">
        <f>SUMIF(100:100,E32,101:101)-SUMIF(100:100,C32,101:101)+100</f>
        <v>98</v>
      </c>
      <c r="G32" s="2991" t="s">
        <v>3308</v>
      </c>
      <c r="H32" s="433">
        <f>SUMIF(100:100,G32,101:101)-SUMIF(100:100,C32,101:101)+100</f>
        <v>100</v>
      </c>
      <c r="I32" s="2991" t="s">
        <v>3303</v>
      </c>
      <c r="J32" s="465">
        <f>SUMIF(100:100,I32,101:101)-SUMIF(100:100,C32,101:101)+100</f>
        <v>98</v>
      </c>
      <c r="K32" s="610">
        <v>2</v>
      </c>
      <c r="L32" s="1137"/>
      <c r="M32" s="1128"/>
      <c r="N32" s="1128"/>
      <c r="O32" s="1128"/>
      <c r="P32" s="3313" t="s">
        <v>2559</v>
      </c>
      <c r="Q32" s="1806" t="str">
        <f t="shared" si="11"/>
        <v>商业类型</v>
      </c>
      <c r="R32" s="771" t="s">
        <v>17</v>
      </c>
      <c r="S32" s="772">
        <f t="shared" si="12"/>
        <v>98</v>
      </c>
      <c r="T32" s="771" t="s">
        <v>17</v>
      </c>
      <c r="U32" s="772">
        <f t="shared" si="13"/>
        <v>100</v>
      </c>
      <c r="V32" s="771" t="s">
        <v>17</v>
      </c>
      <c r="W32" s="772">
        <f t="shared" si="14"/>
        <v>98</v>
      </c>
      <c r="X32" s="1809"/>
      <c r="Y32" s="3276" t="s">
        <v>2559</v>
      </c>
      <c r="Z32" s="1810" t="str">
        <f t="shared" si="15"/>
        <v>商业类型</v>
      </c>
      <c r="AA32" s="1807">
        <f t="shared" si="3"/>
        <v>1.0204081632653061</v>
      </c>
      <c r="AB32" s="1807">
        <f t="shared" si="4"/>
        <v>1</v>
      </c>
      <c r="AC32" s="1807">
        <f t="shared" si="5"/>
        <v>1.0204081632653061</v>
      </c>
    </row>
    <row r="33" spans="1:29" s="469" customFormat="1" ht="15">
      <c r="A33" s="466"/>
      <c r="B33" s="420" t="s">
        <v>2560</v>
      </c>
      <c r="C33" s="467">
        <f>各层面积!D6</f>
        <v>10721.01</v>
      </c>
      <c r="D33" s="134">
        <v>100</v>
      </c>
      <c r="E33" s="428">
        <v>637</v>
      </c>
      <c r="F33" s="423">
        <f>LOOKUP(E33,103:103,104:104)-LOOKUP(C33,103:103,104:104)+100</f>
        <v>102</v>
      </c>
      <c r="G33" s="427">
        <v>104</v>
      </c>
      <c r="H33" s="134">
        <f>LOOKUP(G33,103:103,104:104)-LOOKUP(C33,103:103,104:104)+100</f>
        <v>106</v>
      </c>
      <c r="I33" s="427">
        <v>126</v>
      </c>
      <c r="J33" s="134">
        <f>LOOKUP(I33,103:103,104:104)-LOOKUP(C33,103:103,104:104)+100</f>
        <v>106</v>
      </c>
      <c r="K33" s="611"/>
      <c r="L33" s="1135"/>
      <c r="M33" s="1138"/>
      <c r="N33" s="1138"/>
      <c r="O33" s="1138"/>
      <c r="P33" s="3314"/>
      <c r="Q33" s="773" t="str">
        <f t="shared" si="11"/>
        <v>项目建筑规模</v>
      </c>
      <c r="R33" s="774" t="s">
        <v>17</v>
      </c>
      <c r="S33" s="775">
        <f t="shared" si="12"/>
        <v>102</v>
      </c>
      <c r="T33" s="774" t="s">
        <v>17</v>
      </c>
      <c r="U33" s="775">
        <f t="shared" si="13"/>
        <v>106</v>
      </c>
      <c r="V33" s="774" t="s">
        <v>17</v>
      </c>
      <c r="W33" s="775">
        <f t="shared" si="14"/>
        <v>106</v>
      </c>
      <c r="X33" s="776"/>
      <c r="Y33" s="3276"/>
      <c r="Z33" s="777" t="str">
        <f t="shared" si="15"/>
        <v>项目建筑规模</v>
      </c>
      <c r="AA33" s="1807">
        <f t="shared" si="3"/>
        <v>0.98039215686274506</v>
      </c>
      <c r="AB33" s="1807">
        <f t="shared" si="4"/>
        <v>0.94339622641509435</v>
      </c>
      <c r="AC33" s="1807">
        <f t="shared" si="5"/>
        <v>0.94339622641509435</v>
      </c>
    </row>
    <row r="34" spans="1:29" ht="15">
      <c r="A34" s="470"/>
      <c r="B34" s="420" t="s">
        <v>2561</v>
      </c>
      <c r="C34" s="2613" t="s">
        <v>3088</v>
      </c>
      <c r="D34" s="433">
        <v>100</v>
      </c>
      <c r="E34" s="2613" t="s">
        <v>3088</v>
      </c>
      <c r="F34" s="459">
        <f>SUMIF(105:105,E34,106:106)-SUMIF(105:105,C34,106:106)+100</f>
        <v>100</v>
      </c>
      <c r="G34" s="2613" t="s">
        <v>3088</v>
      </c>
      <c r="H34" s="433">
        <f>SUMIF(105:105,G34,106:106)-SUMIF(105:105,C34,106:106)+100</f>
        <v>100</v>
      </c>
      <c r="I34" s="2613" t="s">
        <v>3088</v>
      </c>
      <c r="J34" s="433">
        <f>SUMIF(105:105,I34,106:106)-SUMIF(105:105,C34,106:106)+100</f>
        <v>100</v>
      </c>
      <c r="K34" s="610">
        <v>2</v>
      </c>
      <c r="L34" s="1137"/>
      <c r="M34" s="1128"/>
      <c r="N34" s="1128"/>
      <c r="O34" s="1128"/>
      <c r="P34" s="3314"/>
      <c r="Q34" s="1806" t="str">
        <f t="shared" si="11"/>
        <v>建筑结构</v>
      </c>
      <c r="R34" s="771" t="s">
        <v>17</v>
      </c>
      <c r="S34" s="772">
        <f t="shared" si="12"/>
        <v>100</v>
      </c>
      <c r="T34" s="771" t="s">
        <v>17</v>
      </c>
      <c r="U34" s="772">
        <f t="shared" si="13"/>
        <v>100</v>
      </c>
      <c r="V34" s="771" t="s">
        <v>17</v>
      </c>
      <c r="W34" s="772">
        <f t="shared" si="14"/>
        <v>100</v>
      </c>
      <c r="X34" s="1809"/>
      <c r="Y34" s="3276"/>
      <c r="Z34" s="1810" t="str">
        <f t="shared" si="15"/>
        <v>建筑结构</v>
      </c>
      <c r="AA34" s="1807">
        <f t="shared" si="3"/>
        <v>1</v>
      </c>
      <c r="AB34" s="1807">
        <f t="shared" si="4"/>
        <v>1</v>
      </c>
      <c r="AC34" s="1807">
        <f t="shared" si="5"/>
        <v>1</v>
      </c>
    </row>
    <row r="35" spans="1:29" ht="15">
      <c r="A35" s="470"/>
      <c r="B35" s="420" t="s">
        <v>2655</v>
      </c>
      <c r="C35" s="2607" t="s">
        <v>3314</v>
      </c>
      <c r="D35" s="433">
        <v>100</v>
      </c>
      <c r="E35" s="2607" t="s">
        <v>3314</v>
      </c>
      <c r="F35" s="459">
        <f>SUMIF(107:107,E35,108:108)-SUMIF(107:107,C35,108:108)+100</f>
        <v>100</v>
      </c>
      <c r="G35" s="2607" t="s">
        <v>3314</v>
      </c>
      <c r="H35" s="433">
        <f>SUMIF(107:107,G35,108:108)-SUMIF(107:107,C35,108:108)+100</f>
        <v>100</v>
      </c>
      <c r="I35" s="2607" t="s">
        <v>3314</v>
      </c>
      <c r="J35" s="433">
        <f>SUMIF(107:107,I35,108:108)-SUMIF(107:107,C35,108:108)+100</f>
        <v>100</v>
      </c>
      <c r="K35" s="610">
        <v>2</v>
      </c>
      <c r="L35" s="1137"/>
      <c r="M35" s="1128"/>
      <c r="N35" s="1128"/>
      <c r="O35" s="1128"/>
      <c r="P35" s="3314"/>
      <c r="Q35" s="1806" t="str">
        <f t="shared" si="11"/>
        <v>公共部分装修</v>
      </c>
      <c r="R35" s="771" t="s">
        <v>17</v>
      </c>
      <c r="S35" s="772">
        <f t="shared" si="12"/>
        <v>100</v>
      </c>
      <c r="T35" s="771" t="s">
        <v>17</v>
      </c>
      <c r="U35" s="772">
        <f t="shared" si="13"/>
        <v>100</v>
      </c>
      <c r="V35" s="771" t="s">
        <v>17</v>
      </c>
      <c r="W35" s="772">
        <f t="shared" si="14"/>
        <v>100</v>
      </c>
      <c r="X35" s="1809"/>
      <c r="Y35" s="3276"/>
      <c r="Z35" s="1810" t="str">
        <f t="shared" si="15"/>
        <v>公共部分装修</v>
      </c>
      <c r="AA35" s="1807">
        <f t="shared" si="3"/>
        <v>1</v>
      </c>
      <c r="AB35" s="1807">
        <f t="shared" si="4"/>
        <v>1</v>
      </c>
      <c r="AC35" s="1807">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14"/>
      <c r="Q36" s="1806" t="str">
        <f t="shared" si="11"/>
        <v>成新度</v>
      </c>
      <c r="R36" s="771" t="s">
        <v>17</v>
      </c>
      <c r="S36" s="772">
        <f t="shared" si="12"/>
        <v>100</v>
      </c>
      <c r="T36" s="771" t="s">
        <v>17</v>
      </c>
      <c r="U36" s="772">
        <f t="shared" si="13"/>
        <v>100</v>
      </c>
      <c r="V36" s="771" t="s">
        <v>17</v>
      </c>
      <c r="W36" s="772">
        <f t="shared" si="14"/>
        <v>100</v>
      </c>
      <c r="X36" s="1809"/>
      <c r="Y36" s="3276"/>
      <c r="Z36" s="1810" t="str">
        <f t="shared" si="15"/>
        <v>成新度</v>
      </c>
      <c r="AA36" s="1807">
        <f t="shared" si="3"/>
        <v>1</v>
      </c>
      <c r="AB36" s="1807">
        <f t="shared" si="4"/>
        <v>1</v>
      </c>
      <c r="AC36" s="1807">
        <f t="shared" si="5"/>
        <v>1</v>
      </c>
    </row>
    <row r="37" spans="1:29" s="117" customFormat="1" ht="15">
      <c r="A37" s="471"/>
      <c r="B37" s="420" t="s">
        <v>2657</v>
      </c>
      <c r="C37" s="2607" t="s">
        <v>3277</v>
      </c>
      <c r="D37" s="134">
        <v>100</v>
      </c>
      <c r="E37" s="2607" t="s">
        <v>3277</v>
      </c>
      <c r="F37" s="459">
        <f>SUMIF(112:112,E37,113:113)-SUMIF(112:112,C37,113:113)+100</f>
        <v>100</v>
      </c>
      <c r="G37" s="2607" t="s">
        <v>3277</v>
      </c>
      <c r="H37" s="433">
        <f>SUMIF(112:112,G37,113:113)-SUMIF(112:112,C37,113:113)+100</f>
        <v>100</v>
      </c>
      <c r="I37" s="2607" t="s">
        <v>3277</v>
      </c>
      <c r="J37" s="433">
        <f>SUMIF(112:112,I37,113:113)-SUMIF(112:112,C37,113:113)+100</f>
        <v>100</v>
      </c>
      <c r="K37" s="610">
        <v>2</v>
      </c>
      <c r="L37" s="1129"/>
      <c r="M37" s="1130"/>
      <c r="N37" s="1130"/>
      <c r="O37" s="1130"/>
      <c r="P37" s="3314"/>
      <c r="Q37" s="1791" t="str">
        <f t="shared" si="11"/>
        <v>市政基础设施</v>
      </c>
      <c r="R37" s="767" t="s">
        <v>17</v>
      </c>
      <c r="S37" s="768">
        <f t="shared" si="12"/>
        <v>100</v>
      </c>
      <c r="T37" s="767" t="s">
        <v>17</v>
      </c>
      <c r="U37" s="768">
        <f t="shared" si="13"/>
        <v>100</v>
      </c>
      <c r="V37" s="767" t="s">
        <v>17</v>
      </c>
      <c r="W37" s="768">
        <f t="shared" si="14"/>
        <v>100</v>
      </c>
      <c r="X37" s="769"/>
      <c r="Y37" s="3276"/>
      <c r="Z37" s="55" t="str">
        <f t="shared" si="15"/>
        <v>市政基础设施</v>
      </c>
      <c r="AA37" s="770">
        <f t="shared" si="3"/>
        <v>1</v>
      </c>
      <c r="AB37" s="770">
        <f t="shared" si="4"/>
        <v>1</v>
      </c>
      <c r="AC37" s="770">
        <f t="shared" si="5"/>
        <v>1</v>
      </c>
    </row>
    <row r="38" spans="1:29" ht="15">
      <c r="A38" s="470"/>
      <c r="B38" s="420" t="s">
        <v>2658</v>
      </c>
      <c r="C38" s="2607" t="s">
        <v>3300</v>
      </c>
      <c r="D38" s="433">
        <v>100</v>
      </c>
      <c r="E38" s="2990" t="s">
        <v>3301</v>
      </c>
      <c r="F38" s="459">
        <f>SUMIF(114:114,E38,115:115)-SUMIF(114:114,C38,115:115)+100</f>
        <v>100</v>
      </c>
      <c r="G38" s="2990" t="s">
        <v>3301</v>
      </c>
      <c r="H38" s="433">
        <f>SUMIF(114:114,G38,115:115)-SUMIF(114:114,C38,115:115)+100</f>
        <v>100</v>
      </c>
      <c r="I38" s="2990" t="s">
        <v>3300</v>
      </c>
      <c r="J38" s="433">
        <f>SUMIF(114:114,I38,115:115)-SUMIF(114:114,C38,115:115)+100</f>
        <v>100</v>
      </c>
      <c r="K38" s="610">
        <v>3</v>
      </c>
      <c r="L38" s="1137"/>
      <c r="M38" s="1128"/>
      <c r="N38" s="1128"/>
      <c r="O38" s="1128"/>
      <c r="P38" s="3314" t="s">
        <v>2559</v>
      </c>
      <c r="Q38" s="1806" t="str">
        <f t="shared" si="11"/>
        <v>业态</v>
      </c>
      <c r="R38" s="771" t="s">
        <v>17</v>
      </c>
      <c r="S38" s="772">
        <f t="shared" si="12"/>
        <v>100</v>
      </c>
      <c r="T38" s="771" t="s">
        <v>17</v>
      </c>
      <c r="U38" s="772">
        <f t="shared" si="13"/>
        <v>100</v>
      </c>
      <c r="V38" s="771" t="s">
        <v>17</v>
      </c>
      <c r="W38" s="772">
        <f t="shared" si="14"/>
        <v>100</v>
      </c>
      <c r="X38" s="1809"/>
      <c r="Y38" s="3276" t="s">
        <v>2559</v>
      </c>
      <c r="Z38" s="1810" t="str">
        <f t="shared" si="15"/>
        <v>业态</v>
      </c>
      <c r="AA38" s="1807">
        <f t="shared" si="3"/>
        <v>1</v>
      </c>
      <c r="AB38" s="1807">
        <f t="shared" si="4"/>
        <v>1</v>
      </c>
      <c r="AC38" s="1807">
        <f t="shared" si="5"/>
        <v>1</v>
      </c>
    </row>
    <row r="39" spans="1:29" ht="15">
      <c r="A39" s="470"/>
      <c r="B39" s="420" t="s">
        <v>2659</v>
      </c>
      <c r="C39" s="2607" t="s">
        <v>3298</v>
      </c>
      <c r="D39" s="433">
        <v>100</v>
      </c>
      <c r="E39" s="2990" t="s">
        <v>3298</v>
      </c>
      <c r="F39" s="459">
        <f>SUMIF(116:116,E39,117:117)-SUMIF(116:116,C39,117:117)+100</f>
        <v>100</v>
      </c>
      <c r="G39" s="2990" t="s">
        <v>3299</v>
      </c>
      <c r="H39" s="433">
        <f>SUMIF(116:116,G39,117:117)-SUMIF(116:116,C39,117:117)+100</f>
        <v>100</v>
      </c>
      <c r="I39" s="2990" t="s">
        <v>3298</v>
      </c>
      <c r="J39" s="433">
        <f>SUMIF(116:116,I39,117:117)-SUMIF(116:116,C39,117:117)+100</f>
        <v>100</v>
      </c>
      <c r="K39" s="610">
        <v>3</v>
      </c>
      <c r="L39" s="1137"/>
      <c r="M39" s="1128"/>
      <c r="N39" s="1128"/>
      <c r="O39" s="1128"/>
      <c r="P39" s="3314"/>
      <c r="Q39" s="1806" t="str">
        <f t="shared" si="11"/>
        <v>层高</v>
      </c>
      <c r="R39" s="771" t="s">
        <v>17</v>
      </c>
      <c r="S39" s="772">
        <f t="shared" si="12"/>
        <v>100</v>
      </c>
      <c r="T39" s="771" t="s">
        <v>17</v>
      </c>
      <c r="U39" s="772">
        <f t="shared" si="13"/>
        <v>100</v>
      </c>
      <c r="V39" s="771" t="s">
        <v>17</v>
      </c>
      <c r="W39" s="772">
        <f t="shared" si="14"/>
        <v>100</v>
      </c>
      <c r="X39" s="1809"/>
      <c r="Y39" s="3276"/>
      <c r="Z39" s="1810" t="str">
        <f t="shared" si="15"/>
        <v>层高</v>
      </c>
      <c r="AA39" s="1807">
        <f t="shared" si="3"/>
        <v>1</v>
      </c>
      <c r="AB39" s="1807">
        <f t="shared" si="4"/>
        <v>1</v>
      </c>
      <c r="AC39" s="1807">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4"/>
      <c r="Q40" s="1806" t="str">
        <f t="shared" si="11"/>
        <v>单套建筑面积</v>
      </c>
      <c r="R40" s="771" t="s">
        <v>17</v>
      </c>
      <c r="S40" s="772">
        <f t="shared" si="12"/>
        <v>100</v>
      </c>
      <c r="T40" s="771" t="s">
        <v>17</v>
      </c>
      <c r="U40" s="772">
        <f t="shared" si="13"/>
        <v>100</v>
      </c>
      <c r="V40" s="771" t="s">
        <v>17</v>
      </c>
      <c r="W40" s="772">
        <f t="shared" si="14"/>
        <v>100</v>
      </c>
      <c r="X40" s="1809"/>
      <c r="Y40" s="3276"/>
      <c r="Z40" s="1810" t="str">
        <f t="shared" si="15"/>
        <v>单套建筑面积</v>
      </c>
      <c r="AA40" s="1807">
        <f t="shared" si="3"/>
        <v>1</v>
      </c>
      <c r="AB40" s="1807">
        <f t="shared" si="4"/>
        <v>1</v>
      </c>
      <c r="AC40" s="1807">
        <f t="shared" si="5"/>
        <v>1</v>
      </c>
    </row>
    <row r="41" spans="1:29" s="469" customFormat="1" ht="15">
      <c r="A41" s="466"/>
      <c r="B41" s="1808" t="s">
        <v>2661</v>
      </c>
      <c r="C41" s="614" t="s">
        <v>3275</v>
      </c>
      <c r="D41" s="433">
        <v>100</v>
      </c>
      <c r="E41" s="614" t="s">
        <v>3275</v>
      </c>
      <c r="F41" s="459">
        <f>SUMIF(120:120,E41,121:121)-SUMIF(120:120,C41,121:121)+100</f>
        <v>100</v>
      </c>
      <c r="G41" s="614" t="s">
        <v>3275</v>
      </c>
      <c r="H41" s="433">
        <f>SUMIF(120:120,G41,121:121)-SUMIF(120:120,C41,121:121)+100</f>
        <v>100</v>
      </c>
      <c r="I41" s="614" t="s">
        <v>3275</v>
      </c>
      <c r="J41" s="433">
        <f>SUMIF(120:120,I41,121:121)-SUMIF(120:120,C41,121:121)+100</f>
        <v>100</v>
      </c>
      <c r="K41" s="610">
        <v>2</v>
      </c>
      <c r="L41" s="1135"/>
      <c r="M41" s="1138"/>
      <c r="N41" s="1138"/>
      <c r="O41" s="1138"/>
      <c r="P41" s="3314"/>
      <c r="Q41" s="773" t="str">
        <f t="shared" si="11"/>
        <v>进深比</v>
      </c>
      <c r="R41" s="774" t="s">
        <v>17</v>
      </c>
      <c r="S41" s="775">
        <f t="shared" si="12"/>
        <v>100</v>
      </c>
      <c r="T41" s="774" t="s">
        <v>17</v>
      </c>
      <c r="U41" s="775">
        <f t="shared" si="13"/>
        <v>100</v>
      </c>
      <c r="V41" s="774" t="s">
        <v>17</v>
      </c>
      <c r="W41" s="775">
        <f t="shared" si="14"/>
        <v>100</v>
      </c>
      <c r="X41" s="776"/>
      <c r="Y41" s="3276"/>
      <c r="Z41" s="777" t="str">
        <f t="shared" si="15"/>
        <v>进深比</v>
      </c>
      <c r="AA41" s="1807">
        <f t="shared" si="3"/>
        <v>1</v>
      </c>
      <c r="AB41" s="1807">
        <f t="shared" si="4"/>
        <v>1</v>
      </c>
      <c r="AC41" s="1807">
        <f t="shared" si="5"/>
        <v>1</v>
      </c>
    </row>
    <row r="42" spans="1:29" ht="15">
      <c r="A42" s="470"/>
      <c r="B42" s="420" t="s">
        <v>2662</v>
      </c>
      <c r="C42" s="2607" t="s">
        <v>3314</v>
      </c>
      <c r="D42" s="433">
        <v>100</v>
      </c>
      <c r="E42" s="2607" t="s">
        <v>3314</v>
      </c>
      <c r="F42" s="459">
        <f>SUMIF(122:122,E42,123:123)-SUMIF(122:122,C42,123:123)+100</f>
        <v>100</v>
      </c>
      <c r="G42" s="2607" t="s">
        <v>3314</v>
      </c>
      <c r="H42" s="433">
        <f>SUMIF(122:122,G42,123:123)-SUMIF(122:122,C42,123:123)+100</f>
        <v>100</v>
      </c>
      <c r="I42" s="2607" t="s">
        <v>3314</v>
      </c>
      <c r="J42" s="433">
        <f>SUMIF(122:122,I42,123:123)-SUMIF(122:122,C42,123:123)+100</f>
        <v>100</v>
      </c>
      <c r="K42" s="610">
        <v>2</v>
      </c>
      <c r="L42" s="1137"/>
      <c r="M42" s="1128"/>
      <c r="N42" s="1128"/>
      <c r="O42" s="1128"/>
      <c r="P42" s="3314"/>
      <c r="Q42" s="1806" t="str">
        <f t="shared" si="11"/>
        <v>内部装修</v>
      </c>
      <c r="R42" s="771" t="s">
        <v>17</v>
      </c>
      <c r="S42" s="772">
        <f t="shared" si="12"/>
        <v>100</v>
      </c>
      <c r="T42" s="771" t="s">
        <v>17</v>
      </c>
      <c r="U42" s="772">
        <f t="shared" si="13"/>
        <v>100</v>
      </c>
      <c r="V42" s="771" t="s">
        <v>17</v>
      </c>
      <c r="W42" s="772">
        <f t="shared" si="14"/>
        <v>100</v>
      </c>
      <c r="X42" s="1809"/>
      <c r="Y42" s="3276"/>
      <c r="Z42" s="1810" t="str">
        <f t="shared" si="15"/>
        <v>内部装修</v>
      </c>
      <c r="AA42" s="1807">
        <f t="shared" si="3"/>
        <v>1</v>
      </c>
      <c r="AB42" s="1807">
        <f t="shared" si="4"/>
        <v>1</v>
      </c>
      <c r="AC42" s="1807">
        <f t="shared" si="5"/>
        <v>1</v>
      </c>
    </row>
    <row r="43" spans="1:29" ht="15.75" thickBot="1">
      <c r="A43" s="470"/>
      <c r="B43" s="420" t="s">
        <v>2570</v>
      </c>
      <c r="C43" s="2607" t="s">
        <v>3068</v>
      </c>
      <c r="D43" s="433">
        <v>100</v>
      </c>
      <c r="E43" s="2607" t="s">
        <v>3068</v>
      </c>
      <c r="F43" s="459">
        <f>SUMIF(124:124,E43,125:125)-SUMIF(124:124,C43,125:125)+100</f>
        <v>100</v>
      </c>
      <c r="G43" s="2607" t="s">
        <v>3068</v>
      </c>
      <c r="H43" s="433">
        <f>SUMIF(124:124,G43,125:125)-SUMIF(124:124,C43,125:125)+100</f>
        <v>100</v>
      </c>
      <c r="I43" s="2607" t="s">
        <v>3068</v>
      </c>
      <c r="J43" s="433">
        <f>SUMIF(124:124,I43,125:125)-SUMIF(124:124,C43,125:125)+100</f>
        <v>100</v>
      </c>
      <c r="K43" s="610">
        <v>2</v>
      </c>
      <c r="L43" s="1137"/>
      <c r="M43" s="1128"/>
      <c r="N43" s="1128"/>
      <c r="O43" s="1128"/>
      <c r="P43" s="3314"/>
      <c r="Q43" s="1806" t="str">
        <f t="shared" si="11"/>
        <v>内部装修维护情况</v>
      </c>
      <c r="R43" s="771" t="s">
        <v>17</v>
      </c>
      <c r="S43" s="772">
        <f t="shared" si="12"/>
        <v>100</v>
      </c>
      <c r="T43" s="771" t="s">
        <v>17</v>
      </c>
      <c r="U43" s="772">
        <f t="shared" si="13"/>
        <v>100</v>
      </c>
      <c r="V43" s="771" t="s">
        <v>17</v>
      </c>
      <c r="W43" s="772">
        <f t="shared" si="14"/>
        <v>100</v>
      </c>
      <c r="X43" s="1809"/>
      <c r="Y43" s="3276"/>
      <c r="Z43" s="1810" t="str">
        <f t="shared" si="15"/>
        <v>内部装修维护情况</v>
      </c>
      <c r="AA43" s="1807">
        <f t="shared" si="3"/>
        <v>1</v>
      </c>
      <c r="AB43" s="1807">
        <f t="shared" si="4"/>
        <v>1</v>
      </c>
      <c r="AC43" s="1807">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14"/>
      <c r="Q44" s="1791">
        <f t="shared" si="11"/>
        <v>111</v>
      </c>
      <c r="R44" s="767" t="s">
        <v>17</v>
      </c>
      <c r="S44" s="768">
        <f t="shared" si="12"/>
        <v>100</v>
      </c>
      <c r="T44" s="767" t="s">
        <v>17</v>
      </c>
      <c r="U44" s="768">
        <f t="shared" si="13"/>
        <v>100</v>
      </c>
      <c r="V44" s="767" t="s">
        <v>17</v>
      </c>
      <c r="W44" s="768">
        <f t="shared" si="14"/>
        <v>100</v>
      </c>
      <c r="X44" s="769"/>
      <c r="Y44" s="3276"/>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4"/>
      <c r="Q45" s="1806">
        <f t="shared" si="11"/>
        <v>111</v>
      </c>
      <c r="R45" s="771" t="s">
        <v>17</v>
      </c>
      <c r="S45" s="772">
        <f t="shared" si="12"/>
        <v>100</v>
      </c>
      <c r="T45" s="771" t="s">
        <v>17</v>
      </c>
      <c r="U45" s="772">
        <f t="shared" si="13"/>
        <v>100</v>
      </c>
      <c r="V45" s="771" t="s">
        <v>17</v>
      </c>
      <c r="W45" s="772">
        <f t="shared" si="14"/>
        <v>100</v>
      </c>
      <c r="X45" s="1809"/>
      <c r="Y45" s="3276"/>
      <c r="Z45" s="1810">
        <f t="shared" si="15"/>
        <v>111</v>
      </c>
      <c r="AA45" s="1807">
        <f t="shared" si="3"/>
        <v>1</v>
      </c>
      <c r="AB45" s="1807">
        <f t="shared" si="4"/>
        <v>1</v>
      </c>
      <c r="AC45" s="1807">
        <f t="shared" si="5"/>
        <v>1</v>
      </c>
    </row>
    <row r="46" spans="1:29" ht="15.75" hidden="1"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5"/>
      <c r="Q46" s="1806">
        <f t="shared" si="11"/>
        <v>111</v>
      </c>
      <c r="R46" s="771" t="s">
        <v>17</v>
      </c>
      <c r="S46" s="772">
        <f t="shared" si="12"/>
        <v>100</v>
      </c>
      <c r="T46" s="771" t="s">
        <v>17</v>
      </c>
      <c r="U46" s="772">
        <f t="shared" si="13"/>
        <v>100</v>
      </c>
      <c r="V46" s="771" t="s">
        <v>17</v>
      </c>
      <c r="W46" s="772">
        <f t="shared" si="14"/>
        <v>100</v>
      </c>
      <c r="X46" s="1809"/>
      <c r="Y46" s="3316"/>
      <c r="Z46" s="1810">
        <f t="shared" si="15"/>
        <v>111</v>
      </c>
      <c r="AA46" s="1807">
        <f t="shared" si="3"/>
        <v>1</v>
      </c>
      <c r="AB46" s="1807">
        <f t="shared" si="4"/>
        <v>1</v>
      </c>
      <c r="AC46" s="1807">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58" t="str">
        <f>A47</f>
        <v>成交单价（元/平方米）</v>
      </c>
      <c r="Q47" s="3258"/>
      <c r="R47" s="3271">
        <f>E47</f>
        <v>46562</v>
      </c>
      <c r="S47" s="3271"/>
      <c r="T47" s="3271">
        <f>G47</f>
        <v>49866</v>
      </c>
      <c r="U47" s="3271"/>
      <c r="V47" s="3271">
        <f>I47</f>
        <v>53412</v>
      </c>
      <c r="W47" s="3271"/>
      <c r="X47" s="756"/>
      <c r="Y47" s="778"/>
      <c r="Z47" s="756"/>
      <c r="AA47" s="756"/>
      <c r="AB47" s="756"/>
      <c r="AC47" s="756"/>
    </row>
    <row r="48" spans="1:29" ht="15.75" thickBot="1">
      <c r="A48" s="484" t="s">
        <v>2663</v>
      </c>
      <c r="B48" s="485"/>
      <c r="C48" s="1410">
        <f>R49</f>
        <v>51789</v>
      </c>
      <c r="D48" s="1411"/>
      <c r="E48" s="1412">
        <f>R48</f>
        <v>54451</v>
      </c>
      <c r="F48" s="1412"/>
      <c r="G48" s="1410">
        <f>T48</f>
        <v>49493</v>
      </c>
      <c r="H48" s="1411"/>
      <c r="I48" s="1412">
        <f>V48</f>
        <v>51422</v>
      </c>
      <c r="J48" s="1411"/>
      <c r="K48" s="781"/>
      <c r="L48" s="1140"/>
      <c r="M48" s="1141"/>
      <c r="N48" s="1128"/>
      <c r="O48" s="1141"/>
      <c r="P48" s="3258" t="str">
        <f>A48</f>
        <v>比较价值（元/平方米）</v>
      </c>
      <c r="Q48" s="3258"/>
      <c r="R48" s="3312">
        <f>IF(F1="售价",ROUND(PRODUCT(R47,AA7:AA46),0),ROUND(PRODUCT(R47,AA7:AA46),1))</f>
        <v>54451</v>
      </c>
      <c r="S48" s="3312"/>
      <c r="T48" s="3312">
        <f>IF(F1="售价",ROUND(PRODUCT(T47,AB7:AB46),0),ROUND(PRODUCT(T47,AB7:AB46),1))</f>
        <v>49493</v>
      </c>
      <c r="U48" s="3312"/>
      <c r="V48" s="3312">
        <f>IF(F1="售价",ROUND(PRODUCT(V47,AC7:AC46),0),ROUND(PRODUCT(V47,AC7:AC46),1))</f>
        <v>51422</v>
      </c>
      <c r="W48" s="3312"/>
      <c r="X48" s="756"/>
      <c r="Y48" s="756"/>
      <c r="Z48" s="756"/>
      <c r="AA48" s="756"/>
      <c r="AB48" s="756"/>
      <c r="AC48" s="756"/>
    </row>
    <row r="49" spans="1:29" ht="15.75" thickBot="1">
      <c r="A49" s="490" t="s">
        <v>2664</v>
      </c>
      <c r="B49" s="491"/>
      <c r="C49" s="1414">
        <f>R49</f>
        <v>51789</v>
      </c>
      <c r="D49" s="1414"/>
      <c r="E49" s="1414"/>
      <c r="F49" s="1414"/>
      <c r="G49" s="1414"/>
      <c r="H49" s="1414"/>
      <c r="I49" s="1414"/>
      <c r="J49" s="1414"/>
      <c r="K49" s="782"/>
      <c r="L49" s="1140"/>
      <c r="M49" s="1141"/>
      <c r="N49" s="1128"/>
      <c r="O49" s="1141"/>
      <c r="P49" s="3278" t="str">
        <f>A49</f>
        <v>估价对象XX用房的比较价值（楼面单价，元/平方米）</v>
      </c>
      <c r="Q49" s="3279"/>
      <c r="R49" s="3311">
        <f>IF(F1="售价",ROUND(AVERAGE(R48:V48),0),ROUND(AVERAGE(R48:V48),1))</f>
        <v>51789</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0.16943000730209179</v>
      </c>
      <c r="F52" s="498" t="str">
        <f>IF(OR(E52&gt;=0.3,E52&lt;=-0.3),"超过30%","")</f>
        <v/>
      </c>
      <c r="G52" s="497">
        <f>IF(G47&lt;G48,G48/G47-1,G47/G48-1)</f>
        <v>7.5364192916169692E-3</v>
      </c>
      <c r="H52" s="498" t="str">
        <f>IF(OR(G52&gt;=0.3,G52&lt;=-0.3),"超过30%","")</f>
        <v/>
      </c>
      <c r="I52" s="497">
        <f>IF(I47&lt;I48,I48/I47-1,I47/I48-1)</f>
        <v>3.8699389366419146E-2</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0.10017578243387959</v>
      </c>
      <c r="F53" s="498" t="str">
        <f>IF(OR(E53&gt;=0.2,E53&lt;=-0.2),"超过20%","")</f>
        <v/>
      </c>
      <c r="G53" s="497">
        <f>IF(G48&lt;I48,I48/G48-1,G48/I48-1)</f>
        <v>3.8975208615359858E-2</v>
      </c>
      <c r="H53" s="498" t="str">
        <f>IF(OR(G53&gt;=0.2,G53&lt;=-0.2),"超过20%","")</f>
        <v/>
      </c>
      <c r="I53" s="497">
        <f>IF(I48&lt;E48,E48/I48-1,I48/E48-1)</f>
        <v>5.8904748940142415E-2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6" customFormat="1" ht="15">
      <c r="A58" s="503" t="s">
        <v>2542</v>
      </c>
      <c r="B58" s="504"/>
      <c r="C58" s="1570" t="str">
        <f>YEAR(C7)&amp;"-"&amp;MONTH(C7)</f>
        <v>2019-10</v>
      </c>
      <c r="D58" s="1571">
        <f>EDATE(C58,-1)</f>
        <v>43709</v>
      </c>
      <c r="E58" s="1571">
        <f t="shared" ref="E58:N58" si="16">EDATE(D58,-1)</f>
        <v>43678</v>
      </c>
      <c r="F58" s="1571">
        <f t="shared" si="16"/>
        <v>43647</v>
      </c>
      <c r="G58" s="1571">
        <f t="shared" si="16"/>
        <v>43617</v>
      </c>
      <c r="H58" s="1571">
        <f t="shared" si="16"/>
        <v>43586</v>
      </c>
      <c r="I58" s="1571">
        <f t="shared" si="16"/>
        <v>43556</v>
      </c>
      <c r="J58" s="1571">
        <f t="shared" si="16"/>
        <v>43525</v>
      </c>
      <c r="K58" s="1571">
        <f t="shared" si="16"/>
        <v>43497</v>
      </c>
      <c r="L58" s="1571">
        <f t="shared" si="16"/>
        <v>43466</v>
      </c>
      <c r="M58" s="1571">
        <f t="shared" si="16"/>
        <v>43435</v>
      </c>
      <c r="N58" s="1571">
        <f t="shared" si="16"/>
        <v>43405</v>
      </c>
      <c r="O58" s="1571">
        <f>EDATE(N58,-1)</f>
        <v>43374</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2"/>
    </row>
    <row r="60" spans="1:29" s="117" customFormat="1" ht="15.75" thickBot="1">
      <c r="A60" s="513" t="s">
        <v>2579</v>
      </c>
      <c r="B60" s="514"/>
      <c r="C60" s="515"/>
      <c r="D60" s="516"/>
      <c r="E60" s="516"/>
      <c r="F60" s="516"/>
      <c r="G60" s="516"/>
      <c r="H60" s="516"/>
      <c r="I60" s="516"/>
      <c r="J60" s="516"/>
      <c r="K60" s="516"/>
      <c r="L60" s="516"/>
      <c r="M60" s="517"/>
      <c r="N60" s="516"/>
      <c r="O60" s="517"/>
      <c r="P60" s="2622"/>
      <c r="Q60" s="502"/>
    </row>
    <row r="61" spans="1:29" s="117" customFormat="1" ht="15">
      <c r="A61" s="519" t="s">
        <v>2544</v>
      </c>
      <c r="B61" s="508"/>
      <c r="C61" s="520" t="s">
        <v>2646</v>
      </c>
      <c r="D61" s="521"/>
      <c r="E61" s="521"/>
      <c r="F61" s="521"/>
      <c r="G61" s="521"/>
      <c r="H61" s="521"/>
      <c r="I61" s="521"/>
      <c r="J61" s="521"/>
      <c r="K61" s="521"/>
      <c r="L61" s="522"/>
      <c r="M61" s="523"/>
      <c r="N61" s="1148"/>
      <c r="O61" s="1148"/>
      <c r="P61" s="2623"/>
      <c r="Q61" s="502"/>
    </row>
    <row r="62" spans="1:29" s="117" customFormat="1" ht="15.75" thickBot="1">
      <c r="A62" s="519"/>
      <c r="B62" s="508"/>
      <c r="C62" s="509">
        <v>100</v>
      </c>
      <c r="D62" s="510"/>
      <c r="E62" s="510"/>
      <c r="F62" s="510"/>
      <c r="G62" s="510"/>
      <c r="H62" s="510"/>
      <c r="I62" s="510"/>
      <c r="J62" s="510"/>
      <c r="K62" s="510"/>
      <c r="L62" s="510"/>
      <c r="M62" s="512"/>
      <c r="N62" s="1148"/>
      <c r="O62" s="1148"/>
      <c r="P62" s="2622"/>
      <c r="Q62" s="502"/>
    </row>
    <row r="63" spans="1:29">
      <c r="A63" s="525" t="s">
        <v>2582</v>
      </c>
      <c r="B63" s="526" t="s">
        <v>2548</v>
      </c>
      <c r="C63" s="527" t="str">
        <f>C9</f>
        <v>商业</v>
      </c>
      <c r="D63" s="528"/>
      <c r="E63" s="528"/>
      <c r="F63" s="528"/>
      <c r="G63" s="528"/>
      <c r="H63" s="528"/>
      <c r="I63" s="528"/>
      <c r="J63" s="528"/>
      <c r="K63" s="529"/>
      <c r="L63" s="530"/>
      <c r="M63" s="531"/>
      <c r="N63" s="1149"/>
      <c r="O63" s="1149"/>
      <c r="P63" s="2624"/>
      <c r="Q63" s="502"/>
    </row>
    <row r="64" spans="1:29" ht="15.75" thickBot="1">
      <c r="A64" s="532"/>
      <c r="B64" s="533"/>
      <c r="C64" s="534">
        <v>100</v>
      </c>
      <c r="D64" s="534"/>
      <c r="E64" s="534"/>
      <c r="F64" s="534"/>
      <c r="G64" s="534"/>
      <c r="H64" s="534"/>
      <c r="I64" s="534"/>
      <c r="J64" s="534"/>
      <c r="K64" s="534"/>
      <c r="L64" s="534"/>
      <c r="M64" s="535"/>
      <c r="N64" s="1150"/>
      <c r="O64" s="1150"/>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50"/>
      <c r="O66" s="1150"/>
      <c r="P66" s="2624"/>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4"/>
      <c r="Q67" s="502"/>
    </row>
    <row r="68" spans="1:17" ht="15">
      <c r="A68" s="532"/>
      <c r="B68" s="546"/>
      <c r="C68" s="547">
        <v>0</v>
      </c>
      <c r="D68" s="547">
        <v>1</v>
      </c>
      <c r="E68" s="547">
        <v>2</v>
      </c>
      <c r="F68" s="547">
        <v>3</v>
      </c>
      <c r="G68" s="547">
        <v>4</v>
      </c>
      <c r="H68" s="547"/>
      <c r="I68" s="547"/>
      <c r="J68" s="547"/>
      <c r="K68" s="548"/>
      <c r="L68" s="549"/>
      <c r="M68" s="550"/>
      <c r="N68" s="1149"/>
      <c r="O68" s="1149"/>
      <c r="P68" s="2624"/>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4"/>
      <c r="Q69" s="502"/>
    </row>
    <row r="70" spans="1:17" s="469" customFormat="1" ht="15.75" thickTop="1">
      <c r="A70" s="551"/>
      <c r="B70" s="536">
        <f>B12</f>
        <v>111</v>
      </c>
      <c r="C70" s="552"/>
      <c r="D70" s="552"/>
      <c r="E70" s="552"/>
      <c r="F70" s="552"/>
      <c r="G70" s="552"/>
      <c r="H70" s="553"/>
      <c r="I70" s="553"/>
      <c r="J70" s="553"/>
      <c r="K70" s="553"/>
      <c r="L70" s="554"/>
      <c r="M70" s="555"/>
      <c r="N70" s="1151"/>
      <c r="O70" s="1151"/>
      <c r="P70" s="2625"/>
      <c r="Q70" s="557"/>
    </row>
    <row r="71" spans="1:17" s="469" customFormat="1" ht="15.75" thickBot="1">
      <c r="A71" s="551"/>
      <c r="B71" s="541"/>
      <c r="C71" s="558"/>
      <c r="D71" s="534"/>
      <c r="E71" s="534"/>
      <c r="F71" s="534"/>
      <c r="G71" s="534"/>
      <c r="H71" s="534"/>
      <c r="I71" s="534"/>
      <c r="J71" s="534"/>
      <c r="K71" s="534"/>
      <c r="L71" s="534"/>
      <c r="M71" s="535"/>
      <c r="N71" s="1150"/>
      <c r="O71" s="1150"/>
      <c r="P71" s="2625"/>
      <c r="Q71" s="557"/>
    </row>
    <row r="72" spans="1:17" s="469" customFormat="1" ht="15.75" thickTop="1">
      <c r="A72" s="551"/>
      <c r="B72" s="536">
        <f>B13</f>
        <v>111</v>
      </c>
      <c r="C72" s="552"/>
      <c r="D72" s="552"/>
      <c r="E72" s="552"/>
      <c r="F72" s="552"/>
      <c r="G72" s="552"/>
      <c r="H72" s="553"/>
      <c r="I72" s="553"/>
      <c r="J72" s="553"/>
      <c r="K72" s="553"/>
      <c r="L72" s="554"/>
      <c r="M72" s="555"/>
      <c r="N72" s="1151"/>
      <c r="O72" s="1151"/>
      <c r="P72" s="2626"/>
      <c r="Q72" s="559"/>
    </row>
    <row r="73" spans="1:17" s="469" customFormat="1" ht="15.75" thickBot="1">
      <c r="A73" s="551"/>
      <c r="B73" s="541"/>
      <c r="C73" s="558"/>
      <c r="D73" s="534"/>
      <c r="E73" s="534"/>
      <c r="F73" s="534"/>
      <c r="G73" s="558"/>
      <c r="H73" s="560"/>
      <c r="I73" s="560"/>
      <c r="J73" s="560"/>
      <c r="K73" s="560"/>
      <c r="L73" s="560"/>
      <c r="M73" s="561"/>
      <c r="N73" s="1151"/>
      <c r="O73" s="1151"/>
      <c r="P73" s="2625"/>
      <c r="Q73" s="557"/>
    </row>
    <row r="74" spans="1:17" s="469" customFormat="1" ht="15.75" thickTop="1">
      <c r="A74" s="551"/>
      <c r="B74" s="544">
        <f>B14</f>
        <v>111</v>
      </c>
      <c r="C74" s="552"/>
      <c r="D74" s="552"/>
      <c r="E74" s="552"/>
      <c r="F74" s="552"/>
      <c r="G74" s="521"/>
      <c r="H74" s="562"/>
      <c r="I74" s="562"/>
      <c r="J74" s="562"/>
      <c r="K74" s="562"/>
      <c r="L74" s="563"/>
      <c r="M74" s="564"/>
      <c r="N74" s="1151"/>
      <c r="O74" s="1151"/>
      <c r="P74" s="2627"/>
      <c r="Q74" s="557"/>
    </row>
    <row r="75" spans="1:17" s="469" customFormat="1" ht="15.75" thickBot="1">
      <c r="A75" s="566"/>
      <c r="B75" s="567"/>
      <c r="C75" s="568"/>
      <c r="D75" s="568"/>
      <c r="E75" s="568"/>
      <c r="F75" s="568"/>
      <c r="G75" s="568"/>
      <c r="H75" s="569"/>
      <c r="I75" s="569"/>
      <c r="J75" s="569"/>
      <c r="K75" s="569"/>
      <c r="L75" s="569"/>
      <c r="M75" s="570"/>
      <c r="N75" s="1151"/>
      <c r="O75" s="1151"/>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4"/>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4"/>
      <c r="Q85" s="502"/>
    </row>
    <row r="86" spans="1:17" s="117" customFormat="1" ht="15.75" thickTop="1">
      <c r="A86" s="577"/>
      <c r="B86" s="536" t="s">
        <v>2674</v>
      </c>
      <c r="C86" s="2983" t="s">
        <v>3324</v>
      </c>
      <c r="D86" s="2983" t="s">
        <v>3325</v>
      </c>
      <c r="E86" s="2983" t="s">
        <v>3326</v>
      </c>
      <c r="F86" s="2983" t="s">
        <v>3327</v>
      </c>
      <c r="G86" s="552"/>
      <c r="H86" s="552"/>
      <c r="I86" s="552"/>
      <c r="J86" s="552"/>
      <c r="K86" s="552"/>
      <c r="L86" s="578"/>
      <c r="M86" s="579"/>
      <c r="N86" s="1148"/>
      <c r="O86" s="1148"/>
      <c r="P86" s="2624"/>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4"/>
      <c r="Q87" s="502"/>
    </row>
    <row r="88" spans="1:17" s="117" customFormat="1" ht="15.75" thickTop="1">
      <c r="A88" s="577"/>
      <c r="B88" s="536" t="str">
        <f>B26</f>
        <v>平面位置/可视性</v>
      </c>
      <c r="C88" s="2983" t="s">
        <v>3323</v>
      </c>
      <c r="D88" s="2983" t="s">
        <v>3284</v>
      </c>
      <c r="E88" s="2983" t="s">
        <v>3322</v>
      </c>
      <c r="F88" s="2629"/>
      <c r="G88" s="552"/>
      <c r="H88" s="552"/>
      <c r="I88" s="552"/>
      <c r="J88" s="552"/>
      <c r="K88" s="552"/>
      <c r="L88" s="552"/>
      <c r="M88" s="579"/>
      <c r="N88" s="1148"/>
      <c r="O88" s="1148"/>
      <c r="P88" s="2624"/>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4"/>
      <c r="Q89" s="502"/>
    </row>
    <row r="90" spans="1:17" s="469" customFormat="1" ht="15.75" thickTop="1">
      <c r="A90" s="551"/>
      <c r="B90" s="536" t="str">
        <f>B27</f>
        <v>人流量</v>
      </c>
      <c r="C90" s="2983" t="s">
        <v>3319</v>
      </c>
      <c r="D90" s="2983" t="s">
        <v>3321</v>
      </c>
      <c r="E90" s="2983" t="s">
        <v>3322</v>
      </c>
      <c r="F90" s="552"/>
      <c r="G90" s="552"/>
      <c r="H90" s="553"/>
      <c r="I90" s="553"/>
      <c r="J90" s="553"/>
      <c r="K90" s="553"/>
      <c r="L90" s="554"/>
      <c r="M90" s="555"/>
      <c r="N90" s="1151"/>
      <c r="O90" s="1151"/>
      <c r="P90" s="2625"/>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5"/>
      <c r="Q91" s="557"/>
    </row>
    <row r="92" spans="1:17" ht="15.75" thickTop="1">
      <c r="A92" s="532"/>
      <c r="B92" s="536" t="str">
        <f>B28</f>
        <v>楼层</v>
      </c>
      <c r="C92" s="552" t="s">
        <v>3328</v>
      </c>
      <c r="D92" s="552" t="s">
        <v>3329</v>
      </c>
      <c r="E92" s="552"/>
      <c r="F92" s="552"/>
      <c r="G92" s="552"/>
      <c r="H92" s="552"/>
      <c r="I92" s="552"/>
      <c r="J92" s="552"/>
      <c r="K92" s="552"/>
      <c r="L92" s="578"/>
      <c r="M92" s="579"/>
      <c r="N92" s="1149"/>
      <c r="O92" s="1149"/>
      <c r="P92" s="2624"/>
      <c r="Q92" s="502"/>
    </row>
    <row r="93" spans="1:17" ht="15.75" thickBot="1">
      <c r="A93" s="532"/>
      <c r="B93" s="541"/>
      <c r="C93" s="534">
        <v>100</v>
      </c>
      <c r="D93" s="534">
        <v>90</v>
      </c>
      <c r="E93" s="534"/>
      <c r="F93" s="534"/>
      <c r="G93" s="534"/>
      <c r="H93" s="534"/>
      <c r="I93" s="534"/>
      <c r="J93" s="534"/>
      <c r="K93" s="534"/>
      <c r="L93" s="534"/>
      <c r="M93" s="535"/>
      <c r="N93" s="1150"/>
      <c r="O93" s="1150"/>
      <c r="P93" s="2624"/>
      <c r="Q93" s="502"/>
    </row>
    <row r="94" spans="1:17" ht="15.75" thickTop="1">
      <c r="A94" s="532"/>
      <c r="B94" s="536">
        <f>B29</f>
        <v>111</v>
      </c>
      <c r="C94" s="552"/>
      <c r="D94" s="552"/>
      <c r="E94" s="552"/>
      <c r="F94" s="552"/>
      <c r="G94" s="581"/>
      <c r="H94" s="581"/>
      <c r="I94" s="581"/>
      <c r="J94" s="581"/>
      <c r="K94" s="582"/>
      <c r="L94" s="583"/>
      <c r="M94" s="584"/>
      <c r="N94" s="1149"/>
      <c r="O94" s="1149"/>
      <c r="P94" s="2624"/>
      <c r="Q94" s="502"/>
    </row>
    <row r="95" spans="1:17" ht="15.75" thickBot="1">
      <c r="A95" s="532"/>
      <c r="B95" s="541"/>
      <c r="C95" s="558"/>
      <c r="D95" s="534"/>
      <c r="E95" s="534"/>
      <c r="F95" s="534"/>
      <c r="G95" s="534"/>
      <c r="H95" s="534"/>
      <c r="I95" s="534"/>
      <c r="J95" s="534"/>
      <c r="K95" s="534"/>
      <c r="L95" s="534"/>
      <c r="M95" s="535"/>
      <c r="N95" s="1150"/>
      <c r="O95" s="1150"/>
      <c r="P95" s="2624"/>
      <c r="Q95" s="502"/>
    </row>
    <row r="96" spans="1:17" ht="15.75" thickTop="1">
      <c r="A96" s="532"/>
      <c r="B96" s="536">
        <f>B30</f>
        <v>111</v>
      </c>
      <c r="C96" s="552"/>
      <c r="D96" s="552"/>
      <c r="E96" s="552"/>
      <c r="F96" s="552"/>
      <c r="G96" s="581"/>
      <c r="H96" s="581"/>
      <c r="I96" s="581"/>
      <c r="J96" s="581"/>
      <c r="K96" s="582"/>
      <c r="L96" s="583"/>
      <c r="M96" s="584"/>
      <c r="N96" s="1149"/>
      <c r="O96" s="1149"/>
      <c r="P96" s="2624"/>
      <c r="Q96" s="502"/>
    </row>
    <row r="97" spans="1:17" ht="15.75" thickBot="1">
      <c r="A97" s="532"/>
      <c r="B97" s="541"/>
      <c r="C97" s="558"/>
      <c r="D97" s="534"/>
      <c r="E97" s="534"/>
      <c r="F97" s="534"/>
      <c r="G97" s="534"/>
      <c r="H97" s="534"/>
      <c r="I97" s="534"/>
      <c r="J97" s="534"/>
      <c r="K97" s="534"/>
      <c r="L97" s="534"/>
      <c r="M97" s="535"/>
      <c r="N97" s="1150"/>
      <c r="O97" s="1150"/>
      <c r="P97" s="2624"/>
      <c r="Q97" s="502"/>
    </row>
    <row r="98" spans="1:17" ht="15.75" thickTop="1">
      <c r="A98" s="532"/>
      <c r="B98" s="544">
        <f>B31</f>
        <v>111</v>
      </c>
      <c r="C98" s="552"/>
      <c r="D98" s="552"/>
      <c r="E98" s="552"/>
      <c r="F98" s="552"/>
      <c r="G98" s="585"/>
      <c r="H98" s="585"/>
      <c r="I98" s="585"/>
      <c r="J98" s="585"/>
      <c r="K98" s="586"/>
      <c r="L98" s="587"/>
      <c r="M98" s="588"/>
      <c r="N98" s="1149"/>
      <c r="O98" s="1149"/>
      <c r="P98" s="2624"/>
      <c r="Q98" s="502"/>
    </row>
    <row r="99" spans="1:17" ht="15.75" thickBot="1">
      <c r="A99" s="2630"/>
      <c r="B99" s="567"/>
      <c r="C99" s="568"/>
      <c r="D99" s="568"/>
      <c r="E99" s="568"/>
      <c r="F99" s="568"/>
      <c r="G99" s="589"/>
      <c r="H99" s="589"/>
      <c r="I99" s="589"/>
      <c r="J99" s="589"/>
      <c r="K99" s="589"/>
      <c r="L99" s="589"/>
      <c r="M99" s="590"/>
      <c r="N99" s="1150"/>
      <c r="O99" s="1150"/>
      <c r="P99" s="2624"/>
      <c r="Q99" s="502"/>
    </row>
    <row r="100" spans="1:17">
      <c r="A100" s="525" t="s">
        <v>2557</v>
      </c>
      <c r="B100" s="526" t="s">
        <v>2675</v>
      </c>
      <c r="C100" s="2981" t="s">
        <v>3309</v>
      </c>
      <c r="D100" s="2981" t="s">
        <v>3304</v>
      </c>
      <c r="E100" s="2981" t="s">
        <v>3305</v>
      </c>
      <c r="F100" s="2981" t="s">
        <v>3306</v>
      </c>
      <c r="G100" s="2981" t="s">
        <v>3307</v>
      </c>
      <c r="H100" s="528"/>
      <c r="I100" s="528"/>
      <c r="J100" s="528"/>
      <c r="K100" s="529"/>
      <c r="L100" s="530"/>
      <c r="M100" s="531"/>
      <c r="N100" s="1149"/>
      <c r="O100" s="1149"/>
      <c r="P100" s="2624"/>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4"/>
      <c r="Q101" s="502"/>
    </row>
    <row r="102" spans="1:17" ht="15.7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4"/>
      <c r="Q102" s="502"/>
    </row>
    <row r="103" spans="1:17" s="469" customFormat="1">
      <c r="A103" s="591"/>
      <c r="B103" s="592"/>
      <c r="C103" s="593">
        <v>0</v>
      </c>
      <c r="D103" s="593">
        <v>100</v>
      </c>
      <c r="E103" s="593">
        <v>200</v>
      </c>
      <c r="F103" s="593">
        <v>500</v>
      </c>
      <c r="G103" s="593">
        <v>1000</v>
      </c>
      <c r="H103" s="593"/>
      <c r="I103" s="593"/>
      <c r="J103" s="594"/>
      <c r="K103" s="594"/>
      <c r="L103" s="595"/>
      <c r="M103" s="596"/>
      <c r="N103" s="1151"/>
      <c r="O103" s="1151"/>
      <c r="P103" s="2625"/>
      <c r="Q103" s="557"/>
    </row>
    <row r="104" spans="1:17" s="469" customFormat="1" ht="15.75" thickBot="1">
      <c r="A104" s="551"/>
      <c r="B104" s="541"/>
      <c r="C104" s="558">
        <v>100</v>
      </c>
      <c r="D104" s="534">
        <v>98</v>
      </c>
      <c r="E104" s="534">
        <v>96</v>
      </c>
      <c r="F104" s="534">
        <v>94</v>
      </c>
      <c r="G104" s="534">
        <v>92</v>
      </c>
      <c r="H104" s="534"/>
      <c r="I104" s="534"/>
      <c r="J104" s="534"/>
      <c r="K104" s="534"/>
      <c r="L104" s="534"/>
      <c r="M104" s="535"/>
      <c r="N104" s="1150"/>
      <c r="O104" s="1150"/>
      <c r="P104" s="2625"/>
      <c r="Q104" s="557"/>
    </row>
    <row r="105" spans="1:17" ht="15" thickTop="1">
      <c r="A105" s="597"/>
      <c r="B105" s="536" t="s">
        <v>2608</v>
      </c>
      <c r="C105" s="2983" t="s">
        <v>3330</v>
      </c>
      <c r="D105" s="552"/>
      <c r="E105" s="581"/>
      <c r="F105" s="581"/>
      <c r="G105" s="581"/>
      <c r="H105" s="581"/>
      <c r="I105" s="581"/>
      <c r="J105" s="581"/>
      <c r="K105" s="582"/>
      <c r="L105" s="583"/>
      <c r="M105" s="584"/>
      <c r="N105" s="1149"/>
      <c r="O105" s="1149"/>
      <c r="P105" s="2624"/>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4"/>
      <c r="Q106" s="502"/>
    </row>
    <row r="107" spans="1:17" ht="15" thickTop="1">
      <c r="A107" s="597"/>
      <c r="B107" s="536" t="s">
        <v>2610</v>
      </c>
      <c r="C107" s="2983" t="s">
        <v>3315</v>
      </c>
      <c r="D107" s="2983" t="s">
        <v>3318</v>
      </c>
      <c r="E107" s="2983" t="s">
        <v>3316</v>
      </c>
      <c r="F107" s="2983" t="s">
        <v>3317</v>
      </c>
      <c r="G107" s="581"/>
      <c r="H107" s="581"/>
      <c r="I107" s="581"/>
      <c r="J107" s="581"/>
      <c r="K107" s="582"/>
      <c r="L107" s="583"/>
      <c r="M107" s="584"/>
      <c r="N107" s="1149"/>
      <c r="O107" s="1149"/>
      <c r="P107" s="2624"/>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4"/>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4"/>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4"/>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4"/>
      <c r="Q111" s="502"/>
    </row>
    <row r="112" spans="1:17" s="469" customFormat="1" ht="15" thickTop="1">
      <c r="A112" s="591"/>
      <c r="B112" s="536" t="s">
        <v>2612</v>
      </c>
      <c r="C112" s="2983" t="s">
        <v>3278</v>
      </c>
      <c r="D112" s="2983" t="s">
        <v>3279</v>
      </c>
      <c r="E112" s="2983" t="s">
        <v>3312</v>
      </c>
      <c r="F112" s="552"/>
      <c r="G112" s="552"/>
      <c r="H112" s="581"/>
      <c r="I112" s="581"/>
      <c r="J112" s="581"/>
      <c r="K112" s="582"/>
      <c r="L112" s="583"/>
      <c r="M112" s="584"/>
      <c r="N112" s="1151"/>
      <c r="O112" s="1151"/>
      <c r="P112" s="2625"/>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5"/>
      <c r="Q113" s="557"/>
    </row>
    <row r="114" spans="1:17" ht="15" thickTop="1">
      <c r="A114" s="597"/>
      <c r="B114" s="536" t="s">
        <v>2676</v>
      </c>
      <c r="C114" s="2983" t="s">
        <v>3301</v>
      </c>
      <c r="D114" s="2983" t="s">
        <v>3313</v>
      </c>
      <c r="E114" s="581"/>
      <c r="F114" s="581"/>
      <c r="G114" s="581"/>
      <c r="H114" s="581"/>
      <c r="I114" s="581"/>
      <c r="J114" s="581"/>
      <c r="K114" s="582"/>
      <c r="L114" s="583"/>
      <c r="M114" s="584"/>
      <c r="N114" s="1149"/>
      <c r="O114" s="1149"/>
      <c r="P114" s="2624"/>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4"/>
      <c r="Q115" s="502"/>
    </row>
    <row r="116" spans="1:17" ht="15" thickTop="1">
      <c r="A116" s="597"/>
      <c r="B116" s="536" t="s">
        <v>2677</v>
      </c>
      <c r="C116" s="2983" t="s">
        <v>3296</v>
      </c>
      <c r="D116" s="2983" t="s">
        <v>3299</v>
      </c>
      <c r="E116" s="552"/>
      <c r="F116" s="552"/>
      <c r="G116" s="552"/>
      <c r="H116" s="581"/>
      <c r="I116" s="581"/>
      <c r="J116" s="581"/>
      <c r="K116" s="582"/>
      <c r="L116" s="583"/>
      <c r="M116" s="584"/>
      <c r="N116" s="1149"/>
      <c r="O116" s="1149"/>
      <c r="P116" s="2624"/>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4"/>
      <c r="Q117" s="502"/>
    </row>
    <row r="118" spans="1:17" ht="15" thickTop="1">
      <c r="A118" s="597"/>
      <c r="B118" s="536" t="s">
        <v>2678</v>
      </c>
      <c r="C118" s="625"/>
      <c r="D118" s="625"/>
      <c r="E118" s="625"/>
      <c r="F118" s="625"/>
      <c r="G118" s="625"/>
      <c r="H118" s="553"/>
      <c r="I118" s="553"/>
      <c r="J118" s="553"/>
      <c r="K118" s="553"/>
      <c r="L118" s="554"/>
      <c r="M118" s="555"/>
      <c r="N118" s="1149"/>
      <c r="O118" s="1149"/>
      <c r="P118" s="2624"/>
      <c r="Q118" s="502"/>
    </row>
    <row r="119" spans="1:17" ht="15.75" thickBot="1">
      <c r="A119" s="532"/>
      <c r="B119" s="541"/>
      <c r="C119" s="558"/>
      <c r="D119" s="534"/>
      <c r="E119" s="534"/>
      <c r="F119" s="534"/>
      <c r="G119" s="534"/>
      <c r="H119" s="534"/>
      <c r="I119" s="534"/>
      <c r="J119" s="534"/>
      <c r="K119" s="534"/>
      <c r="L119" s="534"/>
      <c r="M119" s="535"/>
      <c r="N119" s="1150"/>
      <c r="O119" s="1150"/>
      <c r="P119" s="2624"/>
      <c r="Q119" s="502"/>
    </row>
    <row r="120" spans="1:17" s="469" customFormat="1" ht="15" thickTop="1">
      <c r="A120" s="591"/>
      <c r="B120" s="536" t="s">
        <v>2679</v>
      </c>
      <c r="C120" s="2982" t="s">
        <v>3276</v>
      </c>
      <c r="D120" s="581"/>
      <c r="E120" s="581"/>
      <c r="F120" s="581"/>
      <c r="G120" s="553"/>
      <c r="H120" s="553"/>
      <c r="I120" s="553"/>
      <c r="J120" s="553"/>
      <c r="K120" s="553"/>
      <c r="L120" s="554"/>
      <c r="M120" s="555"/>
      <c r="N120" s="1151"/>
      <c r="O120" s="1151"/>
      <c r="P120" s="2625"/>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5"/>
      <c r="Q121" s="557"/>
    </row>
    <row r="122" spans="1:17" ht="15" thickTop="1">
      <c r="A122" s="597"/>
      <c r="B122" s="536" t="s">
        <v>2614</v>
      </c>
      <c r="C122" s="2983" t="s">
        <v>3315</v>
      </c>
      <c r="D122" s="2983" t="s">
        <v>3318</v>
      </c>
      <c r="E122" s="2983" t="s">
        <v>3316</v>
      </c>
      <c r="F122" s="2983" t="s">
        <v>3317</v>
      </c>
      <c r="G122" s="581"/>
      <c r="H122" s="581"/>
      <c r="I122" s="581"/>
      <c r="J122" s="581"/>
      <c r="K122" s="582"/>
      <c r="L122" s="583"/>
      <c r="M122" s="584"/>
      <c r="N122" s="1149"/>
      <c r="O122" s="1149"/>
      <c r="P122" s="2624"/>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4"/>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5"/>
      <c r="Q127" s="557"/>
    </row>
    <row r="128" spans="1:17" ht="15" thickTop="1">
      <c r="A128" s="597"/>
      <c r="B128" s="536">
        <f>B45</f>
        <v>111</v>
      </c>
      <c r="C128" s="552"/>
      <c r="D128" s="552"/>
      <c r="E128" s="552"/>
      <c r="F128" s="552"/>
      <c r="G128" s="581"/>
      <c r="H128" s="581"/>
      <c r="I128" s="581"/>
      <c r="J128" s="581"/>
      <c r="K128" s="582"/>
      <c r="L128" s="583"/>
      <c r="M128" s="584"/>
      <c r="N128" s="1149"/>
      <c r="O128" s="1149"/>
      <c r="P128" s="2624"/>
      <c r="Q128" s="502"/>
    </row>
    <row r="129" spans="1:17" ht="15.75" thickBot="1">
      <c r="A129" s="532"/>
      <c r="B129" s="541"/>
      <c r="C129" s="558"/>
      <c r="D129" s="534"/>
      <c r="E129" s="534"/>
      <c r="F129" s="534"/>
      <c r="G129" s="534"/>
      <c r="H129" s="534"/>
      <c r="I129" s="534"/>
      <c r="J129" s="534"/>
      <c r="K129" s="534"/>
      <c r="L129" s="534"/>
      <c r="M129" s="535"/>
      <c r="N129" s="1150"/>
      <c r="O129" s="1150"/>
      <c r="P129" s="2624"/>
      <c r="Q129" s="502"/>
    </row>
    <row r="130" spans="1:17" ht="15" thickTop="1">
      <c r="A130" s="597"/>
      <c r="B130" s="544">
        <f>B46</f>
        <v>111</v>
      </c>
      <c r="C130" s="552"/>
      <c r="D130" s="552"/>
      <c r="E130" s="552"/>
      <c r="F130" s="552"/>
      <c r="G130" s="585"/>
      <c r="H130" s="585"/>
      <c r="I130" s="585"/>
      <c r="J130" s="585"/>
      <c r="K130" s="521"/>
      <c r="L130" s="522"/>
      <c r="M130" s="588"/>
      <c r="N130" s="1149"/>
      <c r="O130" s="1149"/>
      <c r="P130" s="2624"/>
      <c r="Q130" s="502"/>
    </row>
    <row r="131" spans="1:17" ht="15.75" thickBot="1">
      <c r="A131" s="2630"/>
      <c r="B131" s="567"/>
      <c r="C131" s="568"/>
      <c r="D131" s="568"/>
      <c r="E131" s="568"/>
      <c r="F131" s="568"/>
      <c r="G131" s="589"/>
      <c r="H131" s="589"/>
      <c r="I131" s="589"/>
      <c r="J131" s="589"/>
      <c r="K131" s="589"/>
      <c r="L131" s="589"/>
      <c r="M131" s="590"/>
      <c r="N131" s="1150"/>
      <c r="O131" s="1150"/>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3" t="s">
        <v>2680</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80"/>
      <c r="D2" s="1362"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101504.34</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327" t="s">
        <v>2645</v>
      </c>
      <c r="Q4" s="3328"/>
      <c r="R4" s="3322" t="s">
        <v>2641</v>
      </c>
      <c r="S4" s="3323"/>
      <c r="T4" s="3322" t="s">
        <v>2642</v>
      </c>
      <c r="U4" s="3323"/>
      <c r="V4" s="3331" t="s">
        <v>2643</v>
      </c>
      <c r="W4" s="3331"/>
      <c r="X4" s="2664"/>
      <c r="Y4" s="3322" t="s">
        <v>2645</v>
      </c>
      <c r="Z4" s="3323"/>
      <c r="AA4" s="3321" t="s">
        <v>2641</v>
      </c>
      <c r="AB4" s="3321" t="s">
        <v>2642</v>
      </c>
      <c r="AC4" s="3324" t="s">
        <v>2643</v>
      </c>
    </row>
    <row r="5" spans="1:29" ht="15">
      <c r="A5" s="402"/>
      <c r="B5" s="403"/>
      <c r="C5" s="3252" t="s">
        <v>2536</v>
      </c>
      <c r="D5" s="3253"/>
      <c r="E5" s="3250" t="s">
        <v>2537</v>
      </c>
      <c r="F5" s="3251"/>
      <c r="G5" s="3252" t="s">
        <v>2538</v>
      </c>
      <c r="H5" s="3253"/>
      <c r="I5" s="3252" t="s">
        <v>2539</v>
      </c>
      <c r="J5" s="3253"/>
      <c r="K5" s="608"/>
      <c r="L5" s="1127"/>
      <c r="M5" s="1128"/>
      <c r="N5" s="1128"/>
      <c r="O5" s="1128"/>
      <c r="P5" s="3329"/>
      <c r="Q5" s="3266"/>
      <c r="R5" s="3248"/>
      <c r="S5" s="3249"/>
      <c r="T5" s="3248"/>
      <c r="U5" s="3249"/>
      <c r="V5" s="3271"/>
      <c r="W5" s="3271"/>
      <c r="X5" s="1809"/>
      <c r="Y5" s="3248"/>
      <c r="Z5" s="3249"/>
      <c r="AA5" s="3242"/>
      <c r="AB5" s="3242"/>
      <c r="AC5" s="3325"/>
    </row>
    <row r="6" spans="1:29" ht="15.75" thickBot="1">
      <c r="A6" s="404"/>
      <c r="B6" s="405"/>
      <c r="C6" s="3254" t="s">
        <v>2540</v>
      </c>
      <c r="D6" s="3255"/>
      <c r="E6" s="3256" t="s">
        <v>2540</v>
      </c>
      <c r="F6" s="3257"/>
      <c r="G6" s="3254" t="s">
        <v>2540</v>
      </c>
      <c r="H6" s="3255"/>
      <c r="I6" s="3254" t="s">
        <v>2540</v>
      </c>
      <c r="J6" s="3255"/>
      <c r="K6" s="608" t="s">
        <v>2541</v>
      </c>
      <c r="L6" s="1127"/>
      <c r="M6" s="1128"/>
      <c r="N6" s="1128"/>
      <c r="O6" s="1128"/>
      <c r="P6" s="3330"/>
      <c r="Q6" s="3268"/>
      <c r="R6" s="3248"/>
      <c r="S6" s="3249"/>
      <c r="T6" s="3269"/>
      <c r="U6" s="3270"/>
      <c r="V6" s="3271"/>
      <c r="W6" s="3271"/>
      <c r="X6" s="1809"/>
      <c r="Y6" s="3269"/>
      <c r="Z6" s="3270"/>
      <c r="AA6" s="3243"/>
      <c r="AB6" s="3243"/>
      <c r="AC6" s="3326"/>
    </row>
    <row r="7" spans="1:29" s="117" customFormat="1" ht="15.75" thickBot="1">
      <c r="A7" s="406" t="s">
        <v>2542</v>
      </c>
      <c r="B7" s="407"/>
      <c r="C7" s="408">
        <f>'数据-取费表'!B2</f>
        <v>43756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2"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2665"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2" t="s">
        <v>2546</v>
      </c>
      <c r="Q8" s="3245"/>
      <c r="R8" s="767" t="s">
        <v>17</v>
      </c>
      <c r="S8" s="768">
        <f t="shared" si="0"/>
        <v>0</v>
      </c>
      <c r="T8" s="767" t="s">
        <v>17</v>
      </c>
      <c r="U8" s="768">
        <f t="shared" si="1"/>
        <v>0</v>
      </c>
      <c r="V8" s="767" t="s">
        <v>17</v>
      </c>
      <c r="W8" s="768">
        <f t="shared" si="2"/>
        <v>0</v>
      </c>
      <c r="X8" s="769"/>
      <c r="Y8" s="3244" t="s">
        <v>2546</v>
      </c>
      <c r="Z8" s="3245"/>
      <c r="AA8" s="770" t="e">
        <f t="shared" ref="AA8:AA47" si="3">D8/F8</f>
        <v>#DIV/0!</v>
      </c>
      <c r="AB8" s="770" t="e">
        <f t="shared" ref="AB8:AB47" si="4">D8/H8</f>
        <v>#DIV/0!</v>
      </c>
      <c r="AC8" s="2665"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82"/>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82"/>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2665" t="e">
        <f t="shared" si="5"/>
        <v>#N/A</v>
      </c>
    </row>
    <row r="12" spans="1:29" s="117"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9"/>
      <c r="M12" s="1130"/>
      <c r="N12" s="1130"/>
      <c r="O12" s="1130"/>
      <c r="P12" s="3282"/>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7"/>
      <c r="M13" s="1128"/>
      <c r="N13" s="1128"/>
      <c r="O13" s="1128"/>
      <c r="P13" s="3282"/>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7"/>
      <c r="M14" s="1128"/>
      <c r="N14" s="1128"/>
      <c r="O14" s="1128"/>
      <c r="P14" s="3282"/>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2665">
        <f t="shared" si="5"/>
        <v>1</v>
      </c>
    </row>
    <row r="15" spans="1:29" ht="71.25">
      <c r="A15" s="438" t="s">
        <v>2553</v>
      </c>
      <c r="B15" s="627" t="s">
        <v>2681</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17" t="s">
        <v>2554</v>
      </c>
      <c r="Q15" s="1806" t="str">
        <f t="shared" si="6"/>
        <v>办公集聚程度</v>
      </c>
      <c r="R15" s="771" t="s">
        <v>17</v>
      </c>
      <c r="S15" s="772">
        <f t="shared" si="0"/>
        <v>100</v>
      </c>
      <c r="T15" s="771" t="s">
        <v>17</v>
      </c>
      <c r="U15" s="772">
        <f t="shared" si="1"/>
        <v>100</v>
      </c>
      <c r="V15" s="771" t="s">
        <v>17</v>
      </c>
      <c r="W15" s="772">
        <f t="shared" si="2"/>
        <v>100</v>
      </c>
      <c r="X15" s="1809"/>
      <c r="Y15" s="3273" t="s">
        <v>2554</v>
      </c>
      <c r="Z15" s="1810" t="str">
        <f t="shared" si="7"/>
        <v>办公集聚程度</v>
      </c>
      <c r="AA15" s="1807">
        <f t="shared" si="3"/>
        <v>1</v>
      </c>
      <c r="AB15" s="1807">
        <f t="shared" si="4"/>
        <v>1</v>
      </c>
      <c r="AC15" s="2668">
        <f t="shared" si="5"/>
        <v>1</v>
      </c>
    </row>
    <row r="16" spans="1:29" ht="15">
      <c r="A16" s="426"/>
      <c r="B16" s="628"/>
      <c r="C16" s="2605"/>
      <c r="D16" s="446"/>
      <c r="E16" s="445"/>
      <c r="F16" s="446"/>
      <c r="G16" s="2605"/>
      <c r="H16" s="448"/>
      <c r="I16" s="445"/>
      <c r="J16" s="446"/>
      <c r="K16" s="613"/>
      <c r="L16" s="1137"/>
      <c r="M16" s="1128"/>
      <c r="N16" s="1128"/>
      <c r="O16" s="1128"/>
      <c r="P16" s="3318"/>
      <c r="Q16" s="1806"/>
      <c r="R16" s="771"/>
      <c r="S16" s="772"/>
      <c r="T16" s="771"/>
      <c r="U16" s="772"/>
      <c r="V16" s="771"/>
      <c r="W16" s="772"/>
      <c r="X16" s="1809"/>
      <c r="Y16" s="3274"/>
      <c r="Z16" s="1810"/>
      <c r="AA16" s="1807">
        <v>1</v>
      </c>
      <c r="AB16" s="1807">
        <v>1</v>
      </c>
      <c r="AC16" s="2668">
        <v>1</v>
      </c>
    </row>
    <row r="17" spans="1:29" ht="71.25">
      <c r="A17" s="426"/>
      <c r="B17" s="629" t="s">
        <v>2091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8"/>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2668">
        <f t="shared" si="5"/>
        <v>1</v>
      </c>
    </row>
    <row r="18" spans="1:29" ht="15">
      <c r="A18" s="426"/>
      <c r="B18" s="630"/>
      <c r="C18" s="2670"/>
      <c r="D18" s="448"/>
      <c r="E18" s="2603"/>
      <c r="F18" s="448"/>
      <c r="G18" s="2604"/>
      <c r="H18" s="446"/>
      <c r="I18" s="2604"/>
      <c r="J18" s="446"/>
      <c r="K18" s="613"/>
      <c r="L18" s="1137"/>
      <c r="M18" s="1128"/>
      <c r="N18" s="1128"/>
      <c r="O18" s="1128"/>
      <c r="P18" s="3318"/>
      <c r="Q18" s="1806"/>
      <c r="R18" s="771"/>
      <c r="S18" s="772"/>
      <c r="T18" s="771"/>
      <c r="U18" s="772"/>
      <c r="V18" s="771"/>
      <c r="W18" s="772"/>
      <c r="X18" s="1809"/>
      <c r="Y18" s="3274"/>
      <c r="Z18" s="1810"/>
      <c r="AA18" s="1807">
        <v>1</v>
      </c>
      <c r="AB18" s="1807">
        <v>1</v>
      </c>
      <c r="AC18" s="2668">
        <v>1</v>
      </c>
    </row>
    <row r="19" spans="1:29" ht="42.75">
      <c r="A19" s="426"/>
      <c r="B19" s="629" t="s">
        <v>2682</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2668">
        <f t="shared" si="5"/>
        <v>1</v>
      </c>
    </row>
    <row r="20" spans="1:29" ht="15">
      <c r="A20" s="426"/>
      <c r="B20" s="630"/>
      <c r="C20" s="2605"/>
      <c r="D20" s="446"/>
      <c r="E20" s="2598"/>
      <c r="F20" s="446"/>
      <c r="G20" s="2599"/>
      <c r="H20" s="446"/>
      <c r="I20" s="2599"/>
      <c r="J20" s="446"/>
      <c r="K20" s="613"/>
      <c r="L20" s="1137"/>
      <c r="M20" s="1128"/>
      <c r="N20" s="1128"/>
      <c r="O20" s="1128"/>
      <c r="P20" s="3318"/>
      <c r="Q20" s="1806"/>
      <c r="R20" s="771"/>
      <c r="S20" s="772"/>
      <c r="T20" s="771"/>
      <c r="U20" s="772"/>
      <c r="V20" s="771"/>
      <c r="W20" s="772"/>
      <c r="X20" s="1809"/>
      <c r="Y20" s="3274"/>
      <c r="Z20" s="1810"/>
      <c r="AA20" s="1807">
        <v>1</v>
      </c>
      <c r="AB20" s="1807">
        <v>1</v>
      </c>
      <c r="AC20" s="2668">
        <v>1</v>
      </c>
    </row>
    <row r="21" spans="1:29" ht="28.5">
      <c r="A21" s="426"/>
      <c r="B21" s="631" t="s">
        <v>2683</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2668">
        <f t="shared" ref="AC21" si="10">D21/J21</f>
        <v>1</v>
      </c>
    </row>
    <row r="22" spans="1:29" ht="15">
      <c r="A22" s="426"/>
      <c r="B22" s="631"/>
      <c r="C22" s="2670"/>
      <c r="D22" s="446"/>
      <c r="E22" s="445"/>
      <c r="F22" s="446"/>
      <c r="G22" s="2605"/>
      <c r="H22" s="446"/>
      <c r="I22" s="2605"/>
      <c r="J22" s="446"/>
      <c r="K22" s="1380"/>
      <c r="L22" s="1137"/>
      <c r="M22" s="1128"/>
      <c r="N22" s="1128"/>
      <c r="O22" s="1128"/>
      <c r="P22" s="3318"/>
      <c r="Q22" s="1806"/>
      <c r="R22" s="771"/>
      <c r="S22" s="772"/>
      <c r="T22" s="771"/>
      <c r="U22" s="772"/>
      <c r="V22" s="771"/>
      <c r="W22" s="772"/>
      <c r="X22" s="1809"/>
      <c r="Y22" s="3274"/>
      <c r="Z22" s="1810"/>
      <c r="AA22" s="1807">
        <v>1</v>
      </c>
      <c r="AB22" s="1807">
        <v>1</v>
      </c>
      <c r="AC22" s="2668">
        <v>1</v>
      </c>
    </row>
    <row r="23" spans="1:29" ht="42.75">
      <c r="A23" s="426"/>
      <c r="B23" s="629" t="s">
        <v>2684</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8"/>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2668">
        <f t="shared" si="5"/>
        <v>1</v>
      </c>
    </row>
    <row r="24" spans="1:29" ht="15">
      <c r="A24" s="426"/>
      <c r="B24" s="631"/>
      <c r="C24" s="2605"/>
      <c r="D24" s="446"/>
      <c r="E24" s="2598"/>
      <c r="F24" s="446"/>
      <c r="G24" s="2599"/>
      <c r="H24" s="446"/>
      <c r="I24" s="2599"/>
      <c r="J24" s="446"/>
      <c r="K24" s="613"/>
      <c r="L24" s="1137"/>
      <c r="M24" s="1128"/>
      <c r="N24" s="1128"/>
      <c r="O24" s="1128"/>
      <c r="P24" s="3318"/>
      <c r="Q24" s="1806"/>
      <c r="R24" s="771"/>
      <c r="S24" s="772"/>
      <c r="T24" s="771"/>
      <c r="U24" s="772"/>
      <c r="V24" s="771"/>
      <c r="W24" s="772"/>
      <c r="X24" s="1809"/>
      <c r="Y24" s="3274"/>
      <c r="Z24" s="1810"/>
      <c r="AA24" s="1807">
        <v>1</v>
      </c>
      <c r="AB24" s="1807">
        <v>1</v>
      </c>
      <c r="AC24" s="2668">
        <v>1</v>
      </c>
    </row>
    <row r="25" spans="1:29" ht="27">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7"/>
      <c r="M25" s="1128"/>
      <c r="N25" s="1128"/>
      <c r="O25" s="1128"/>
      <c r="P25" s="3318"/>
      <c r="Q25" s="1806" t="str">
        <f>B25</f>
        <v>毗邻道路的类型与等级</v>
      </c>
      <c r="R25" s="771" t="s">
        <v>17</v>
      </c>
      <c r="S25" s="772">
        <f>F25</f>
        <v>100</v>
      </c>
      <c r="T25" s="771" t="s">
        <v>17</v>
      </c>
      <c r="U25" s="772">
        <f>H25</f>
        <v>100</v>
      </c>
      <c r="V25" s="771" t="s">
        <v>17</v>
      </c>
      <c r="W25" s="772">
        <f>J25</f>
        <v>100</v>
      </c>
      <c r="X25" s="1809"/>
      <c r="Y25" s="3274"/>
      <c r="Z25" s="1810" t="str">
        <f>Q25</f>
        <v>毗邻道路的类型与等级</v>
      </c>
      <c r="AA25" s="1807">
        <f t="shared" si="3"/>
        <v>1</v>
      </c>
      <c r="AB25" s="1807">
        <f t="shared" si="4"/>
        <v>1</v>
      </c>
      <c r="AC25" s="2668">
        <f t="shared" si="5"/>
        <v>1</v>
      </c>
    </row>
    <row r="26" spans="1:29" ht="15">
      <c r="A26" s="402"/>
      <c r="B26" s="630"/>
      <c r="C26" s="632"/>
      <c r="D26" s="433"/>
      <c r="E26" s="614"/>
      <c r="F26" s="433"/>
      <c r="G26" s="632"/>
      <c r="H26" s="433"/>
      <c r="I26" s="614"/>
      <c r="J26" s="433"/>
      <c r="K26" s="613"/>
      <c r="L26" s="1137"/>
      <c r="M26" s="1128"/>
      <c r="N26" s="1128"/>
      <c r="O26" s="1128"/>
      <c r="P26" s="3318"/>
      <c r="Q26" s="1806"/>
      <c r="R26" s="771"/>
      <c r="S26" s="772"/>
      <c r="T26" s="771"/>
      <c r="U26" s="772"/>
      <c r="V26" s="771"/>
      <c r="W26" s="772"/>
      <c r="X26" s="1809"/>
      <c r="Y26" s="3274"/>
      <c r="Z26" s="1810"/>
      <c r="AA26" s="1807">
        <v>1</v>
      </c>
      <c r="AB26" s="1807">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8"/>
      <c r="Q27" s="1806" t="str">
        <f t="shared" ref="Q27:Q47" si="11">B27</f>
        <v>楼层</v>
      </c>
      <c r="R27" s="771" t="s">
        <v>17</v>
      </c>
      <c r="S27" s="772">
        <f>F27</f>
        <v>100</v>
      </c>
      <c r="T27" s="771" t="s">
        <v>17</v>
      </c>
      <c r="U27" s="772">
        <f>H27</f>
        <v>100</v>
      </c>
      <c r="V27" s="771" t="s">
        <v>17</v>
      </c>
      <c r="W27" s="772">
        <f>J27</f>
        <v>100</v>
      </c>
      <c r="X27" s="1809"/>
      <c r="Y27" s="3274"/>
      <c r="Z27" s="1810" t="str">
        <f>Q27</f>
        <v>楼层</v>
      </c>
      <c r="AA27" s="1807">
        <f t="shared" si="3"/>
        <v>1</v>
      </c>
      <c r="AB27" s="1807">
        <f t="shared" si="4"/>
        <v>1</v>
      </c>
      <c r="AC27" s="2668">
        <f t="shared" si="5"/>
        <v>1</v>
      </c>
    </row>
    <row r="28" spans="1:29" s="117"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29"/>
      <c r="M28" s="1130"/>
      <c r="N28" s="1130"/>
      <c r="O28" s="1130"/>
      <c r="P28" s="3318"/>
      <c r="Q28" s="1791" t="str">
        <f t="shared" si="11"/>
        <v>朝向</v>
      </c>
      <c r="R28" s="767" t="s">
        <v>17</v>
      </c>
      <c r="S28" s="768">
        <f>F28</f>
        <v>100</v>
      </c>
      <c r="T28" s="767" t="s">
        <v>17</v>
      </c>
      <c r="U28" s="768">
        <f>H28</f>
        <v>100</v>
      </c>
      <c r="V28" s="767" t="s">
        <v>17</v>
      </c>
      <c r="W28" s="768">
        <f>J28</f>
        <v>100</v>
      </c>
      <c r="X28" s="769"/>
      <c r="Y28" s="3274"/>
      <c r="Z28" s="55" t="str">
        <f>Q28</f>
        <v>朝向</v>
      </c>
      <c r="AA28" s="1807">
        <f>D28/F28</f>
        <v>1</v>
      </c>
      <c r="AB28" s="1807">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7"/>
      <c r="M29" s="1128"/>
      <c r="N29" s="1128"/>
      <c r="O29" s="1128"/>
      <c r="P29" s="3318"/>
      <c r="Q29" s="1806">
        <f t="shared" si="11"/>
        <v>111</v>
      </c>
      <c r="R29" s="771" t="s">
        <v>17</v>
      </c>
      <c r="S29" s="772">
        <f t="shared" ref="S29:S47" si="12">F29</f>
        <v>100</v>
      </c>
      <c r="T29" s="771" t="s">
        <v>17</v>
      </c>
      <c r="U29" s="772">
        <f t="shared" ref="U29:U47" si="13">H29</f>
        <v>100</v>
      </c>
      <c r="V29" s="771" t="s">
        <v>17</v>
      </c>
      <c r="W29" s="772">
        <f t="shared" ref="W29:W47" si="14">J29</f>
        <v>100</v>
      </c>
      <c r="X29" s="1809"/>
      <c r="Y29" s="3274"/>
      <c r="Z29" s="1810">
        <f t="shared" ref="Z29:Z47" si="15">Q29</f>
        <v>111</v>
      </c>
      <c r="AA29" s="1807">
        <f t="shared" si="3"/>
        <v>1</v>
      </c>
      <c r="AB29" s="1807">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7"/>
      <c r="M32" s="1128"/>
      <c r="N32" s="1128"/>
      <c r="O32" s="1128"/>
      <c r="P32" s="3318"/>
      <c r="Q32" s="1806">
        <f t="shared" si="11"/>
        <v>111</v>
      </c>
      <c r="R32" s="771" t="s">
        <v>17</v>
      </c>
      <c r="S32" s="772">
        <f t="shared" si="12"/>
        <v>100</v>
      </c>
      <c r="T32" s="771" t="s">
        <v>17</v>
      </c>
      <c r="U32" s="772">
        <f t="shared" si="13"/>
        <v>100</v>
      </c>
      <c r="V32" s="771" t="s">
        <v>17</v>
      </c>
      <c r="W32" s="772">
        <f t="shared" si="14"/>
        <v>100</v>
      </c>
      <c r="X32" s="1809"/>
      <c r="Y32" s="3274"/>
      <c r="Z32" s="1810">
        <f t="shared" si="15"/>
        <v>111</v>
      </c>
      <c r="AA32" s="1807">
        <f t="shared" si="3"/>
        <v>1</v>
      </c>
      <c r="AB32" s="1807">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7"/>
      <c r="M33" s="1128"/>
      <c r="N33" s="1128"/>
      <c r="O33" s="1128"/>
      <c r="P33" s="3313" t="s">
        <v>2559</v>
      </c>
      <c r="Q33" s="1806" t="str">
        <f t="shared" si="11"/>
        <v>建筑类型</v>
      </c>
      <c r="R33" s="771" t="s">
        <v>17</v>
      </c>
      <c r="S33" s="772">
        <f t="shared" si="12"/>
        <v>100</v>
      </c>
      <c r="T33" s="771" t="s">
        <v>17</v>
      </c>
      <c r="U33" s="772">
        <f t="shared" si="13"/>
        <v>100</v>
      </c>
      <c r="V33" s="771" t="s">
        <v>17</v>
      </c>
      <c r="W33" s="772">
        <f t="shared" si="14"/>
        <v>100</v>
      </c>
      <c r="X33" s="1809"/>
      <c r="Y33" s="3276" t="s">
        <v>2559</v>
      </c>
      <c r="Z33" s="1810" t="str">
        <f t="shared" si="15"/>
        <v>建筑类型</v>
      </c>
      <c r="AA33" s="1807">
        <f t="shared" si="3"/>
        <v>1</v>
      </c>
      <c r="AB33" s="1807">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14"/>
      <c r="Q34" s="773" t="str">
        <f t="shared" si="11"/>
        <v>项目建筑规模</v>
      </c>
      <c r="R34" s="774" t="s">
        <v>17</v>
      </c>
      <c r="S34" s="775" t="e">
        <f t="shared" si="12"/>
        <v>#N/A</v>
      </c>
      <c r="T34" s="774" t="s">
        <v>17</v>
      </c>
      <c r="U34" s="775" t="e">
        <f t="shared" si="13"/>
        <v>#N/A</v>
      </c>
      <c r="V34" s="774" t="s">
        <v>17</v>
      </c>
      <c r="W34" s="775" t="e">
        <f t="shared" si="14"/>
        <v>#N/A</v>
      </c>
      <c r="X34" s="776"/>
      <c r="Y34" s="3276"/>
      <c r="Z34" s="777" t="str">
        <f t="shared" si="15"/>
        <v>项目建筑规模</v>
      </c>
      <c r="AA34" s="1807" t="e">
        <f t="shared" si="3"/>
        <v>#N/A</v>
      </c>
      <c r="AB34" s="1807"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4"/>
      <c r="Q35" s="1806" t="str">
        <f t="shared" si="11"/>
        <v>建筑结构</v>
      </c>
      <c r="R35" s="771" t="s">
        <v>17</v>
      </c>
      <c r="S35" s="772">
        <f t="shared" si="12"/>
        <v>100</v>
      </c>
      <c r="T35" s="771" t="s">
        <v>17</v>
      </c>
      <c r="U35" s="772">
        <f t="shared" si="13"/>
        <v>100</v>
      </c>
      <c r="V35" s="771" t="s">
        <v>17</v>
      </c>
      <c r="W35" s="772">
        <f t="shared" si="14"/>
        <v>100</v>
      </c>
      <c r="X35" s="1809"/>
      <c r="Y35" s="3276"/>
      <c r="Z35" s="1810" t="str">
        <f t="shared" si="15"/>
        <v>建筑结构</v>
      </c>
      <c r="AA35" s="1807">
        <f t="shared" si="3"/>
        <v>1</v>
      </c>
      <c r="AB35" s="1807">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4"/>
      <c r="Q36" s="1806" t="str">
        <f t="shared" si="11"/>
        <v>公共部分装修</v>
      </c>
      <c r="R36" s="771" t="s">
        <v>17</v>
      </c>
      <c r="S36" s="772">
        <f t="shared" si="12"/>
        <v>100</v>
      </c>
      <c r="T36" s="771" t="s">
        <v>17</v>
      </c>
      <c r="U36" s="772">
        <f t="shared" si="13"/>
        <v>100</v>
      </c>
      <c r="V36" s="771" t="s">
        <v>17</v>
      </c>
      <c r="W36" s="772">
        <f t="shared" si="14"/>
        <v>100</v>
      </c>
      <c r="X36" s="1809"/>
      <c r="Y36" s="3276"/>
      <c r="Z36" s="1810" t="str">
        <f t="shared" si="15"/>
        <v>公共部分装修</v>
      </c>
      <c r="AA36" s="1807">
        <f t="shared" si="3"/>
        <v>1</v>
      </c>
      <c r="AB36" s="1807">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4"/>
      <c r="Q37" s="1806" t="str">
        <f t="shared" si="11"/>
        <v>成新度</v>
      </c>
      <c r="R37" s="771" t="s">
        <v>17</v>
      </c>
      <c r="S37" s="772" t="e">
        <f t="shared" si="12"/>
        <v>#N/A</v>
      </c>
      <c r="T37" s="771" t="s">
        <v>17</v>
      </c>
      <c r="U37" s="772" t="e">
        <f t="shared" si="13"/>
        <v>#N/A</v>
      </c>
      <c r="V37" s="771" t="s">
        <v>17</v>
      </c>
      <c r="W37" s="772" t="e">
        <f t="shared" si="14"/>
        <v>#N/A</v>
      </c>
      <c r="X37" s="1809"/>
      <c r="Y37" s="3276"/>
      <c r="Z37" s="1810" t="str">
        <f t="shared" si="15"/>
        <v>成新度</v>
      </c>
      <c r="AA37" s="1807" t="e">
        <f t="shared" si="3"/>
        <v>#N/A</v>
      </c>
      <c r="AB37" s="1807" t="e">
        <f t="shared" si="4"/>
        <v>#N/A</v>
      </c>
      <c r="AC37" s="2668"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4"/>
      <c r="Q38" s="1791" t="str">
        <f t="shared" si="11"/>
        <v>写字楼等级</v>
      </c>
      <c r="R38" s="767" t="s">
        <v>17</v>
      </c>
      <c r="S38" s="768">
        <f t="shared" si="12"/>
        <v>100</v>
      </c>
      <c r="T38" s="767" t="s">
        <v>17</v>
      </c>
      <c r="U38" s="768">
        <f t="shared" si="13"/>
        <v>100</v>
      </c>
      <c r="V38" s="767" t="s">
        <v>17</v>
      </c>
      <c r="W38" s="768">
        <f t="shared" si="14"/>
        <v>100</v>
      </c>
      <c r="X38" s="769"/>
      <c r="Y38" s="3276"/>
      <c r="Z38" s="55" t="str">
        <f t="shared" si="15"/>
        <v>写字楼等级</v>
      </c>
      <c r="AA38" s="770">
        <f t="shared" si="3"/>
        <v>1</v>
      </c>
      <c r="AB38" s="770">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4" t="s">
        <v>2559</v>
      </c>
      <c r="Q39" s="1806" t="str">
        <f t="shared" si="11"/>
        <v>物业管理</v>
      </c>
      <c r="R39" s="771" t="s">
        <v>17</v>
      </c>
      <c r="S39" s="772">
        <f t="shared" si="12"/>
        <v>100</v>
      </c>
      <c r="T39" s="771" t="s">
        <v>17</v>
      </c>
      <c r="U39" s="772">
        <f t="shared" si="13"/>
        <v>100</v>
      </c>
      <c r="V39" s="771" t="s">
        <v>17</v>
      </c>
      <c r="W39" s="772">
        <f t="shared" si="14"/>
        <v>100</v>
      </c>
      <c r="X39" s="1809"/>
      <c r="Y39" s="3276" t="s">
        <v>2559</v>
      </c>
      <c r="Z39" s="1810" t="str">
        <f t="shared" si="15"/>
        <v>物业管理</v>
      </c>
      <c r="AA39" s="1807">
        <f t="shared" si="3"/>
        <v>1</v>
      </c>
      <c r="AB39" s="1807">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4"/>
      <c r="Q40" s="1806" t="str">
        <f t="shared" si="11"/>
        <v>市政基础设施</v>
      </c>
      <c r="R40" s="771" t="s">
        <v>17</v>
      </c>
      <c r="S40" s="772">
        <f t="shared" si="12"/>
        <v>100</v>
      </c>
      <c r="T40" s="771" t="s">
        <v>17</v>
      </c>
      <c r="U40" s="772">
        <f t="shared" si="13"/>
        <v>100</v>
      </c>
      <c r="V40" s="771" t="s">
        <v>17</v>
      </c>
      <c r="W40" s="772">
        <f t="shared" si="14"/>
        <v>100</v>
      </c>
      <c r="X40" s="1809"/>
      <c r="Y40" s="3276"/>
      <c r="Z40" s="1810" t="str">
        <f t="shared" si="15"/>
        <v>市政基础设施</v>
      </c>
      <c r="AA40" s="1807">
        <f t="shared" si="3"/>
        <v>1</v>
      </c>
      <c r="AB40" s="1807">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4"/>
      <c r="Q41" s="1806" t="str">
        <f t="shared" si="11"/>
        <v>层高</v>
      </c>
      <c r="R41" s="771" t="s">
        <v>17</v>
      </c>
      <c r="S41" s="772">
        <f t="shared" si="12"/>
        <v>100</v>
      </c>
      <c r="T41" s="771" t="s">
        <v>17</v>
      </c>
      <c r="U41" s="772">
        <f t="shared" si="13"/>
        <v>100</v>
      </c>
      <c r="V41" s="771" t="s">
        <v>17</v>
      </c>
      <c r="W41" s="772">
        <f t="shared" si="14"/>
        <v>100</v>
      </c>
      <c r="X41" s="1809"/>
      <c r="Y41" s="3276"/>
      <c r="Z41" s="1810" t="str">
        <f t="shared" si="15"/>
        <v>层高</v>
      </c>
      <c r="AA41" s="1807">
        <f t="shared" si="3"/>
        <v>1</v>
      </c>
      <c r="AB41" s="1807">
        <f t="shared" si="4"/>
        <v>1</v>
      </c>
      <c r="AC41" s="2668">
        <f t="shared" si="5"/>
        <v>1</v>
      </c>
    </row>
    <row r="42" spans="1:29" s="469" customFormat="1" ht="15">
      <c r="A42" s="466"/>
      <c r="B42" s="1808"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4"/>
      <c r="Q42" s="773" t="str">
        <f t="shared" si="11"/>
        <v>单套建筑面积</v>
      </c>
      <c r="R42" s="774" t="s">
        <v>17</v>
      </c>
      <c r="S42" s="775">
        <f t="shared" si="12"/>
        <v>100</v>
      </c>
      <c r="T42" s="774" t="s">
        <v>17</v>
      </c>
      <c r="U42" s="775">
        <f t="shared" si="13"/>
        <v>100</v>
      </c>
      <c r="V42" s="774" t="s">
        <v>17</v>
      </c>
      <c r="W42" s="775">
        <f t="shared" si="14"/>
        <v>100</v>
      </c>
      <c r="X42" s="776"/>
      <c r="Y42" s="3276"/>
      <c r="Z42" s="777" t="str">
        <f t="shared" si="15"/>
        <v>单套建筑面积</v>
      </c>
      <c r="AA42" s="1807">
        <f t="shared" si="3"/>
        <v>1</v>
      </c>
      <c r="AB42" s="1807">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4"/>
      <c r="Q43" s="1806" t="str">
        <f t="shared" si="11"/>
        <v>内部装修</v>
      </c>
      <c r="R43" s="771" t="s">
        <v>17</v>
      </c>
      <c r="S43" s="772">
        <f t="shared" si="12"/>
        <v>100</v>
      </c>
      <c r="T43" s="771" t="s">
        <v>17</v>
      </c>
      <c r="U43" s="772">
        <f t="shared" si="13"/>
        <v>100</v>
      </c>
      <c r="V43" s="771" t="s">
        <v>17</v>
      </c>
      <c r="W43" s="772">
        <f t="shared" si="14"/>
        <v>100</v>
      </c>
      <c r="X43" s="1809"/>
      <c r="Y43" s="3276"/>
      <c r="Z43" s="1810" t="str">
        <f t="shared" si="15"/>
        <v>内部装修</v>
      </c>
      <c r="AA43" s="1807">
        <f t="shared" si="3"/>
        <v>1</v>
      </c>
      <c r="AB43" s="1807">
        <f t="shared" si="4"/>
        <v>1</v>
      </c>
      <c r="AC43" s="2668">
        <f t="shared" si="5"/>
        <v>1</v>
      </c>
    </row>
    <row r="44" spans="1:29" ht="15">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7"/>
      <c r="M44" s="1128"/>
      <c r="N44" s="1128"/>
      <c r="O44" s="1128"/>
      <c r="P44" s="3314"/>
      <c r="Q44" s="1806" t="str">
        <f t="shared" si="11"/>
        <v>内部装修维护情况</v>
      </c>
      <c r="R44" s="771" t="s">
        <v>17</v>
      </c>
      <c r="S44" s="772">
        <f t="shared" si="12"/>
        <v>100</v>
      </c>
      <c r="T44" s="771" t="s">
        <v>17</v>
      </c>
      <c r="U44" s="772">
        <f t="shared" si="13"/>
        <v>100</v>
      </c>
      <c r="V44" s="771" t="s">
        <v>17</v>
      </c>
      <c r="W44" s="772">
        <f t="shared" si="14"/>
        <v>100</v>
      </c>
      <c r="X44" s="1809"/>
      <c r="Y44" s="3276"/>
      <c r="Z44" s="1810" t="str">
        <f t="shared" si="15"/>
        <v>内部装修维护情况</v>
      </c>
      <c r="AA44" s="1807">
        <f t="shared" si="3"/>
        <v>1</v>
      </c>
      <c r="AB44" s="1807">
        <f t="shared" si="4"/>
        <v>1</v>
      </c>
      <c r="AC44" s="2668">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14"/>
      <c r="Q45" s="1791">
        <f t="shared" si="11"/>
        <v>111</v>
      </c>
      <c r="R45" s="767" t="s">
        <v>17</v>
      </c>
      <c r="S45" s="768">
        <f t="shared" si="12"/>
        <v>100</v>
      </c>
      <c r="T45" s="767" t="s">
        <v>17</v>
      </c>
      <c r="U45" s="768">
        <f t="shared" si="13"/>
        <v>100</v>
      </c>
      <c r="V45" s="767" t="s">
        <v>17</v>
      </c>
      <c r="W45" s="768">
        <f t="shared" si="14"/>
        <v>100</v>
      </c>
      <c r="X45" s="769"/>
      <c r="Y45" s="3276"/>
      <c r="Z45" s="55">
        <f t="shared" si="15"/>
        <v>111</v>
      </c>
      <c r="AA45" s="770">
        <f t="shared" si="3"/>
        <v>1</v>
      </c>
      <c r="AB45" s="770">
        <f t="shared" si="4"/>
        <v>1</v>
      </c>
      <c r="AC45" s="266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4"/>
      <c r="Q46" s="1806">
        <f t="shared" si="11"/>
        <v>111</v>
      </c>
      <c r="R46" s="771" t="s">
        <v>17</v>
      </c>
      <c r="S46" s="772">
        <f t="shared" si="12"/>
        <v>100</v>
      </c>
      <c r="T46" s="771" t="s">
        <v>17</v>
      </c>
      <c r="U46" s="772">
        <f t="shared" si="13"/>
        <v>100</v>
      </c>
      <c r="V46" s="771" t="s">
        <v>17</v>
      </c>
      <c r="W46" s="772">
        <f t="shared" si="14"/>
        <v>100</v>
      </c>
      <c r="X46" s="1809"/>
      <c r="Y46" s="3276"/>
      <c r="Z46" s="1810">
        <f t="shared" si="15"/>
        <v>111</v>
      </c>
      <c r="AA46" s="1807">
        <f t="shared" si="3"/>
        <v>1</v>
      </c>
      <c r="AB46" s="1807">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5"/>
      <c r="Q47" s="1806">
        <f t="shared" si="11"/>
        <v>111</v>
      </c>
      <c r="R47" s="771" t="s">
        <v>17</v>
      </c>
      <c r="S47" s="772">
        <f t="shared" si="12"/>
        <v>100</v>
      </c>
      <c r="T47" s="771" t="s">
        <v>17</v>
      </c>
      <c r="U47" s="772">
        <f t="shared" si="13"/>
        <v>100</v>
      </c>
      <c r="V47" s="771" t="s">
        <v>17</v>
      </c>
      <c r="W47" s="772">
        <f t="shared" si="14"/>
        <v>100</v>
      </c>
      <c r="X47" s="1809"/>
      <c r="Y47" s="3316"/>
      <c r="Z47" s="1810">
        <f t="shared" si="15"/>
        <v>111</v>
      </c>
      <c r="AA47" s="1807">
        <f t="shared" si="3"/>
        <v>1</v>
      </c>
      <c r="AB47" s="1807">
        <f t="shared" si="4"/>
        <v>1</v>
      </c>
      <c r="AC47" s="2668">
        <f t="shared" si="5"/>
        <v>1</v>
      </c>
    </row>
    <row r="48" spans="1:29" ht="15">
      <c r="A48" s="477" t="s">
        <v>2571</v>
      </c>
      <c r="B48" s="478"/>
      <c r="C48" s="1404" t="s">
        <v>1</v>
      </c>
      <c r="D48" s="1405"/>
      <c r="E48" s="1406"/>
      <c r="F48" s="1407"/>
      <c r="G48" s="1408"/>
      <c r="H48" s="1409"/>
      <c r="I48" s="1406"/>
      <c r="J48" s="483"/>
      <c r="K48" s="780"/>
      <c r="L48" s="1140"/>
      <c r="M48" s="1128"/>
      <c r="N48" s="1128"/>
      <c r="O48" s="1128"/>
      <c r="P48" s="3282" t="str">
        <f>A48</f>
        <v>成交单价（元/平方米）</v>
      </c>
      <c r="Q48" s="3258"/>
      <c r="R48" s="3312">
        <f>E48</f>
        <v>0</v>
      </c>
      <c r="S48" s="3312"/>
      <c r="T48" s="3312">
        <f>G48</f>
        <v>0</v>
      </c>
      <c r="U48" s="3312"/>
      <c r="V48" s="3312">
        <f>I48</f>
        <v>0</v>
      </c>
      <c r="W48" s="3312"/>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82" t="str">
        <f>A49</f>
        <v>比较价值（元/平方米）</v>
      </c>
      <c r="Q49" s="3258"/>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33" t="str">
        <f>A50</f>
        <v>估价对象XX用房的比较价值（楼面单价，元/平方米）</v>
      </c>
      <c r="Q50" s="3334"/>
      <c r="R50" s="3335" t="e">
        <f>IF(F1="售价",ROUND(AVERAGE(R49:V49),0),ROUND(AVERAGE(R49:V49),1))</f>
        <v>#DIV/0!</v>
      </c>
      <c r="S50" s="3335"/>
      <c r="T50" s="3335"/>
      <c r="U50" s="3335"/>
      <c r="V50" s="3335"/>
      <c r="W50" s="3335"/>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4"/>
    </row>
    <row r="56" spans="1:29" s="500"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5"/>
      <c r="Q58" s="502"/>
    </row>
    <row r="59" spans="1:29" s="506" customFormat="1" ht="15">
      <c r="A59" s="503" t="s">
        <v>2542</v>
      </c>
      <c r="B59" s="504"/>
      <c r="C59" s="1570" t="str">
        <f>YEAR(C7)&amp;"-"&amp;MONTH(C7)</f>
        <v>2019-10</v>
      </c>
      <c r="D59" s="1571">
        <f>EDATE(C59,-1)</f>
        <v>43709</v>
      </c>
      <c r="E59" s="1571">
        <f>EDATE(D59,-1)</f>
        <v>43678</v>
      </c>
      <c r="F59" s="1571">
        <f t="shared" ref="F59:O59" si="16">EDATE(E59,-1)</f>
        <v>43647</v>
      </c>
      <c r="G59" s="1571">
        <f t="shared" si="16"/>
        <v>43617</v>
      </c>
      <c r="H59" s="1571">
        <f t="shared" si="16"/>
        <v>43586</v>
      </c>
      <c r="I59" s="1571">
        <f t="shared" si="16"/>
        <v>43556</v>
      </c>
      <c r="J59" s="1571">
        <f t="shared" si="16"/>
        <v>43525</v>
      </c>
      <c r="K59" s="1571">
        <f t="shared" si="16"/>
        <v>43497</v>
      </c>
      <c r="L59" s="1571">
        <f t="shared" si="16"/>
        <v>43466</v>
      </c>
      <c r="M59" s="1571">
        <f t="shared" si="16"/>
        <v>43435</v>
      </c>
      <c r="N59" s="1571">
        <f t="shared" si="16"/>
        <v>43405</v>
      </c>
      <c r="O59" s="1571">
        <f t="shared" si="16"/>
        <v>43374</v>
      </c>
      <c r="P59" s="1567"/>
    </row>
    <row r="60" spans="1:29" s="117" customFormat="1" ht="15">
      <c r="A60" s="507"/>
      <c r="B60" s="508"/>
      <c r="C60" s="1569">
        <v>100</v>
      </c>
      <c r="D60" s="510"/>
      <c r="E60" s="510"/>
      <c r="F60" s="510"/>
      <c r="G60" s="510"/>
      <c r="H60" s="510"/>
      <c r="I60" s="510"/>
      <c r="J60" s="510"/>
      <c r="K60" s="510"/>
      <c r="L60" s="510"/>
      <c r="M60" s="511"/>
      <c r="N60" s="510"/>
      <c r="O60" s="511"/>
      <c r="P60" s="2676"/>
    </row>
    <row r="61" spans="1:29" s="117" customFormat="1" ht="15.75" thickBot="1">
      <c r="A61" s="513" t="s">
        <v>2579</v>
      </c>
      <c r="B61" s="514"/>
      <c r="C61" s="515"/>
      <c r="D61" s="516"/>
      <c r="E61" s="516"/>
      <c r="F61" s="516"/>
      <c r="G61" s="516"/>
      <c r="H61" s="516"/>
      <c r="I61" s="516"/>
      <c r="J61" s="516"/>
      <c r="K61" s="516"/>
      <c r="L61" s="516"/>
      <c r="M61" s="517"/>
      <c r="N61" s="516"/>
      <c r="O61" s="517"/>
      <c r="P61" s="2676"/>
      <c r="Q61" s="502"/>
    </row>
    <row r="62" spans="1:29" s="117" customFormat="1" ht="15">
      <c r="A62" s="519" t="s">
        <v>2544</v>
      </c>
      <c r="B62" s="508"/>
      <c r="C62" s="520" t="s">
        <v>2646</v>
      </c>
      <c r="D62" s="521"/>
      <c r="E62" s="521"/>
      <c r="F62" s="521"/>
      <c r="G62" s="521"/>
      <c r="H62" s="521"/>
      <c r="I62" s="521"/>
      <c r="J62" s="521"/>
      <c r="K62" s="521"/>
      <c r="L62" s="522"/>
      <c r="M62" s="523"/>
      <c r="N62" s="1148"/>
      <c r="O62" s="1148"/>
      <c r="P62" s="2677"/>
      <c r="Q62" s="502"/>
    </row>
    <row r="63" spans="1:29" s="117" customFormat="1" ht="15.75" thickBot="1">
      <c r="A63" s="519"/>
      <c r="B63" s="508"/>
      <c r="C63" s="509">
        <v>100</v>
      </c>
      <c r="D63" s="510"/>
      <c r="E63" s="510"/>
      <c r="F63" s="510"/>
      <c r="G63" s="510"/>
      <c r="H63" s="510"/>
      <c r="I63" s="510"/>
      <c r="J63" s="510"/>
      <c r="K63" s="510"/>
      <c r="L63" s="510"/>
      <c r="M63" s="512"/>
      <c r="N63" s="1148"/>
      <c r="O63" s="1148"/>
      <c r="P63" s="2676"/>
      <c r="Q63" s="502"/>
    </row>
    <row r="64" spans="1:29">
      <c r="A64" s="525" t="s">
        <v>2582</v>
      </c>
      <c r="B64" s="526" t="s">
        <v>2548</v>
      </c>
      <c r="C64" s="527">
        <f>C9</f>
        <v>0</v>
      </c>
      <c r="D64" s="528"/>
      <c r="E64" s="528"/>
      <c r="F64" s="528"/>
      <c r="G64" s="528"/>
      <c r="H64" s="528"/>
      <c r="I64" s="528"/>
      <c r="J64" s="528"/>
      <c r="K64" s="529"/>
      <c r="L64" s="530"/>
      <c r="M64" s="531"/>
      <c r="N64" s="1149"/>
      <c r="O64" s="1149"/>
      <c r="P64" s="2678"/>
      <c r="Q64" s="502"/>
    </row>
    <row r="65" spans="1:17" ht="15.75" thickBot="1">
      <c r="A65" s="532"/>
      <c r="B65" s="533"/>
      <c r="C65" s="534">
        <v>100</v>
      </c>
      <c r="D65" s="534"/>
      <c r="E65" s="534"/>
      <c r="F65" s="534"/>
      <c r="G65" s="534"/>
      <c r="H65" s="534"/>
      <c r="I65" s="534"/>
      <c r="J65" s="534"/>
      <c r="K65" s="534"/>
      <c r="L65" s="534"/>
      <c r="M65" s="535"/>
      <c r="N65" s="1150"/>
      <c r="O65" s="1150"/>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8"/>
      <c r="Q68" s="502"/>
    </row>
    <row r="69" spans="1:17" ht="15">
      <c r="A69" s="532"/>
      <c r="B69" s="546"/>
      <c r="C69" s="547"/>
      <c r="D69" s="547"/>
      <c r="E69" s="547"/>
      <c r="F69" s="547"/>
      <c r="G69" s="547"/>
      <c r="H69" s="547"/>
      <c r="I69" s="547"/>
      <c r="J69" s="547"/>
      <c r="K69" s="548"/>
      <c r="L69" s="549"/>
      <c r="M69" s="550"/>
      <c r="N69" s="1149"/>
      <c r="O69" s="1149"/>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8"/>
      <c r="Q70" s="502"/>
    </row>
    <row r="71" spans="1:17" s="469" customFormat="1" ht="15.75" thickTop="1">
      <c r="A71" s="551"/>
      <c r="B71" s="536">
        <f>B12</f>
        <v>111</v>
      </c>
      <c r="C71" s="552"/>
      <c r="D71" s="552"/>
      <c r="E71" s="552"/>
      <c r="F71" s="552"/>
      <c r="G71" s="552"/>
      <c r="H71" s="553"/>
      <c r="I71" s="553"/>
      <c r="J71" s="553"/>
      <c r="K71" s="553"/>
      <c r="L71" s="554"/>
      <c r="M71" s="555"/>
      <c r="N71" s="1151"/>
      <c r="O71" s="1151"/>
      <c r="P71" s="2679"/>
      <c r="Q71" s="557"/>
    </row>
    <row r="72" spans="1:17" s="469" customFormat="1" ht="15.75" thickBot="1">
      <c r="A72" s="551"/>
      <c r="B72" s="541"/>
      <c r="C72" s="558"/>
      <c r="D72" s="534"/>
      <c r="E72" s="534"/>
      <c r="F72" s="534"/>
      <c r="G72" s="534"/>
      <c r="H72" s="534"/>
      <c r="I72" s="534"/>
      <c r="J72" s="534"/>
      <c r="K72" s="534"/>
      <c r="L72" s="534"/>
      <c r="M72" s="535"/>
      <c r="N72" s="1150"/>
      <c r="O72" s="1150"/>
      <c r="P72" s="2679"/>
      <c r="Q72" s="557"/>
    </row>
    <row r="73" spans="1:17" s="469" customFormat="1" ht="15.75" thickTop="1">
      <c r="A73" s="551"/>
      <c r="B73" s="536">
        <f>B13</f>
        <v>111</v>
      </c>
      <c r="C73" s="552"/>
      <c r="D73" s="552"/>
      <c r="E73" s="552"/>
      <c r="F73" s="552"/>
      <c r="G73" s="552"/>
      <c r="H73" s="553"/>
      <c r="I73" s="553"/>
      <c r="J73" s="553"/>
      <c r="K73" s="553"/>
      <c r="L73" s="554"/>
      <c r="M73" s="555"/>
      <c r="N73" s="1151"/>
      <c r="O73" s="1151"/>
      <c r="P73" s="2680"/>
      <c r="Q73" s="559"/>
    </row>
    <row r="74" spans="1:17" s="469" customFormat="1" ht="15.75" thickBot="1">
      <c r="A74" s="551"/>
      <c r="B74" s="541"/>
      <c r="C74" s="558"/>
      <c r="D74" s="558"/>
      <c r="E74" s="558"/>
      <c r="F74" s="558"/>
      <c r="G74" s="558"/>
      <c r="H74" s="560"/>
      <c r="I74" s="560"/>
      <c r="J74" s="560"/>
      <c r="K74" s="560"/>
      <c r="L74" s="560"/>
      <c r="M74" s="561"/>
      <c r="N74" s="1151"/>
      <c r="O74" s="1151"/>
      <c r="P74" s="2679"/>
      <c r="Q74" s="557"/>
    </row>
    <row r="75" spans="1:17" s="469" customFormat="1" ht="15.75" thickTop="1">
      <c r="A75" s="551"/>
      <c r="B75" s="544">
        <f>B14</f>
        <v>111</v>
      </c>
      <c r="C75" s="521"/>
      <c r="D75" s="521"/>
      <c r="E75" s="521"/>
      <c r="F75" s="521"/>
      <c r="G75" s="521"/>
      <c r="H75" s="562"/>
      <c r="I75" s="562"/>
      <c r="J75" s="562"/>
      <c r="K75" s="562"/>
      <c r="L75" s="563"/>
      <c r="M75" s="564"/>
      <c r="N75" s="1151"/>
      <c r="O75" s="1151"/>
      <c r="P75" s="2681"/>
      <c r="Q75" s="557"/>
    </row>
    <row r="76" spans="1:17" s="469" customFormat="1" ht="15.75" thickBot="1">
      <c r="A76" s="566"/>
      <c r="B76" s="567"/>
      <c r="C76" s="568"/>
      <c r="D76" s="568"/>
      <c r="E76" s="568"/>
      <c r="F76" s="568"/>
      <c r="G76" s="568"/>
      <c r="H76" s="569"/>
      <c r="I76" s="569"/>
      <c r="J76" s="569"/>
      <c r="K76" s="569"/>
      <c r="L76" s="569"/>
      <c r="M76" s="570"/>
      <c r="N76" s="1151"/>
      <c r="O76" s="1151"/>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8"/>
      <c r="Q86" s="502"/>
    </row>
    <row r="87" spans="1:17" s="117" customFormat="1" ht="27.75" thickTop="1">
      <c r="A87" s="577"/>
      <c r="B87" s="536" t="s">
        <v>2693</v>
      </c>
      <c r="C87" s="552"/>
      <c r="D87" s="552"/>
      <c r="E87" s="552"/>
      <c r="F87" s="552"/>
      <c r="G87" s="552"/>
      <c r="H87" s="552"/>
      <c r="I87" s="552"/>
      <c r="J87" s="552"/>
      <c r="K87" s="552"/>
      <c r="L87" s="578"/>
      <c r="M87" s="579"/>
      <c r="N87" s="1148"/>
      <c r="O87" s="1148"/>
      <c r="P87" s="2678"/>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8"/>
      <c r="Q88" s="502"/>
    </row>
    <row r="89" spans="1:17" s="117" customFormat="1" ht="15.75" thickTop="1">
      <c r="A89" s="577"/>
      <c r="B89" s="536" t="str">
        <f>B27</f>
        <v>楼层</v>
      </c>
      <c r="C89" s="552"/>
      <c r="D89" s="552"/>
      <c r="E89" s="552"/>
      <c r="F89" s="2629"/>
      <c r="G89" s="552"/>
      <c r="H89" s="552"/>
      <c r="I89" s="552"/>
      <c r="J89" s="552"/>
      <c r="K89" s="552"/>
      <c r="L89" s="552"/>
      <c r="M89" s="579"/>
      <c r="N89" s="1148"/>
      <c r="O89" s="1148"/>
      <c r="P89" s="2678"/>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8"/>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9"/>
      <c r="Q92" s="557"/>
    </row>
    <row r="93" spans="1:17" ht="15.75" thickTop="1">
      <c r="A93" s="532"/>
      <c r="B93" s="536">
        <f>B29</f>
        <v>111</v>
      </c>
      <c r="C93" s="552"/>
      <c r="D93" s="552"/>
      <c r="E93" s="552"/>
      <c r="F93" s="552"/>
      <c r="G93" s="552"/>
      <c r="H93" s="552"/>
      <c r="I93" s="552"/>
      <c r="J93" s="552"/>
      <c r="K93" s="552"/>
      <c r="L93" s="578"/>
      <c r="M93" s="579"/>
      <c r="N93" s="1149"/>
      <c r="O93" s="1149"/>
      <c r="P93" s="2678"/>
      <c r="Q93" s="502"/>
    </row>
    <row r="94" spans="1:17" ht="15.75" thickBot="1">
      <c r="A94" s="532"/>
      <c r="B94" s="541"/>
      <c r="C94" s="558"/>
      <c r="D94" s="534"/>
      <c r="E94" s="534"/>
      <c r="F94" s="534"/>
      <c r="G94" s="534"/>
      <c r="H94" s="534"/>
      <c r="I94" s="534"/>
      <c r="J94" s="534"/>
      <c r="K94" s="534"/>
      <c r="L94" s="534"/>
      <c r="M94" s="535"/>
      <c r="N94" s="1150"/>
      <c r="O94" s="1150"/>
      <c r="P94" s="2678"/>
      <c r="Q94" s="502"/>
    </row>
    <row r="95" spans="1:17" ht="15.75" thickTop="1">
      <c r="A95" s="532"/>
      <c r="B95" s="536">
        <f>B30</f>
        <v>111</v>
      </c>
      <c r="C95" s="552"/>
      <c r="D95" s="552"/>
      <c r="E95" s="552"/>
      <c r="F95" s="552"/>
      <c r="G95" s="581"/>
      <c r="H95" s="581"/>
      <c r="I95" s="581"/>
      <c r="J95" s="581"/>
      <c r="K95" s="582"/>
      <c r="L95" s="583"/>
      <c r="M95" s="584"/>
      <c r="N95" s="1149"/>
      <c r="O95" s="1149"/>
      <c r="P95" s="2678"/>
      <c r="Q95" s="502"/>
    </row>
    <row r="96" spans="1:17" ht="15.75" thickBot="1">
      <c r="A96" s="532"/>
      <c r="B96" s="541"/>
      <c r="C96" s="558"/>
      <c r="D96" s="558"/>
      <c r="E96" s="558"/>
      <c r="F96" s="558"/>
      <c r="G96" s="534"/>
      <c r="H96" s="534"/>
      <c r="I96" s="534"/>
      <c r="J96" s="534"/>
      <c r="K96" s="534"/>
      <c r="L96" s="534"/>
      <c r="M96" s="535"/>
      <c r="N96" s="1150"/>
      <c r="O96" s="1150"/>
      <c r="P96" s="2678"/>
      <c r="Q96" s="502"/>
    </row>
    <row r="97" spans="1:17" ht="15.75" thickTop="1">
      <c r="A97" s="532"/>
      <c r="B97" s="536">
        <f>B31</f>
        <v>111</v>
      </c>
      <c r="C97" s="552"/>
      <c r="D97" s="552"/>
      <c r="E97" s="552"/>
      <c r="F97" s="552"/>
      <c r="G97" s="581"/>
      <c r="H97" s="581"/>
      <c r="I97" s="581"/>
      <c r="J97" s="581"/>
      <c r="K97" s="582"/>
      <c r="L97" s="583"/>
      <c r="M97" s="584"/>
      <c r="N97" s="1149"/>
      <c r="O97" s="1149"/>
      <c r="P97" s="2678"/>
      <c r="Q97" s="502"/>
    </row>
    <row r="98" spans="1:17" ht="15.75" thickBot="1">
      <c r="A98" s="532"/>
      <c r="B98" s="541"/>
      <c r="C98" s="558"/>
      <c r="D98" s="534"/>
      <c r="E98" s="534"/>
      <c r="F98" s="534"/>
      <c r="G98" s="534"/>
      <c r="H98" s="534"/>
      <c r="I98" s="534"/>
      <c r="J98" s="534"/>
      <c r="K98" s="534"/>
      <c r="L98" s="534"/>
      <c r="M98" s="535"/>
      <c r="N98" s="1150"/>
      <c r="O98" s="1150"/>
      <c r="P98" s="2678"/>
      <c r="Q98" s="502"/>
    </row>
    <row r="99" spans="1:17" ht="15.75" thickTop="1">
      <c r="A99" s="532"/>
      <c r="B99" s="544">
        <f>B32</f>
        <v>111</v>
      </c>
      <c r="C99" s="521"/>
      <c r="D99" s="521"/>
      <c r="E99" s="521"/>
      <c r="F99" s="521"/>
      <c r="G99" s="585"/>
      <c r="H99" s="585"/>
      <c r="I99" s="585"/>
      <c r="J99" s="585"/>
      <c r="K99" s="586"/>
      <c r="L99" s="587"/>
      <c r="M99" s="588"/>
      <c r="N99" s="1149"/>
      <c r="O99" s="1149"/>
      <c r="P99" s="2678"/>
      <c r="Q99" s="502"/>
    </row>
    <row r="100" spans="1:17" ht="15.75" thickBot="1">
      <c r="A100" s="2630"/>
      <c r="B100" s="567"/>
      <c r="C100" s="568"/>
      <c r="D100" s="568"/>
      <c r="E100" s="568"/>
      <c r="F100" s="568"/>
      <c r="G100" s="589"/>
      <c r="H100" s="589"/>
      <c r="I100" s="589"/>
      <c r="J100" s="589"/>
      <c r="K100" s="589"/>
      <c r="L100" s="589"/>
      <c r="M100" s="590"/>
      <c r="N100" s="1150"/>
      <c r="O100" s="1150"/>
      <c r="P100" s="2678"/>
      <c r="Q100" s="502"/>
    </row>
    <row r="101" spans="1:17">
      <c r="A101" s="525" t="s">
        <v>2557</v>
      </c>
      <c r="B101" s="526" t="s">
        <v>2606</v>
      </c>
      <c r="C101" s="528"/>
      <c r="D101" s="528"/>
      <c r="E101" s="528"/>
      <c r="F101" s="528"/>
      <c r="G101" s="528"/>
      <c r="H101" s="528"/>
      <c r="I101" s="528"/>
      <c r="J101" s="528"/>
      <c r="K101" s="529"/>
      <c r="L101" s="530"/>
      <c r="M101" s="531"/>
      <c r="N101" s="1149"/>
      <c r="O101" s="1149"/>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8"/>
      <c r="Q103" s="502"/>
    </row>
    <row r="104" spans="1:17" s="469" customFormat="1">
      <c r="A104" s="591"/>
      <c r="B104" s="592"/>
      <c r="C104" s="593"/>
      <c r="D104" s="593"/>
      <c r="E104" s="593"/>
      <c r="F104" s="593"/>
      <c r="G104" s="593"/>
      <c r="H104" s="593"/>
      <c r="I104" s="593"/>
      <c r="J104" s="594"/>
      <c r="K104" s="594"/>
      <c r="L104" s="595"/>
      <c r="M104" s="596"/>
      <c r="N104" s="1151"/>
      <c r="O104" s="1151"/>
      <c r="P104" s="2679"/>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9"/>
      <c r="Q105" s="557"/>
    </row>
    <row r="106" spans="1:17" ht="15" thickTop="1">
      <c r="A106" s="597"/>
      <c r="B106" s="536" t="s">
        <v>2608</v>
      </c>
      <c r="C106" s="552"/>
      <c r="D106" s="552"/>
      <c r="E106" s="581"/>
      <c r="F106" s="581"/>
      <c r="G106" s="581"/>
      <c r="H106" s="581"/>
      <c r="I106" s="581"/>
      <c r="J106" s="581"/>
      <c r="K106" s="582"/>
      <c r="L106" s="583"/>
      <c r="M106" s="584"/>
      <c r="N106" s="1149"/>
      <c r="O106" s="1149"/>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8"/>
      <c r="Q107" s="502"/>
    </row>
    <row r="108" spans="1:17" ht="15" thickTop="1">
      <c r="A108" s="597"/>
      <c r="B108" s="536" t="s">
        <v>2610</v>
      </c>
      <c r="C108" s="552"/>
      <c r="D108" s="552"/>
      <c r="E108" s="552"/>
      <c r="F108" s="581"/>
      <c r="G108" s="581"/>
      <c r="H108" s="581"/>
      <c r="I108" s="581"/>
      <c r="J108" s="581"/>
      <c r="K108" s="582"/>
      <c r="L108" s="583"/>
      <c r="M108" s="584"/>
      <c r="N108" s="1149"/>
      <c r="O108" s="1149"/>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8"/>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8"/>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8"/>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9"/>
      <c r="Q114" s="557"/>
    </row>
    <row r="115" spans="1:17" ht="15" thickTop="1">
      <c r="A115" s="597"/>
      <c r="B115" s="536" t="s">
        <v>2611</v>
      </c>
      <c r="C115" s="552"/>
      <c r="D115" s="552"/>
      <c r="E115" s="581"/>
      <c r="F115" s="581"/>
      <c r="G115" s="581"/>
      <c r="H115" s="581"/>
      <c r="I115" s="581"/>
      <c r="J115" s="581"/>
      <c r="K115" s="582"/>
      <c r="L115" s="583"/>
      <c r="M115" s="584"/>
      <c r="N115" s="1149"/>
      <c r="O115" s="1149"/>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8"/>
      <c r="Q116" s="502"/>
    </row>
    <row r="117" spans="1:17" ht="15" thickTop="1">
      <c r="A117" s="597"/>
      <c r="B117" s="536" t="s">
        <v>2612</v>
      </c>
      <c r="C117" s="552"/>
      <c r="D117" s="552"/>
      <c r="E117" s="552"/>
      <c r="F117" s="552"/>
      <c r="G117" s="552"/>
      <c r="H117" s="581"/>
      <c r="I117" s="581"/>
      <c r="J117" s="581"/>
      <c r="K117" s="582"/>
      <c r="L117" s="583"/>
      <c r="M117" s="584"/>
      <c r="N117" s="1149"/>
      <c r="O117" s="1149"/>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8"/>
      <c r="Q118" s="502"/>
    </row>
    <row r="119" spans="1:17" ht="15" thickTop="1">
      <c r="A119" s="597"/>
      <c r="B119" s="634" t="s">
        <v>2695</v>
      </c>
      <c r="C119" s="581"/>
      <c r="D119" s="581"/>
      <c r="E119" s="581"/>
      <c r="F119" s="581"/>
      <c r="G119" s="581"/>
      <c r="H119" s="581"/>
      <c r="I119" s="581"/>
      <c r="J119" s="581"/>
      <c r="K119" s="581"/>
      <c r="L119" s="2683"/>
      <c r="M119" s="2684"/>
      <c r="N119" s="1150"/>
      <c r="O119" s="1150"/>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8"/>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9"/>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9"/>
      <c r="Q122" s="557"/>
    </row>
    <row r="123" spans="1:17" ht="15" thickTop="1">
      <c r="A123" s="597"/>
      <c r="B123" s="536" t="s">
        <v>2614</v>
      </c>
      <c r="C123" s="552"/>
      <c r="D123" s="552"/>
      <c r="E123" s="552"/>
      <c r="F123" s="581"/>
      <c r="G123" s="581"/>
      <c r="H123" s="581"/>
      <c r="I123" s="581"/>
      <c r="J123" s="581"/>
      <c r="K123" s="582"/>
      <c r="L123" s="583"/>
      <c r="M123" s="584"/>
      <c r="N123" s="1149"/>
      <c r="O123" s="1149"/>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8"/>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9"/>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9"/>
      <c r="Q128" s="557"/>
    </row>
    <row r="129" spans="1:17" ht="15" thickTop="1">
      <c r="A129" s="597"/>
      <c r="B129" s="536">
        <f>B46</f>
        <v>111</v>
      </c>
      <c r="C129" s="552"/>
      <c r="D129" s="552"/>
      <c r="E129" s="552"/>
      <c r="F129" s="552"/>
      <c r="G129" s="581"/>
      <c r="H129" s="581"/>
      <c r="I129" s="581"/>
      <c r="J129" s="581"/>
      <c r="K129" s="582"/>
      <c r="L129" s="583"/>
      <c r="M129" s="584"/>
      <c r="N129" s="1149"/>
      <c r="O129" s="1149"/>
      <c r="P129" s="2678"/>
      <c r="Q129" s="502"/>
    </row>
    <row r="130" spans="1:17" ht="15.75" thickBot="1">
      <c r="A130" s="532"/>
      <c r="B130" s="541"/>
      <c r="C130" s="558"/>
      <c r="D130" s="558"/>
      <c r="E130" s="558"/>
      <c r="F130" s="558"/>
      <c r="G130" s="534"/>
      <c r="H130" s="534"/>
      <c r="I130" s="534"/>
      <c r="J130" s="534"/>
      <c r="K130" s="534"/>
      <c r="L130" s="534"/>
      <c r="M130" s="535"/>
      <c r="N130" s="1150"/>
      <c r="O130" s="1150"/>
      <c r="P130" s="2678"/>
      <c r="Q130" s="502"/>
    </row>
    <row r="131" spans="1:17" ht="15" thickTop="1">
      <c r="A131" s="597"/>
      <c r="B131" s="544">
        <f>B47</f>
        <v>111</v>
      </c>
      <c r="C131" s="521"/>
      <c r="D131" s="521"/>
      <c r="E131" s="521"/>
      <c r="F131" s="521"/>
      <c r="G131" s="585"/>
      <c r="H131" s="585"/>
      <c r="I131" s="585"/>
      <c r="J131" s="585"/>
      <c r="K131" s="521"/>
      <c r="L131" s="522"/>
      <c r="M131" s="588"/>
      <c r="N131" s="1149"/>
      <c r="O131" s="1149"/>
      <c r="P131" s="2678"/>
      <c r="Q131" s="502"/>
    </row>
    <row r="132" spans="1:17" ht="15.75" thickBot="1">
      <c r="A132" s="2630"/>
      <c r="B132" s="567"/>
      <c r="C132" s="568"/>
      <c r="D132" s="568"/>
      <c r="E132" s="568"/>
      <c r="F132" s="568"/>
      <c r="G132" s="589"/>
      <c r="H132" s="589"/>
      <c r="I132" s="589"/>
      <c r="J132" s="589"/>
      <c r="K132" s="589"/>
      <c r="L132" s="589"/>
      <c r="M132" s="590"/>
      <c r="N132" s="1150"/>
      <c r="O132" s="1150"/>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3" t="s">
        <v>2696</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80"/>
      <c r="D2" s="1121"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101504.34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ht="15">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7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75" thickBot="1">
      <c r="A7" s="406" t="s">
        <v>2542</v>
      </c>
      <c r="B7" s="407"/>
      <c r="C7" s="408">
        <f>'数据-取费表'!B2</f>
        <v>43756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44"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58"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58"/>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71.25">
      <c r="A15" s="438" t="s">
        <v>2553</v>
      </c>
      <c r="B15" s="69" t="s">
        <v>2697</v>
      </c>
      <c r="C15" s="2687"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73" t="s">
        <v>2554</v>
      </c>
      <c r="Q15" s="1806" t="str">
        <f t="shared" si="6"/>
        <v>产业集聚程度</v>
      </c>
      <c r="R15" s="771" t="s">
        <v>17</v>
      </c>
      <c r="S15" s="772">
        <f t="shared" si="0"/>
        <v>100</v>
      </c>
      <c r="T15" s="771" t="s">
        <v>17</v>
      </c>
      <c r="U15" s="772">
        <f t="shared" si="1"/>
        <v>100</v>
      </c>
      <c r="V15" s="771" t="s">
        <v>17</v>
      </c>
      <c r="W15" s="772">
        <f t="shared" si="2"/>
        <v>100</v>
      </c>
      <c r="X15" s="1809"/>
      <c r="Y15" s="3273" t="s">
        <v>2554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274"/>
      <c r="Q16" s="1806"/>
      <c r="R16" s="771"/>
      <c r="S16" s="772"/>
      <c r="T16" s="771"/>
      <c r="U16" s="772"/>
      <c r="V16" s="771"/>
      <c r="W16" s="772"/>
      <c r="X16" s="1809"/>
      <c r="Y16" s="3274"/>
      <c r="Z16" s="1810"/>
      <c r="AA16" s="1807">
        <v>1</v>
      </c>
      <c r="AB16" s="1807">
        <v>1</v>
      </c>
      <c r="AC16" s="1807">
        <v>1</v>
      </c>
    </row>
    <row r="17" spans="1:29" ht="128.25">
      <c r="A17" s="426"/>
      <c r="B17" s="449" t="s">
        <v>2091</v>
      </c>
      <c r="C17" s="2601"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37"/>
      <c r="M18" s="1128"/>
      <c r="N18" s="1128"/>
      <c r="O18" s="1136"/>
      <c r="P18" s="3274"/>
      <c r="Q18" s="1806"/>
      <c r="R18" s="771"/>
      <c r="S18" s="772"/>
      <c r="T18" s="771"/>
      <c r="U18" s="772"/>
      <c r="V18" s="771"/>
      <c r="W18" s="772"/>
      <c r="X18" s="1809"/>
      <c r="Y18" s="3274"/>
      <c r="Z18" s="1810"/>
      <c r="AA18" s="1807">
        <v>1</v>
      </c>
      <c r="AB18" s="1807">
        <v>1</v>
      </c>
      <c r="AC18" s="1807">
        <v>1</v>
      </c>
    </row>
    <row r="19" spans="1:29" ht="42.75">
      <c r="A19" s="426"/>
      <c r="B19" s="449" t="s">
        <v>2682</v>
      </c>
      <c r="C19" s="2601"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74"/>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37"/>
      <c r="M20" s="1128"/>
      <c r="N20" s="1128"/>
      <c r="O20" s="1136"/>
      <c r="P20" s="3274"/>
      <c r="Q20" s="1806"/>
      <c r="R20" s="771"/>
      <c r="S20" s="772"/>
      <c r="T20" s="771"/>
      <c r="U20" s="772"/>
      <c r="V20" s="771"/>
      <c r="W20" s="772"/>
      <c r="X20" s="1809"/>
      <c r="Y20" s="3274"/>
      <c r="Z20" s="1810"/>
      <c r="AA20" s="1807">
        <v>1</v>
      </c>
      <c r="AB20" s="1807">
        <v>1</v>
      </c>
      <c r="AC20" s="1807">
        <v>1</v>
      </c>
    </row>
    <row r="21" spans="1:29" ht="42.75">
      <c r="A21" s="426"/>
      <c r="B21" s="1381" t="s">
        <v>2683</v>
      </c>
      <c r="C21" s="2601"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74"/>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37"/>
      <c r="M22" s="1128"/>
      <c r="N22" s="1128"/>
      <c r="O22" s="1136"/>
      <c r="P22" s="3274"/>
      <c r="Q22" s="1806"/>
      <c r="R22" s="771"/>
      <c r="S22" s="772"/>
      <c r="T22" s="771"/>
      <c r="U22" s="772"/>
      <c r="V22" s="771"/>
      <c r="W22" s="772"/>
      <c r="X22" s="1809"/>
      <c r="Y22" s="3274"/>
      <c r="Z22" s="1810"/>
      <c r="AA22" s="1807">
        <v>1</v>
      </c>
      <c r="AB22" s="1807">
        <v>1</v>
      </c>
      <c r="AC22" s="1807">
        <v>1</v>
      </c>
    </row>
    <row r="23" spans="1:29" ht="114">
      <c r="A23" s="426"/>
      <c r="B23" s="449" t="s">
        <v>2684</v>
      </c>
      <c r="C23" s="2601"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74"/>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1807">
        <f t="shared" si="5"/>
        <v>1</v>
      </c>
    </row>
    <row r="24" spans="1:29" ht="15">
      <c r="A24" s="426"/>
      <c r="B24" s="1381"/>
      <c r="C24" s="445"/>
      <c r="D24" s="446"/>
      <c r="E24" s="2599"/>
      <c r="F24" s="447"/>
      <c r="G24" s="2598"/>
      <c r="H24" s="446"/>
      <c r="I24" s="2599"/>
      <c r="J24" s="446"/>
      <c r="K24" s="613"/>
      <c r="L24" s="1137"/>
      <c r="M24" s="1128"/>
      <c r="N24" s="1128"/>
      <c r="O24" s="1136"/>
      <c r="P24" s="3274"/>
      <c r="Q24" s="1806"/>
      <c r="R24" s="771"/>
      <c r="S24" s="772"/>
      <c r="T24" s="771"/>
      <c r="U24" s="772"/>
      <c r="V24" s="771"/>
      <c r="W24" s="772"/>
      <c r="X24" s="1809"/>
      <c r="Y24" s="3274"/>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74"/>
      <c r="Q25" s="1806">
        <f>B25</f>
        <v>111</v>
      </c>
      <c r="R25" s="771" t="s">
        <v>17</v>
      </c>
      <c r="S25" s="772">
        <f>F25</f>
        <v>100</v>
      </c>
      <c r="T25" s="771" t="s">
        <v>17</v>
      </c>
      <c r="U25" s="772">
        <f>H25</f>
        <v>100</v>
      </c>
      <c r="V25" s="771" t="s">
        <v>17</v>
      </c>
      <c r="W25" s="772">
        <f>J25</f>
        <v>100</v>
      </c>
      <c r="X25" s="1809"/>
      <c r="Y25" s="3274"/>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74"/>
      <c r="Q26" s="1806">
        <f t="shared" ref="Q26:Q40" si="11">B26</f>
        <v>111</v>
      </c>
      <c r="R26" s="771" t="s">
        <v>17</v>
      </c>
      <c r="S26" s="772">
        <f>F26</f>
        <v>100</v>
      </c>
      <c r="T26" s="771" t="s">
        <v>17</v>
      </c>
      <c r="U26" s="772">
        <f>H26</f>
        <v>100</v>
      </c>
      <c r="V26" s="771" t="s">
        <v>17</v>
      </c>
      <c r="W26" s="772">
        <f>J26</f>
        <v>100</v>
      </c>
      <c r="X26" s="1809"/>
      <c r="Y26" s="3274"/>
      <c r="Z26" s="1810">
        <f>Q26</f>
        <v>111</v>
      </c>
      <c r="AA26" s="1807">
        <f t="shared" si="3"/>
        <v>1</v>
      </c>
      <c r="AB26" s="1807">
        <f t="shared" si="4"/>
        <v>1</v>
      </c>
      <c r="AC26" s="1807">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74"/>
      <c r="Q27" s="1791">
        <f t="shared" si="11"/>
        <v>111</v>
      </c>
      <c r="R27" s="767" t="s">
        <v>17</v>
      </c>
      <c r="S27" s="768">
        <f>F27</f>
        <v>100</v>
      </c>
      <c r="T27" s="767" t="s">
        <v>17</v>
      </c>
      <c r="U27" s="768">
        <f>H27</f>
        <v>100</v>
      </c>
      <c r="V27" s="767" t="s">
        <v>17</v>
      </c>
      <c r="W27" s="768">
        <f>J27</f>
        <v>100</v>
      </c>
      <c r="X27" s="769"/>
      <c r="Y27" s="3274"/>
      <c r="Z27" s="55">
        <f>Q27</f>
        <v>111</v>
      </c>
      <c r="AA27" s="1807">
        <f>D27/F27</f>
        <v>1</v>
      </c>
      <c r="AB27" s="1807">
        <f>D27/H27</f>
        <v>1</v>
      </c>
      <c r="AC27" s="1807">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74"/>
      <c r="Q28" s="1806">
        <f t="shared" si="11"/>
        <v>111</v>
      </c>
      <c r="R28" s="771" t="s">
        <v>17</v>
      </c>
      <c r="S28" s="772">
        <f t="shared" ref="S28:S40" si="12">F28</f>
        <v>100</v>
      </c>
      <c r="T28" s="771" t="s">
        <v>17</v>
      </c>
      <c r="U28" s="772">
        <f t="shared" ref="U28:U40" si="13">H28</f>
        <v>100</v>
      </c>
      <c r="V28" s="771" t="s">
        <v>17</v>
      </c>
      <c r="W28" s="772">
        <f t="shared" ref="W28:W40" si="14">J28</f>
        <v>100</v>
      </c>
      <c r="X28" s="1809"/>
      <c r="Y28" s="3274"/>
      <c r="Z28" s="1810">
        <f t="shared" ref="Z28:Z40" si="15">Q28</f>
        <v>111</v>
      </c>
      <c r="AA28" s="1807">
        <f t="shared" si="3"/>
        <v>1</v>
      </c>
      <c r="AB28" s="1807">
        <f t="shared" si="4"/>
        <v>1</v>
      </c>
      <c r="AC28" s="1807">
        <f t="shared" si="5"/>
        <v>1</v>
      </c>
    </row>
    <row r="29" spans="1:29" ht="28.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7"/>
      <c r="M29" s="1128"/>
      <c r="N29" s="1128"/>
      <c r="O29" s="1136"/>
      <c r="P29" s="3275" t="s">
        <v>2559</v>
      </c>
      <c r="Q29" s="1806" t="str">
        <f t="shared" si="11"/>
        <v>建筑类型</v>
      </c>
      <c r="R29" s="771" t="s">
        <v>17</v>
      </c>
      <c r="S29" s="772">
        <f t="shared" si="12"/>
        <v>100</v>
      </c>
      <c r="T29" s="771" t="s">
        <v>17</v>
      </c>
      <c r="U29" s="772">
        <f t="shared" si="13"/>
        <v>100</v>
      </c>
      <c r="V29" s="771" t="s">
        <v>17</v>
      </c>
      <c r="W29" s="772">
        <f t="shared" si="14"/>
        <v>100</v>
      </c>
      <c r="X29" s="1809"/>
      <c r="Y29" s="3276" t="s">
        <v>2559</v>
      </c>
      <c r="Z29" s="1810" t="str">
        <f t="shared" si="15"/>
        <v>建筑类型</v>
      </c>
      <c r="AA29" s="1807">
        <f t="shared" si="3"/>
        <v>1</v>
      </c>
      <c r="AB29" s="1807">
        <f t="shared" si="4"/>
        <v>1</v>
      </c>
      <c r="AC29" s="1807">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76"/>
      <c r="Q30" s="773" t="str">
        <f t="shared" si="11"/>
        <v>项目建筑规模</v>
      </c>
      <c r="R30" s="774" t="s">
        <v>17</v>
      </c>
      <c r="S30" s="775" t="e">
        <f t="shared" si="12"/>
        <v>#N/A</v>
      </c>
      <c r="T30" s="774" t="s">
        <v>17</v>
      </c>
      <c r="U30" s="775" t="e">
        <f t="shared" si="13"/>
        <v>#N/A</v>
      </c>
      <c r="V30" s="774" t="s">
        <v>17</v>
      </c>
      <c r="W30" s="775" t="e">
        <f t="shared" si="14"/>
        <v>#N/A</v>
      </c>
      <c r="X30" s="776"/>
      <c r="Y30" s="3276"/>
      <c r="Z30" s="777" t="str">
        <f t="shared" si="15"/>
        <v>项目建筑规模</v>
      </c>
      <c r="AA30" s="1807" t="e">
        <f t="shared" si="3"/>
        <v>#N/A</v>
      </c>
      <c r="AB30" s="1807" t="e">
        <f t="shared" si="4"/>
        <v>#N/A</v>
      </c>
      <c r="AC30" s="1807"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76"/>
      <c r="Q31" s="1806" t="str">
        <f t="shared" si="11"/>
        <v>建筑结构</v>
      </c>
      <c r="R31" s="771" t="s">
        <v>17</v>
      </c>
      <c r="S31" s="772">
        <f t="shared" si="12"/>
        <v>100</v>
      </c>
      <c r="T31" s="771" t="s">
        <v>17</v>
      </c>
      <c r="U31" s="772">
        <f t="shared" si="13"/>
        <v>100</v>
      </c>
      <c r="V31" s="771" t="s">
        <v>17</v>
      </c>
      <c r="W31" s="772">
        <f t="shared" si="14"/>
        <v>100</v>
      </c>
      <c r="X31" s="1809"/>
      <c r="Y31" s="3276"/>
      <c r="Z31" s="1810" t="str">
        <f t="shared" si="15"/>
        <v>建筑结构</v>
      </c>
      <c r="AA31" s="1807">
        <f t="shared" si="3"/>
        <v>1</v>
      </c>
      <c r="AB31" s="1807">
        <f t="shared" si="4"/>
        <v>1</v>
      </c>
      <c r="AC31" s="1807">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76"/>
      <c r="Q32" s="1806" t="str">
        <f t="shared" si="11"/>
        <v>公共部分装修</v>
      </c>
      <c r="R32" s="771" t="s">
        <v>17</v>
      </c>
      <c r="S32" s="772">
        <f t="shared" si="12"/>
        <v>100</v>
      </c>
      <c r="T32" s="771" t="s">
        <v>17</v>
      </c>
      <c r="U32" s="772">
        <f t="shared" si="13"/>
        <v>100</v>
      </c>
      <c r="V32" s="771" t="s">
        <v>17</v>
      </c>
      <c r="W32" s="772">
        <f t="shared" si="14"/>
        <v>100</v>
      </c>
      <c r="X32" s="1809"/>
      <c r="Y32" s="3276"/>
      <c r="Z32" s="1810" t="str">
        <f t="shared" si="15"/>
        <v>公共部分装修</v>
      </c>
      <c r="AA32" s="1807">
        <f t="shared" si="3"/>
        <v>1</v>
      </c>
      <c r="AB32" s="1807">
        <f t="shared" si="4"/>
        <v>1</v>
      </c>
      <c r="AC32" s="1807">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76"/>
      <c r="Q33" s="1806" t="str">
        <f t="shared" si="11"/>
        <v>成新度</v>
      </c>
      <c r="R33" s="771" t="s">
        <v>17</v>
      </c>
      <c r="S33" s="772" t="e">
        <f t="shared" si="12"/>
        <v>#N/A</v>
      </c>
      <c r="T33" s="771" t="s">
        <v>17</v>
      </c>
      <c r="U33" s="772" t="e">
        <f t="shared" si="13"/>
        <v>#N/A</v>
      </c>
      <c r="V33" s="771" t="s">
        <v>17</v>
      </c>
      <c r="W33" s="772" t="e">
        <f t="shared" si="14"/>
        <v>#N/A</v>
      </c>
      <c r="X33" s="1809"/>
      <c r="Y33" s="3276"/>
      <c r="Z33" s="1810" t="str">
        <f t="shared" si="15"/>
        <v>成新度</v>
      </c>
      <c r="AA33" s="1807" t="e">
        <f t="shared" si="3"/>
        <v>#N/A</v>
      </c>
      <c r="AB33" s="1807" t="e">
        <f t="shared" si="4"/>
        <v>#N/A</v>
      </c>
      <c r="AC33" s="1807"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76"/>
      <c r="Q34" s="1791" t="str">
        <f t="shared" si="11"/>
        <v>物业管理</v>
      </c>
      <c r="R34" s="767" t="s">
        <v>17</v>
      </c>
      <c r="S34" s="768">
        <f t="shared" si="12"/>
        <v>100</v>
      </c>
      <c r="T34" s="767" t="s">
        <v>17</v>
      </c>
      <c r="U34" s="768">
        <f t="shared" si="13"/>
        <v>100</v>
      </c>
      <c r="V34" s="767" t="s">
        <v>17</v>
      </c>
      <c r="W34" s="768">
        <f t="shared" si="14"/>
        <v>100</v>
      </c>
      <c r="X34" s="769"/>
      <c r="Y34" s="3276"/>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76" t="s">
        <v>2559</v>
      </c>
      <c r="Q35" s="1806" t="str">
        <f t="shared" si="11"/>
        <v>市政基础设施</v>
      </c>
      <c r="R35" s="771" t="s">
        <v>17</v>
      </c>
      <c r="S35" s="772">
        <f t="shared" si="12"/>
        <v>100</v>
      </c>
      <c r="T35" s="771" t="s">
        <v>17</v>
      </c>
      <c r="U35" s="772">
        <f t="shared" si="13"/>
        <v>100</v>
      </c>
      <c r="V35" s="771" t="s">
        <v>17</v>
      </c>
      <c r="W35" s="772">
        <f t="shared" si="14"/>
        <v>100</v>
      </c>
      <c r="X35" s="1809"/>
      <c r="Y35" s="3276" t="s">
        <v>2559</v>
      </c>
      <c r="Z35" s="1810" t="str">
        <f t="shared" si="15"/>
        <v>市政基础设施</v>
      </c>
      <c r="AA35" s="1807">
        <f t="shared" si="3"/>
        <v>1</v>
      </c>
      <c r="AB35" s="1807">
        <f t="shared" si="4"/>
        <v>1</v>
      </c>
      <c r="AC35" s="1807">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76"/>
      <c r="Q36" s="1806" t="str">
        <f t="shared" si="11"/>
        <v>内部装修</v>
      </c>
      <c r="R36" s="771" t="s">
        <v>17</v>
      </c>
      <c r="S36" s="772">
        <f t="shared" si="12"/>
        <v>100</v>
      </c>
      <c r="T36" s="771" t="s">
        <v>17</v>
      </c>
      <c r="U36" s="772">
        <f t="shared" si="13"/>
        <v>100</v>
      </c>
      <c r="V36" s="771" t="s">
        <v>17</v>
      </c>
      <c r="W36" s="772">
        <f t="shared" si="14"/>
        <v>100</v>
      </c>
      <c r="X36" s="1809"/>
      <c r="Y36" s="3276"/>
      <c r="Z36" s="1810" t="str">
        <f t="shared" si="15"/>
        <v>内部装修</v>
      </c>
      <c r="AA36" s="1807">
        <f t="shared" si="3"/>
        <v>1</v>
      </c>
      <c r="AB36" s="1807">
        <f t="shared" si="4"/>
        <v>1</v>
      </c>
      <c r="AC36" s="1807">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76"/>
      <c r="Q37" s="1806" t="str">
        <f t="shared" si="11"/>
        <v>内部装修状况</v>
      </c>
      <c r="R37" s="771" t="s">
        <v>17</v>
      </c>
      <c r="S37" s="772">
        <f t="shared" si="12"/>
        <v>100</v>
      </c>
      <c r="T37" s="771" t="s">
        <v>17</v>
      </c>
      <c r="U37" s="772">
        <f t="shared" si="13"/>
        <v>100</v>
      </c>
      <c r="V37" s="771" t="s">
        <v>17</v>
      </c>
      <c r="W37" s="772">
        <f t="shared" si="14"/>
        <v>100</v>
      </c>
      <c r="X37" s="1809"/>
      <c r="Y37" s="3276"/>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76"/>
      <c r="Q38" s="773">
        <f t="shared" si="11"/>
        <v>111</v>
      </c>
      <c r="R38" s="774" t="s">
        <v>17</v>
      </c>
      <c r="S38" s="775">
        <f t="shared" si="12"/>
        <v>100</v>
      </c>
      <c r="T38" s="774" t="s">
        <v>17</v>
      </c>
      <c r="U38" s="775">
        <f t="shared" si="13"/>
        <v>100</v>
      </c>
      <c r="V38" s="774" t="s">
        <v>17</v>
      </c>
      <c r="W38" s="775">
        <f t="shared" si="14"/>
        <v>100</v>
      </c>
      <c r="X38" s="776"/>
      <c r="Y38" s="3276"/>
      <c r="Z38" s="777">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76"/>
      <c r="Q39" s="1806">
        <f t="shared" si="11"/>
        <v>111</v>
      </c>
      <c r="R39" s="771" t="s">
        <v>17</v>
      </c>
      <c r="S39" s="772">
        <f t="shared" si="12"/>
        <v>100</v>
      </c>
      <c r="T39" s="771" t="s">
        <v>17</v>
      </c>
      <c r="U39" s="772">
        <f t="shared" si="13"/>
        <v>100</v>
      </c>
      <c r="V39" s="771" t="s">
        <v>17</v>
      </c>
      <c r="W39" s="772">
        <f t="shared" si="14"/>
        <v>100</v>
      </c>
      <c r="X39" s="1809"/>
      <c r="Y39" s="3276"/>
      <c r="Z39" s="1810">
        <f t="shared" si="15"/>
        <v>111</v>
      </c>
      <c r="AA39" s="1807">
        <f t="shared" si="3"/>
        <v>1</v>
      </c>
      <c r="AB39" s="1807">
        <f t="shared" si="4"/>
        <v>1</v>
      </c>
      <c r="AC39" s="1807">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16"/>
      <c r="Q40" s="1806">
        <f t="shared" si="11"/>
        <v>111</v>
      </c>
      <c r="R40" s="771" t="s">
        <v>17</v>
      </c>
      <c r="S40" s="772">
        <f t="shared" si="12"/>
        <v>100</v>
      </c>
      <c r="T40" s="771" t="s">
        <v>17</v>
      </c>
      <c r="U40" s="772">
        <f t="shared" si="13"/>
        <v>100</v>
      </c>
      <c r="V40" s="771" t="s">
        <v>17</v>
      </c>
      <c r="W40" s="772">
        <f t="shared" si="14"/>
        <v>100</v>
      </c>
      <c r="X40" s="1809"/>
      <c r="Y40" s="3316"/>
      <c r="Z40" s="1810">
        <f t="shared" si="15"/>
        <v>111</v>
      </c>
      <c r="AA40" s="1807">
        <f t="shared" si="3"/>
        <v>1</v>
      </c>
      <c r="AB40" s="1807">
        <f t="shared" si="4"/>
        <v>1</v>
      </c>
      <c r="AC40" s="1807">
        <f t="shared" si="5"/>
        <v>1</v>
      </c>
    </row>
    <row r="41" spans="1:29" ht="15">
      <c r="A41" s="477" t="s">
        <v>2571</v>
      </c>
      <c r="B41" s="478"/>
      <c r="C41" s="1404" t="s">
        <v>1</v>
      </c>
      <c r="D41" s="1405"/>
      <c r="E41" s="1406"/>
      <c r="F41" s="1407"/>
      <c r="G41" s="1408"/>
      <c r="H41" s="1409"/>
      <c r="I41" s="1406"/>
      <c r="J41" s="1409"/>
      <c r="K41" s="780"/>
      <c r="L41" s="1140"/>
      <c r="M41" s="1141"/>
      <c r="N41" s="1128"/>
      <c r="O41" s="1141"/>
      <c r="P41" s="3258" t="str">
        <f>A41</f>
        <v>成交单价（元/平方米）</v>
      </c>
      <c r="Q41" s="3258"/>
      <c r="R41" s="3312">
        <f>E41</f>
        <v>0</v>
      </c>
      <c r="S41" s="3312"/>
      <c r="T41" s="3312">
        <f>G41</f>
        <v>0</v>
      </c>
      <c r="U41" s="3312"/>
      <c r="V41" s="3312">
        <f>I41</f>
        <v>0</v>
      </c>
      <c r="W41" s="3312"/>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58" t="str">
        <f>A42</f>
        <v>比较价值（元/平方米）</v>
      </c>
      <c r="Q42" s="3258"/>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78" t="str">
        <f>A43</f>
        <v>估价对象XX用房的比较价值（楼面单价，元/平方米）</v>
      </c>
      <c r="Q43" s="3279"/>
      <c r="R43" s="3311" t="e">
        <f>IF(F1="售价",ROUND(AVERAGE(R42:V42),0),ROUND(AVERAGE(R42:V42),1))</f>
        <v>#DIV/0!</v>
      </c>
      <c r="S43" s="3311"/>
      <c r="T43" s="3311"/>
      <c r="U43" s="3311"/>
      <c r="V43" s="3311"/>
      <c r="W43" s="331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2019-10</v>
      </c>
      <c r="D52" s="1571">
        <f>EDATE(C52,-1)</f>
        <v>43709</v>
      </c>
      <c r="E52" s="1571">
        <f t="shared" ref="E52:O52" si="16">EDATE(D52,-1)</f>
        <v>43678</v>
      </c>
      <c r="F52" s="1571">
        <f t="shared" si="16"/>
        <v>43647</v>
      </c>
      <c r="G52" s="1571">
        <f t="shared" si="16"/>
        <v>43617</v>
      </c>
      <c r="H52" s="1571">
        <f t="shared" si="16"/>
        <v>43586</v>
      </c>
      <c r="I52" s="1571">
        <f t="shared" si="16"/>
        <v>43556</v>
      </c>
      <c r="J52" s="1571">
        <f t="shared" si="16"/>
        <v>43525</v>
      </c>
      <c r="K52" s="1571">
        <f t="shared" si="16"/>
        <v>43497</v>
      </c>
      <c r="L52" s="1571">
        <f t="shared" si="16"/>
        <v>43466</v>
      </c>
      <c r="M52" s="1571">
        <f t="shared" si="16"/>
        <v>43435</v>
      </c>
      <c r="N52" s="1571">
        <f t="shared" si="16"/>
        <v>43405</v>
      </c>
      <c r="O52" s="1571">
        <f t="shared" si="16"/>
        <v>43374</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0"/>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0"/>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8"/>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ht="15">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7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75" thickBot="1">
      <c r="A7" s="406" t="s">
        <v>2542</v>
      </c>
      <c r="B7" s="407"/>
      <c r="C7" s="408">
        <f>'数据-取费表'!B2</f>
        <v>43756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44" t="s">
        <v>2543</v>
      </c>
      <c r="Q7" s="3272"/>
      <c r="R7" s="767" t="s">
        <v>17</v>
      </c>
      <c r="S7" s="768">
        <f t="shared" ref="S7:S14" si="0">F7</f>
        <v>0</v>
      </c>
      <c r="T7" s="767" t="s">
        <v>17</v>
      </c>
      <c r="U7" s="768">
        <f t="shared" ref="U7:U14" si="1">H7</f>
        <v>0</v>
      </c>
      <c r="V7" s="767" t="s">
        <v>17</v>
      </c>
      <c r="W7" s="768">
        <f t="shared" ref="W7:W14" si="2">J7</f>
        <v>0</v>
      </c>
      <c r="X7" s="769"/>
      <c r="Y7" s="3244" t="s">
        <v>2543</v>
      </c>
      <c r="Z7" s="3245"/>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58" t="s">
        <v>2549</v>
      </c>
      <c r="Q9" s="1791" t="str">
        <f t="shared" ref="Q9:Q14" si="6">B9</f>
        <v>用途</v>
      </c>
      <c r="R9" s="767" t="s">
        <v>17</v>
      </c>
      <c r="S9" s="768">
        <f t="shared" si="0"/>
        <v>100</v>
      </c>
      <c r="T9" s="767" t="s">
        <v>17</v>
      </c>
      <c r="U9" s="768">
        <f t="shared" si="1"/>
        <v>100</v>
      </c>
      <c r="V9" s="767" t="s">
        <v>17</v>
      </c>
      <c r="W9" s="768">
        <f t="shared" si="2"/>
        <v>100</v>
      </c>
      <c r="X9" s="769"/>
      <c r="Y9" s="3079"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58"/>
      <c r="Q11" s="1791">
        <f t="shared" si="6"/>
        <v>111</v>
      </c>
      <c r="R11" s="767" t="s">
        <v>17</v>
      </c>
      <c r="S11" s="768">
        <f t="shared" si="0"/>
        <v>100</v>
      </c>
      <c r="T11" s="767" t="s">
        <v>17</v>
      </c>
      <c r="U11" s="768">
        <f t="shared" si="1"/>
        <v>100</v>
      </c>
      <c r="V11" s="767" t="s">
        <v>17</v>
      </c>
      <c r="W11" s="768">
        <f t="shared" si="2"/>
        <v>100</v>
      </c>
      <c r="X11" s="769"/>
      <c r="Y11" s="3079"/>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85.5">
      <c r="A14" s="399" t="s">
        <v>2553</v>
      </c>
      <c r="B14" s="627" t="s">
        <v>2703</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73" t="s">
        <v>2554</v>
      </c>
      <c r="Q14" s="1806" t="str">
        <f t="shared" si="6"/>
        <v>交通便捷度</v>
      </c>
      <c r="R14" s="771" t="s">
        <v>17</v>
      </c>
      <c r="S14" s="772">
        <f t="shared" si="0"/>
        <v>100</v>
      </c>
      <c r="T14" s="771" t="s">
        <v>17</v>
      </c>
      <c r="U14" s="772">
        <f t="shared" si="1"/>
        <v>100</v>
      </c>
      <c r="V14" s="771" t="s">
        <v>17</v>
      </c>
      <c r="W14" s="772">
        <f t="shared" si="2"/>
        <v>100</v>
      </c>
      <c r="X14" s="1809"/>
      <c r="Y14" s="3273" t="s">
        <v>2554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274"/>
      <c r="Q15" s="1806"/>
      <c r="R15" s="771"/>
      <c r="S15" s="772"/>
      <c r="T15" s="771"/>
      <c r="U15" s="772"/>
      <c r="V15" s="771"/>
      <c r="W15" s="772"/>
      <c r="X15" s="1809"/>
      <c r="Y15" s="3274"/>
      <c r="Z15" s="1810"/>
      <c r="AA15" s="1807">
        <v>1</v>
      </c>
      <c r="AB15" s="1807">
        <v>1</v>
      </c>
      <c r="AC15" s="1807">
        <v>1</v>
      </c>
    </row>
    <row r="16" spans="1:29" ht="42.75">
      <c r="A16" s="402"/>
      <c r="B16" s="629" t="s">
        <v>2682</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02"/>
      <c r="B17" s="630"/>
      <c r="C17" s="2602"/>
      <c r="D17" s="446"/>
      <c r="E17" s="445"/>
      <c r="F17" s="447"/>
      <c r="G17" s="445"/>
      <c r="H17" s="446"/>
      <c r="I17" s="445"/>
      <c r="J17" s="446"/>
      <c r="K17" s="613"/>
      <c r="L17" s="1137"/>
      <c r="M17" s="1128"/>
      <c r="N17" s="1128"/>
      <c r="O17" s="1128"/>
      <c r="P17" s="3274"/>
      <c r="Q17" s="1806"/>
      <c r="R17" s="771"/>
      <c r="S17" s="772"/>
      <c r="T17" s="771"/>
      <c r="U17" s="772"/>
      <c r="V17" s="771"/>
      <c r="W17" s="772"/>
      <c r="X17" s="1809"/>
      <c r="Y17" s="3274"/>
      <c r="Z17" s="1810"/>
      <c r="AA17" s="1807">
        <v>1</v>
      </c>
      <c r="AB17" s="1807">
        <v>1</v>
      </c>
      <c r="AC17" s="1807">
        <v>1</v>
      </c>
    </row>
    <row r="18" spans="1:29" ht="28.5">
      <c r="A18" s="402"/>
      <c r="B18" s="631" t="s">
        <v>2683</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02"/>
      <c r="B19" s="631"/>
      <c r="C19" s="2602"/>
      <c r="D19" s="448"/>
      <c r="E19" s="2602"/>
      <c r="F19" s="451"/>
      <c r="G19" s="2602"/>
      <c r="H19" s="446"/>
      <c r="I19" s="445"/>
      <c r="J19" s="446"/>
      <c r="K19" s="1380"/>
      <c r="L19" s="1137"/>
      <c r="M19" s="1128"/>
      <c r="N19" s="1128"/>
      <c r="O19" s="1128"/>
      <c r="P19" s="3274"/>
      <c r="Q19" s="1806"/>
      <c r="R19" s="771"/>
      <c r="S19" s="772"/>
      <c r="T19" s="771"/>
      <c r="U19" s="772"/>
      <c r="V19" s="771"/>
      <c r="W19" s="772"/>
      <c r="X19" s="1809"/>
      <c r="Y19" s="3274"/>
      <c r="Z19" s="1810"/>
      <c r="AA19" s="1807">
        <v>1</v>
      </c>
      <c r="AB19" s="1807">
        <v>1</v>
      </c>
      <c r="AC19" s="1807">
        <v>1</v>
      </c>
    </row>
    <row r="20" spans="1:29" ht="57">
      <c r="A20" s="402"/>
      <c r="B20" s="629" t="s">
        <v>2704</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274"/>
      <c r="Q21" s="1806"/>
      <c r="R21" s="771"/>
      <c r="S21" s="772"/>
      <c r="T21" s="771"/>
      <c r="U21" s="772"/>
      <c r="V21" s="771"/>
      <c r="W21" s="772"/>
      <c r="X21" s="1809"/>
      <c r="Y21" s="3274"/>
      <c r="Z21" s="1810"/>
      <c r="AA21" s="1807">
        <v>1</v>
      </c>
      <c r="AB21" s="1807">
        <v>1</v>
      </c>
      <c r="AC21" s="1807">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74"/>
      <c r="Q24" s="1806">
        <f t="shared" ref="Q24:Q36"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28.5">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5" t="s">
        <v>2559</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76" t="s">
        <v>2559</v>
      </c>
      <c r="Z26" s="1810" t="str">
        <f t="shared" ref="Z26:Z36" si="15">Q26</f>
        <v>配套类型</v>
      </c>
      <c r="AA26" s="1807">
        <f t="shared" si="3"/>
        <v>1</v>
      </c>
      <c r="AB26" s="1807">
        <f t="shared" si="4"/>
        <v>1</v>
      </c>
      <c r="AC26" s="1807">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76"/>
      <c r="Q27" s="773" t="str">
        <f t="shared" si="11"/>
        <v>项目停车位配比</v>
      </c>
      <c r="R27" s="774" t="s">
        <v>17</v>
      </c>
      <c r="S27" s="775">
        <f t="shared" si="12"/>
        <v>100</v>
      </c>
      <c r="T27" s="774" t="s">
        <v>17</v>
      </c>
      <c r="U27" s="775">
        <f t="shared" si="13"/>
        <v>100</v>
      </c>
      <c r="V27" s="774" t="s">
        <v>17</v>
      </c>
      <c r="W27" s="775">
        <f t="shared" si="14"/>
        <v>100</v>
      </c>
      <c r="X27" s="776"/>
      <c r="Y27" s="3276"/>
      <c r="Z27" s="777" t="str">
        <f t="shared" si="15"/>
        <v>项目停车位配比</v>
      </c>
      <c r="AA27" s="1807">
        <f t="shared" si="3"/>
        <v>1</v>
      </c>
      <c r="AB27" s="1807">
        <f t="shared" si="4"/>
        <v>1</v>
      </c>
      <c r="AC27" s="1807">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76"/>
      <c r="Q28" s="1806" t="str">
        <f t="shared" si="11"/>
        <v>公共部分装修</v>
      </c>
      <c r="R28" s="771" t="s">
        <v>17</v>
      </c>
      <c r="S28" s="772">
        <f t="shared" si="12"/>
        <v>100</v>
      </c>
      <c r="T28" s="771" t="s">
        <v>17</v>
      </c>
      <c r="U28" s="772">
        <f t="shared" si="13"/>
        <v>100</v>
      </c>
      <c r="V28" s="771" t="s">
        <v>17</v>
      </c>
      <c r="W28" s="772">
        <f t="shared" si="14"/>
        <v>100</v>
      </c>
      <c r="X28" s="1809"/>
      <c r="Y28" s="3276"/>
      <c r="Z28" s="1810" t="str">
        <f t="shared" si="15"/>
        <v>公共部分装修</v>
      </c>
      <c r="AA28" s="1807">
        <f t="shared" si="3"/>
        <v>1</v>
      </c>
      <c r="AB28" s="1807">
        <f t="shared" si="4"/>
        <v>1</v>
      </c>
      <c r="AC28" s="1807">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76"/>
      <c r="Q29" s="1806" t="str">
        <f t="shared" si="11"/>
        <v>成新率</v>
      </c>
      <c r="R29" s="771" t="s">
        <v>17</v>
      </c>
      <c r="S29" s="772" t="e">
        <f t="shared" si="12"/>
        <v>#N/A</v>
      </c>
      <c r="T29" s="771" t="s">
        <v>17</v>
      </c>
      <c r="U29" s="772" t="e">
        <f t="shared" si="13"/>
        <v>#N/A</v>
      </c>
      <c r="V29" s="771" t="s">
        <v>17</v>
      </c>
      <c r="W29" s="772" t="e">
        <f t="shared" si="14"/>
        <v>#N/A</v>
      </c>
      <c r="X29" s="1809"/>
      <c r="Y29" s="3276"/>
      <c r="Z29" s="1810" t="str">
        <f t="shared" si="15"/>
        <v>成新率</v>
      </c>
      <c r="AA29" s="1807" t="e">
        <f t="shared" si="3"/>
        <v>#N/A</v>
      </c>
      <c r="AB29" s="1807" t="e">
        <f t="shared" si="4"/>
        <v>#N/A</v>
      </c>
      <c r="AC29" s="1807"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76"/>
      <c r="Q30" s="1806" t="str">
        <f t="shared" si="11"/>
        <v>物业等级</v>
      </c>
      <c r="R30" s="771" t="s">
        <v>17</v>
      </c>
      <c r="S30" s="772">
        <f t="shared" si="12"/>
        <v>100</v>
      </c>
      <c r="T30" s="771" t="s">
        <v>17</v>
      </c>
      <c r="U30" s="772">
        <f t="shared" si="13"/>
        <v>100</v>
      </c>
      <c r="V30" s="771" t="s">
        <v>17</v>
      </c>
      <c r="W30" s="772">
        <f t="shared" si="14"/>
        <v>100</v>
      </c>
      <c r="X30" s="1809"/>
      <c r="Y30" s="3276"/>
      <c r="Z30" s="1810" t="str">
        <f t="shared" si="15"/>
        <v>物业等级</v>
      </c>
      <c r="AA30" s="1807">
        <f t="shared" si="3"/>
        <v>1</v>
      </c>
      <c r="AB30" s="1807">
        <f t="shared" si="4"/>
        <v>1</v>
      </c>
      <c r="AC30" s="1807">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76"/>
      <c r="Q31" s="1791" t="str">
        <f t="shared" si="11"/>
        <v>停车位面积</v>
      </c>
      <c r="R31" s="767" t="s">
        <v>17</v>
      </c>
      <c r="S31" s="768" t="e">
        <f t="shared" si="12"/>
        <v>#N/A</v>
      </c>
      <c r="T31" s="767" t="s">
        <v>17</v>
      </c>
      <c r="U31" s="768" t="e">
        <f t="shared" si="13"/>
        <v>#N/A</v>
      </c>
      <c r="V31" s="767" t="s">
        <v>17</v>
      </c>
      <c r="W31" s="768" t="e">
        <f t="shared" si="14"/>
        <v>#N/A</v>
      </c>
      <c r="X31" s="769"/>
      <c r="Y31" s="3276"/>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76" t="s">
        <v>2559</v>
      </c>
      <c r="Q32" s="1806" t="str">
        <f t="shared" si="11"/>
        <v>车位类型</v>
      </c>
      <c r="R32" s="771" t="s">
        <v>17</v>
      </c>
      <c r="S32" s="772">
        <f t="shared" si="12"/>
        <v>100</v>
      </c>
      <c r="T32" s="771" t="s">
        <v>17</v>
      </c>
      <c r="U32" s="772">
        <f t="shared" si="13"/>
        <v>100</v>
      </c>
      <c r="V32" s="771" t="s">
        <v>17</v>
      </c>
      <c r="W32" s="772">
        <f t="shared" si="14"/>
        <v>100</v>
      </c>
      <c r="X32" s="1809"/>
      <c r="Y32" s="3276" t="s">
        <v>2559</v>
      </c>
      <c r="Z32" s="1810" t="str">
        <f t="shared" si="15"/>
        <v>车位类型</v>
      </c>
      <c r="AA32" s="1807">
        <f t="shared" si="3"/>
        <v>1</v>
      </c>
      <c r="AB32" s="1807">
        <f t="shared" si="4"/>
        <v>1</v>
      </c>
      <c r="AC32" s="1807">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76"/>
      <c r="Q33" s="1806" t="str">
        <f t="shared" si="11"/>
        <v>是否直接入户</v>
      </c>
      <c r="R33" s="771" t="s">
        <v>17</v>
      </c>
      <c r="S33" s="772">
        <f t="shared" si="12"/>
        <v>100</v>
      </c>
      <c r="T33" s="771" t="s">
        <v>17</v>
      </c>
      <c r="U33" s="772">
        <f t="shared" si="13"/>
        <v>100</v>
      </c>
      <c r="V33" s="771" t="s">
        <v>17</v>
      </c>
      <c r="W33" s="772">
        <f t="shared" si="14"/>
        <v>100</v>
      </c>
      <c r="X33" s="1809"/>
      <c r="Y33" s="3276"/>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76"/>
      <c r="Q35" s="773">
        <f t="shared" si="11"/>
        <v>111</v>
      </c>
      <c r="R35" s="774" t="s">
        <v>17</v>
      </c>
      <c r="S35" s="775">
        <f t="shared" si="12"/>
        <v>100</v>
      </c>
      <c r="T35" s="774" t="s">
        <v>17</v>
      </c>
      <c r="U35" s="775">
        <f t="shared" si="13"/>
        <v>100</v>
      </c>
      <c r="V35" s="774" t="s">
        <v>17</v>
      </c>
      <c r="W35" s="775">
        <f t="shared" si="14"/>
        <v>100</v>
      </c>
      <c r="X35" s="776"/>
      <c r="Y35" s="3276"/>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76"/>
      <c r="Q36" s="1806">
        <f t="shared" si="11"/>
        <v>111</v>
      </c>
      <c r="R36" s="771" t="s">
        <v>17</v>
      </c>
      <c r="S36" s="772">
        <f t="shared" si="12"/>
        <v>100</v>
      </c>
      <c r="T36" s="771" t="s">
        <v>17</v>
      </c>
      <c r="U36" s="772">
        <f t="shared" si="13"/>
        <v>100</v>
      </c>
      <c r="V36" s="771" t="s">
        <v>17</v>
      </c>
      <c r="W36" s="772">
        <f t="shared" si="14"/>
        <v>100</v>
      </c>
      <c r="X36" s="1809"/>
      <c r="Y36" s="3276"/>
      <c r="Z36" s="1810">
        <f t="shared" si="15"/>
        <v>111</v>
      </c>
      <c r="AA36" s="1807">
        <f t="shared" si="3"/>
        <v>1</v>
      </c>
      <c r="AB36" s="1807">
        <f t="shared" si="4"/>
        <v>1</v>
      </c>
      <c r="AC36" s="1807">
        <f t="shared" si="5"/>
        <v>1</v>
      </c>
    </row>
    <row r="37" spans="1:29" ht="15">
      <c r="A37" s="477" t="s">
        <v>2714</v>
      </c>
      <c r="B37" s="2689" t="s">
        <v>2715</v>
      </c>
      <c r="C37" s="1404" t="s">
        <v>1</v>
      </c>
      <c r="D37" s="1405"/>
      <c r="E37" s="1406"/>
      <c r="F37" s="1407"/>
      <c r="G37" s="1408"/>
      <c r="H37" s="1409"/>
      <c r="I37" s="1406"/>
      <c r="J37" s="1409"/>
      <c r="K37" s="617"/>
      <c r="L37" s="1140"/>
      <c r="M37" s="1141"/>
      <c r="N37" s="1128"/>
      <c r="O37" s="1141"/>
      <c r="P37" s="3258" t="str">
        <f>A37</f>
        <v>成交单价</v>
      </c>
      <c r="Q37" s="3258"/>
      <c r="R37" s="3312">
        <f>E37</f>
        <v>0</v>
      </c>
      <c r="S37" s="3312"/>
      <c r="T37" s="3312">
        <f>G37</f>
        <v>0</v>
      </c>
      <c r="U37" s="3312"/>
      <c r="V37" s="3312">
        <f>I37</f>
        <v>0</v>
      </c>
      <c r="W37" s="3312"/>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58" t="str">
        <f>A38</f>
        <v>比较价值（元/平方米）</v>
      </c>
      <c r="Q38" s="3258"/>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78" t="str">
        <f>A39</f>
        <v>估价对象XX用房的比较价值（楼面单价，元/平方米）</v>
      </c>
      <c r="Q39" s="3279"/>
      <c r="R39" s="3311" t="e">
        <f>IF(F1="售价",ROUND(AVERAGE(R38:V38),0),ROUND(AVERAGE(R38:V38),1))</f>
        <v>#DIV/0!</v>
      </c>
      <c r="S39" s="3311"/>
      <c r="T39" s="3311"/>
      <c r="U39" s="3311"/>
      <c r="V39" s="3311"/>
      <c r="W39" s="331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2019-10</v>
      </c>
      <c r="D48" s="1571">
        <f>EDATE(C48,-1)</f>
        <v>43709</v>
      </c>
      <c r="E48" s="1571">
        <f t="shared" ref="E48:O48" si="16">EDATE(D48,-1)</f>
        <v>43678</v>
      </c>
      <c r="F48" s="1571">
        <f t="shared" si="16"/>
        <v>43647</v>
      </c>
      <c r="G48" s="1571">
        <f t="shared" si="16"/>
        <v>43617</v>
      </c>
      <c r="H48" s="1571">
        <f t="shared" si="16"/>
        <v>43586</v>
      </c>
      <c r="I48" s="1571">
        <f t="shared" si="16"/>
        <v>43556</v>
      </c>
      <c r="J48" s="1571">
        <f t="shared" si="16"/>
        <v>43525</v>
      </c>
      <c r="K48" s="1571">
        <f t="shared" si="16"/>
        <v>43497</v>
      </c>
      <c r="L48" s="1571">
        <f t="shared" si="16"/>
        <v>43466</v>
      </c>
      <c r="M48" s="1571">
        <f t="shared" si="16"/>
        <v>43435</v>
      </c>
      <c r="N48" s="1571">
        <f t="shared" si="16"/>
        <v>43405</v>
      </c>
      <c r="O48" s="1571">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ht="15">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7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75" thickBot="1">
      <c r="A7" s="406" t="s">
        <v>2542</v>
      </c>
      <c r="B7" s="407"/>
      <c r="C7" s="408">
        <f>'数据-取费表'!B2</f>
        <v>43756</v>
      </c>
      <c r="D7" s="409">
        <v>100</v>
      </c>
      <c r="E7" s="410"/>
      <c r="F7" s="411">
        <f>SUMIF(46:46,YEAR(E7)&amp;"-"&amp;MONTH(E7),47:47)</f>
        <v>0</v>
      </c>
      <c r="G7" s="2690"/>
      <c r="H7" s="409">
        <f>SUMIF(46:46,YEAR(G7)&amp;"-"&amp;MONTH(G7),47:47)</f>
        <v>0</v>
      </c>
      <c r="I7" s="410"/>
      <c r="J7" s="409">
        <f>SUMIF(46:46,YEAR(I7)&amp;"-"&amp;MONTH(I7),47:47)</f>
        <v>0</v>
      </c>
      <c r="K7" s="609"/>
      <c r="L7" s="1129"/>
      <c r="M7" s="1130"/>
      <c r="N7" s="1130"/>
      <c r="O7" s="1130"/>
      <c r="P7" s="3244" t="s">
        <v>2543</v>
      </c>
      <c r="Q7" s="3272"/>
      <c r="R7" s="767" t="s">
        <v>17</v>
      </c>
      <c r="S7" s="768">
        <f t="shared" ref="S7:S14" si="0">F7</f>
        <v>0</v>
      </c>
      <c r="T7" s="767" t="s">
        <v>17</v>
      </c>
      <c r="U7" s="768">
        <f t="shared" ref="U7:U14" si="1">H7</f>
        <v>0</v>
      </c>
      <c r="V7" s="767" t="s">
        <v>17</v>
      </c>
      <c r="W7" s="768">
        <f t="shared" ref="W7:W14" si="2">J7</f>
        <v>0</v>
      </c>
      <c r="X7" s="769"/>
      <c r="Y7" s="3244" t="s">
        <v>2543</v>
      </c>
      <c r="Z7" s="3245"/>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58" t="s">
        <v>2549</v>
      </c>
      <c r="Q9" s="1791" t="str">
        <f t="shared" ref="Q9:Q14" si="6">B9</f>
        <v>用途</v>
      </c>
      <c r="R9" s="767" t="s">
        <v>17</v>
      </c>
      <c r="S9" s="768">
        <f t="shared" si="0"/>
        <v>100</v>
      </c>
      <c r="T9" s="767" t="s">
        <v>17</v>
      </c>
      <c r="U9" s="768">
        <f t="shared" si="1"/>
        <v>100</v>
      </c>
      <c r="V9" s="767" t="s">
        <v>17</v>
      </c>
      <c r="W9" s="768">
        <f t="shared" si="2"/>
        <v>100</v>
      </c>
      <c r="X9" s="769"/>
      <c r="Y9" s="3079"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58"/>
      <c r="Q11" s="1791">
        <f t="shared" si="6"/>
        <v>111</v>
      </c>
      <c r="R11" s="767" t="s">
        <v>17</v>
      </c>
      <c r="S11" s="768">
        <f t="shared" si="0"/>
        <v>100</v>
      </c>
      <c r="T11" s="767" t="s">
        <v>17</v>
      </c>
      <c r="U11" s="768">
        <f t="shared" si="1"/>
        <v>100</v>
      </c>
      <c r="V11" s="767" t="s">
        <v>17</v>
      </c>
      <c r="W11" s="768">
        <f t="shared" si="2"/>
        <v>100</v>
      </c>
      <c r="X11" s="769"/>
      <c r="Y11" s="3079"/>
      <c r="Z11" s="55">
        <f t="shared" si="7"/>
        <v>111</v>
      </c>
      <c r="AA11" s="770">
        <f t="shared" si="3"/>
        <v>1</v>
      </c>
      <c r="AB11" s="770">
        <f t="shared" si="4"/>
        <v>1</v>
      </c>
      <c r="AC11" s="770">
        <f t="shared" si="5"/>
        <v>1</v>
      </c>
    </row>
    <row r="12" spans="1:29" s="117"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85.5">
      <c r="A14" s="438" t="s">
        <v>2553</v>
      </c>
      <c r="B14" s="69" t="s">
        <v>2703</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73" t="s">
        <v>2554</v>
      </c>
      <c r="Q14" s="1806" t="str">
        <f t="shared" si="6"/>
        <v>交通便捷度</v>
      </c>
      <c r="R14" s="771" t="s">
        <v>17</v>
      </c>
      <c r="S14" s="772">
        <f t="shared" si="0"/>
        <v>100</v>
      </c>
      <c r="T14" s="771" t="s">
        <v>17</v>
      </c>
      <c r="U14" s="772">
        <f t="shared" si="1"/>
        <v>100</v>
      </c>
      <c r="V14" s="771" t="s">
        <v>17</v>
      </c>
      <c r="W14" s="772">
        <f t="shared" si="2"/>
        <v>100</v>
      </c>
      <c r="X14" s="1809"/>
      <c r="Y14" s="3273" t="s">
        <v>2554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274"/>
      <c r="Q15" s="1806"/>
      <c r="R15" s="771"/>
      <c r="S15" s="772"/>
      <c r="T15" s="771"/>
      <c r="U15" s="772"/>
      <c r="V15" s="771"/>
      <c r="W15" s="772"/>
      <c r="X15" s="1809"/>
      <c r="Y15" s="3274"/>
      <c r="Z15" s="1810"/>
      <c r="AA15" s="1807">
        <v>1</v>
      </c>
      <c r="AB15" s="1807">
        <v>1</v>
      </c>
      <c r="AC15" s="1807">
        <v>1</v>
      </c>
    </row>
    <row r="16" spans="1:29" ht="42.75">
      <c r="A16" s="426"/>
      <c r="B16" s="449" t="s">
        <v>2682</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26"/>
      <c r="B17" s="454"/>
      <c r="C17" s="2602"/>
      <c r="D17" s="446"/>
      <c r="E17" s="445"/>
      <c r="F17" s="447"/>
      <c r="G17" s="445"/>
      <c r="H17" s="446"/>
      <c r="I17" s="445"/>
      <c r="J17" s="446"/>
      <c r="K17" s="613"/>
      <c r="L17" s="1137"/>
      <c r="M17" s="1128"/>
      <c r="N17" s="1128"/>
      <c r="O17" s="1136"/>
      <c r="P17" s="3274"/>
      <c r="Q17" s="1806"/>
      <c r="R17" s="771"/>
      <c r="S17" s="772"/>
      <c r="T17" s="771"/>
      <c r="U17" s="772"/>
      <c r="V17" s="771"/>
      <c r="W17" s="772"/>
      <c r="X17" s="1809"/>
      <c r="Y17" s="3274"/>
      <c r="Z17" s="1810"/>
      <c r="AA17" s="1807">
        <v>1</v>
      </c>
      <c r="AB17" s="1807">
        <v>1</v>
      </c>
      <c r="AC17" s="1807">
        <v>1</v>
      </c>
    </row>
    <row r="18" spans="1:29" ht="28.5">
      <c r="A18" s="426"/>
      <c r="B18" s="1381" t="s">
        <v>2683</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26"/>
      <c r="B19" s="1381"/>
      <c r="C19" s="2602"/>
      <c r="D19" s="448"/>
      <c r="E19" s="2602"/>
      <c r="F19" s="451"/>
      <c r="G19" s="2602"/>
      <c r="H19" s="446"/>
      <c r="I19" s="445"/>
      <c r="J19" s="446"/>
      <c r="K19" s="1380"/>
      <c r="L19" s="1137"/>
      <c r="M19" s="1128"/>
      <c r="N19" s="1128"/>
      <c r="O19" s="1136"/>
      <c r="P19" s="3274"/>
      <c r="Q19" s="1806"/>
      <c r="R19" s="771"/>
      <c r="S19" s="772"/>
      <c r="T19" s="771"/>
      <c r="U19" s="772"/>
      <c r="V19" s="771"/>
      <c r="W19" s="772"/>
      <c r="X19" s="1809"/>
      <c r="Y19" s="3274"/>
      <c r="Z19" s="1810"/>
      <c r="AA19" s="1807">
        <v>1</v>
      </c>
      <c r="AB19" s="1807">
        <v>1</v>
      </c>
      <c r="AC19" s="1807">
        <v>1</v>
      </c>
    </row>
    <row r="20" spans="1:29" ht="57">
      <c r="A20" s="426"/>
      <c r="B20" s="449" t="s">
        <v>2704</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274"/>
      <c r="Q21" s="1806"/>
      <c r="R21" s="771"/>
      <c r="S21" s="772"/>
      <c r="T21" s="771"/>
      <c r="U21" s="772"/>
      <c r="V21" s="771"/>
      <c r="W21" s="772"/>
      <c r="X21" s="1809"/>
      <c r="Y21" s="3274"/>
      <c r="Z21" s="1810"/>
      <c r="AA21" s="1807">
        <v>1</v>
      </c>
      <c r="AB21" s="1807">
        <v>1</v>
      </c>
      <c r="AC21" s="1807">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74"/>
      <c r="Q24" s="1806">
        <f t="shared" ref="Q24:Q34"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9"/>
      <c r="M25" s="1130"/>
      <c r="N25" s="1130"/>
      <c r="O25" s="1131"/>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28.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7"/>
      <c r="M26" s="1128"/>
      <c r="N26" s="1128"/>
      <c r="O26" s="1136"/>
      <c r="P26" s="3275" t="s">
        <v>2559</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76" t="s">
        <v>2559</v>
      </c>
      <c r="Z26" s="1810" t="str">
        <f t="shared" ref="Z26:Z34" si="15">Q26</f>
        <v>公共部分装修</v>
      </c>
      <c r="AA26" s="1807">
        <f t="shared" si="3"/>
        <v>1</v>
      </c>
      <c r="AB26" s="1807">
        <f t="shared" si="4"/>
        <v>1</v>
      </c>
      <c r="AC26" s="1807">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76"/>
      <c r="Q27" s="773" t="str">
        <f t="shared" si="11"/>
        <v>成新率</v>
      </c>
      <c r="R27" s="774" t="s">
        <v>17</v>
      </c>
      <c r="S27" s="775" t="e">
        <f t="shared" si="12"/>
        <v>#N/A</v>
      </c>
      <c r="T27" s="774" t="s">
        <v>17</v>
      </c>
      <c r="U27" s="775" t="e">
        <f t="shared" si="13"/>
        <v>#N/A</v>
      </c>
      <c r="V27" s="774" t="s">
        <v>17</v>
      </c>
      <c r="W27" s="775" t="e">
        <f t="shared" si="14"/>
        <v>#N/A</v>
      </c>
      <c r="X27" s="776"/>
      <c r="Y27" s="3276"/>
      <c r="Z27" s="777" t="str">
        <f t="shared" si="15"/>
        <v>成新率</v>
      </c>
      <c r="AA27" s="1807" t="e">
        <f t="shared" si="3"/>
        <v>#N/A</v>
      </c>
      <c r="AB27" s="1807" t="e">
        <f t="shared" si="4"/>
        <v>#N/A</v>
      </c>
      <c r="AC27" s="1807"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76"/>
      <c r="Q28" s="1806" t="str">
        <f t="shared" si="11"/>
        <v>物业等级</v>
      </c>
      <c r="R28" s="771" t="s">
        <v>17</v>
      </c>
      <c r="S28" s="772">
        <f t="shared" si="12"/>
        <v>100</v>
      </c>
      <c r="T28" s="771" t="s">
        <v>17</v>
      </c>
      <c r="U28" s="772">
        <f t="shared" si="13"/>
        <v>100</v>
      </c>
      <c r="V28" s="771" t="s">
        <v>17</v>
      </c>
      <c r="W28" s="772">
        <f t="shared" si="14"/>
        <v>100</v>
      </c>
      <c r="X28" s="1809"/>
      <c r="Y28" s="3276"/>
      <c r="Z28" s="1810" t="str">
        <f t="shared" si="15"/>
        <v>物业等级</v>
      </c>
      <c r="AA28" s="1807">
        <f t="shared" si="3"/>
        <v>1</v>
      </c>
      <c r="AB28" s="1807">
        <f t="shared" si="4"/>
        <v>1</v>
      </c>
      <c r="AC28" s="1807">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76"/>
      <c r="Q29" s="1806" t="str">
        <f t="shared" si="11"/>
        <v>有无电梯</v>
      </c>
      <c r="R29" s="771" t="s">
        <v>17</v>
      </c>
      <c r="S29" s="772">
        <f t="shared" si="12"/>
        <v>100</v>
      </c>
      <c r="T29" s="771" t="s">
        <v>17</v>
      </c>
      <c r="U29" s="772">
        <f t="shared" si="13"/>
        <v>100</v>
      </c>
      <c r="V29" s="771" t="s">
        <v>17</v>
      </c>
      <c r="W29" s="772">
        <f t="shared" si="14"/>
        <v>100</v>
      </c>
      <c r="X29" s="1809"/>
      <c r="Y29" s="3276"/>
      <c r="Z29" s="1810" t="str">
        <f t="shared" si="15"/>
        <v>有无电梯</v>
      </c>
      <c r="AA29" s="1807">
        <f t="shared" si="3"/>
        <v>1</v>
      </c>
      <c r="AB29" s="1807">
        <f t="shared" si="4"/>
        <v>1</v>
      </c>
      <c r="AC29" s="1807">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76"/>
      <c r="Q30" s="1806" t="str">
        <f t="shared" si="11"/>
        <v>建筑面积</v>
      </c>
      <c r="R30" s="771" t="s">
        <v>17</v>
      </c>
      <c r="S30" s="772" t="e">
        <f t="shared" si="12"/>
        <v>#N/A</v>
      </c>
      <c r="T30" s="771" t="s">
        <v>17</v>
      </c>
      <c r="U30" s="772" t="e">
        <f t="shared" si="13"/>
        <v>#N/A</v>
      </c>
      <c r="V30" s="771" t="s">
        <v>17</v>
      </c>
      <c r="W30" s="772" t="e">
        <f t="shared" si="14"/>
        <v>#N/A</v>
      </c>
      <c r="X30" s="1809"/>
      <c r="Y30" s="3276"/>
      <c r="Z30" s="1810" t="str">
        <f t="shared" si="15"/>
        <v>建筑面积</v>
      </c>
      <c r="AA30" s="1807" t="e">
        <f t="shared" si="3"/>
        <v>#N/A</v>
      </c>
      <c r="AB30" s="1807" t="e">
        <f t="shared" si="4"/>
        <v>#N/A</v>
      </c>
      <c r="AC30" s="1807"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76"/>
      <c r="Q31" s="1791" t="str">
        <f t="shared" si="11"/>
        <v>是否封闭</v>
      </c>
      <c r="R31" s="767" t="s">
        <v>17</v>
      </c>
      <c r="S31" s="768">
        <f t="shared" si="12"/>
        <v>100</v>
      </c>
      <c r="T31" s="767" t="s">
        <v>17</v>
      </c>
      <c r="U31" s="768">
        <f t="shared" si="13"/>
        <v>100</v>
      </c>
      <c r="V31" s="767" t="s">
        <v>17</v>
      </c>
      <c r="W31" s="768">
        <f t="shared" si="14"/>
        <v>100</v>
      </c>
      <c r="X31" s="769"/>
      <c r="Y31" s="3276"/>
      <c r="Z31" s="55" t="str">
        <f t="shared" si="15"/>
        <v>是否封闭</v>
      </c>
      <c r="AA31" s="770">
        <f t="shared" si="3"/>
        <v>1</v>
      </c>
      <c r="AB31" s="770">
        <f t="shared" si="4"/>
        <v>1</v>
      </c>
      <c r="AC31" s="770">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76" t="s">
        <v>2559</v>
      </c>
      <c r="Q32" s="1806">
        <f t="shared" si="11"/>
        <v>111</v>
      </c>
      <c r="R32" s="771" t="s">
        <v>17</v>
      </c>
      <c r="S32" s="772">
        <f t="shared" si="12"/>
        <v>100</v>
      </c>
      <c r="T32" s="771" t="s">
        <v>17</v>
      </c>
      <c r="U32" s="772">
        <f t="shared" si="13"/>
        <v>100</v>
      </c>
      <c r="V32" s="771" t="s">
        <v>17</v>
      </c>
      <c r="W32" s="772">
        <f t="shared" si="14"/>
        <v>100</v>
      </c>
      <c r="X32" s="1809"/>
      <c r="Y32" s="3276" t="s">
        <v>2559</v>
      </c>
      <c r="Z32" s="1810">
        <f t="shared" si="15"/>
        <v>111</v>
      </c>
      <c r="AA32" s="1807">
        <f t="shared" si="3"/>
        <v>1</v>
      </c>
      <c r="AB32" s="1807">
        <f t="shared" si="4"/>
        <v>1</v>
      </c>
      <c r="AC32" s="1807">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76"/>
      <c r="Q33" s="1806">
        <f t="shared" si="11"/>
        <v>111</v>
      </c>
      <c r="R33" s="771" t="s">
        <v>17</v>
      </c>
      <c r="S33" s="772">
        <f t="shared" si="12"/>
        <v>100</v>
      </c>
      <c r="T33" s="771" t="s">
        <v>17</v>
      </c>
      <c r="U33" s="772">
        <f t="shared" si="13"/>
        <v>100</v>
      </c>
      <c r="V33" s="771" t="s">
        <v>17</v>
      </c>
      <c r="W33" s="772">
        <f t="shared" si="14"/>
        <v>100</v>
      </c>
      <c r="X33" s="1809"/>
      <c r="Y33" s="3276"/>
      <c r="Z33" s="1810">
        <f t="shared" si="15"/>
        <v>111</v>
      </c>
      <c r="AA33" s="1807">
        <f t="shared" si="3"/>
        <v>1</v>
      </c>
      <c r="AB33" s="1807">
        <f t="shared" si="4"/>
        <v>1</v>
      </c>
      <c r="AC33" s="1807">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7"/>
      <c r="M34" s="1128"/>
      <c r="N34" s="1128"/>
      <c r="O34" s="1136"/>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ht="15">
      <c r="A35" s="477" t="s">
        <v>2571</v>
      </c>
      <c r="B35" s="478"/>
      <c r="C35" s="1404" t="s">
        <v>1</v>
      </c>
      <c r="D35" s="1405"/>
      <c r="E35" s="1406"/>
      <c r="F35" s="1407"/>
      <c r="G35" s="1408"/>
      <c r="H35" s="1409"/>
      <c r="I35" s="1406"/>
      <c r="J35" s="1409"/>
      <c r="K35" s="780"/>
      <c r="L35" s="1140"/>
      <c r="M35" s="1141"/>
      <c r="N35" s="1128"/>
      <c r="O35" s="1141"/>
      <c r="P35" s="3258" t="str">
        <f>A35</f>
        <v>成交单价（元/平方米）</v>
      </c>
      <c r="Q35" s="3258"/>
      <c r="R35" s="3312">
        <f>E35</f>
        <v>0</v>
      </c>
      <c r="S35" s="3312"/>
      <c r="T35" s="3312">
        <f>G35</f>
        <v>0</v>
      </c>
      <c r="U35" s="3312"/>
      <c r="V35" s="3312">
        <f>I35</f>
        <v>0</v>
      </c>
      <c r="W35" s="3312"/>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58" t="str">
        <f>A36</f>
        <v>比较价值（元/平方米）</v>
      </c>
      <c r="Q36" s="3258"/>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78" t="str">
        <f>A37</f>
        <v>估价对象XX用房的比较价值（楼面单价，元/平方米）</v>
      </c>
      <c r="Q37" s="3279"/>
      <c r="R37" s="3311" t="e">
        <f>IF(F1="售价",ROUND(AVERAGE(R36:V36),0),ROUND(AVERAGE(R36:V36),1))</f>
        <v>#DIV/0!</v>
      </c>
      <c r="S37" s="3311"/>
      <c r="T37" s="3311"/>
      <c r="U37" s="3311"/>
      <c r="V37" s="3311"/>
      <c r="W37" s="331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2019-10</v>
      </c>
      <c r="D46" s="1571">
        <f>EDATE(C46,-1)</f>
        <v>43709</v>
      </c>
      <c r="E46" s="1571">
        <f t="shared" ref="E46:O46" si="16">EDATE(D46,-1)</f>
        <v>43678</v>
      </c>
      <c r="F46" s="1571">
        <f t="shared" si="16"/>
        <v>43647</v>
      </c>
      <c r="G46" s="1571">
        <f t="shared" si="16"/>
        <v>43617</v>
      </c>
      <c r="H46" s="1571">
        <f t="shared" si="16"/>
        <v>43586</v>
      </c>
      <c r="I46" s="1571">
        <f t="shared" si="16"/>
        <v>43556</v>
      </c>
      <c r="J46" s="1571">
        <f t="shared" si="16"/>
        <v>43525</v>
      </c>
      <c r="K46" s="1571">
        <f t="shared" si="16"/>
        <v>43497</v>
      </c>
      <c r="L46" s="1571">
        <f t="shared" si="16"/>
        <v>43466</v>
      </c>
      <c r="M46" s="1571">
        <f t="shared" si="16"/>
        <v>43435</v>
      </c>
      <c r="N46" s="1571">
        <f t="shared" si="16"/>
        <v>43405</v>
      </c>
      <c r="O46" s="1571">
        <f t="shared" si="16"/>
        <v>43374</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2788</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ht="15">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75" thickBot="1">
      <c r="A6" s="404"/>
      <c r="B6" s="405"/>
      <c r="C6" s="3336" t="s">
        <v>2789</v>
      </c>
      <c r="D6" s="3337"/>
      <c r="E6" s="3338" t="s">
        <v>2789</v>
      </c>
      <c r="F6" s="3339"/>
      <c r="G6" s="3336" t="s">
        <v>2789</v>
      </c>
      <c r="H6" s="3337"/>
      <c r="I6" s="3336" t="s">
        <v>2789</v>
      </c>
      <c r="J6" s="3337"/>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75" thickBot="1">
      <c r="A7" s="406" t="s">
        <v>2542</v>
      </c>
      <c r="B7" s="407"/>
      <c r="C7" s="408">
        <f>'数据-取费表'!B2</f>
        <v>43756</v>
      </c>
      <c r="D7" s="409">
        <v>100</v>
      </c>
      <c r="E7" s="410"/>
      <c r="F7" s="411">
        <f>SUMIF(65:65,YEAR(E7)&amp;"-"&amp;INT((MONTH(E7)+2)/3),66:66)</f>
        <v>0</v>
      </c>
      <c r="G7" s="2690"/>
      <c r="H7" s="409">
        <f>SUMIF(65:65,YEAR(G7)&amp;"-"&amp;INT((MONTH(G7)+2)/3),66:66)</f>
        <v>0</v>
      </c>
      <c r="I7" s="2690"/>
      <c r="J7" s="409">
        <f>SUMIF(65:65,YEAR(I7)&amp;"-"&amp;INT((MONTH(I7)+2)/3),66:66)</f>
        <v>0</v>
      </c>
      <c r="K7" s="609"/>
      <c r="L7" s="1129"/>
      <c r="M7" s="1130"/>
      <c r="N7" s="1130"/>
      <c r="O7" s="1130"/>
      <c r="P7" s="3244"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40" si="3">D8/F8</f>
        <v>#DIV/0!</v>
      </c>
      <c r="AB8" s="770" t="e">
        <f t="shared" ref="AB8:AB40" si="4">D8/H8</f>
        <v>#DIV/0!</v>
      </c>
      <c r="AC8" s="770" t="e">
        <f t="shared" ref="AC8:AC40" si="5">D8/J8</f>
        <v>#DIV/0!</v>
      </c>
    </row>
    <row r="9" spans="1:29" s="117"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29"/>
      <c r="M9" s="1130"/>
      <c r="N9" s="1130"/>
      <c r="O9" s="1131"/>
      <c r="P9" s="3258"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126</v>
      </c>
      <c r="G10" s="430"/>
      <c r="H10" s="134">
        <f>ROUND(100/'数据-取费表'!G16,0)</f>
        <v>126</v>
      </c>
      <c r="I10" s="430"/>
      <c r="J10" s="134">
        <f>ROUND(100/'数据-取费表'!G16,0)</f>
        <v>126</v>
      </c>
      <c r="K10" s="670"/>
      <c r="L10" s="1132"/>
      <c r="M10" s="1133"/>
      <c r="N10" s="1133"/>
      <c r="O10" s="1134"/>
      <c r="P10" s="3258"/>
      <c r="Q10" s="1791" t="str">
        <f t="shared" si="6"/>
        <v>土地使用年限（年）</v>
      </c>
      <c r="R10" s="767" t="s">
        <v>17</v>
      </c>
      <c r="S10" s="768">
        <f t="shared" si="0"/>
        <v>126</v>
      </c>
      <c r="T10" s="767" t="s">
        <v>17</v>
      </c>
      <c r="U10" s="768">
        <f t="shared" si="1"/>
        <v>126</v>
      </c>
      <c r="V10" s="767" t="s">
        <v>17</v>
      </c>
      <c r="W10" s="768">
        <f t="shared" si="2"/>
        <v>126</v>
      </c>
      <c r="X10" s="769"/>
      <c r="Y10" s="3079"/>
      <c r="Z10" s="55" t="str">
        <f t="shared" si="7"/>
        <v>土地使用年限（年）</v>
      </c>
      <c r="AA10" s="770">
        <f t="shared" si="3"/>
        <v>0.79365079365079361</v>
      </c>
      <c r="AB10" s="770">
        <f t="shared" si="4"/>
        <v>0.79365079365079361</v>
      </c>
      <c r="AC10" s="770">
        <f t="shared" si="5"/>
        <v>0.79365079365079361</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58"/>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71.25">
      <c r="A15" s="438" t="s">
        <v>2553</v>
      </c>
      <c r="B15" s="627" t="s">
        <v>2790</v>
      </c>
      <c r="C15" s="2687"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73" t="s">
        <v>2554</v>
      </c>
      <c r="Q15" s="1806" t="str">
        <f t="shared" si="6"/>
        <v>产业集聚程度</v>
      </c>
      <c r="R15" s="771" t="s">
        <v>17</v>
      </c>
      <c r="S15" s="772">
        <f t="shared" si="0"/>
        <v>100</v>
      </c>
      <c r="T15" s="771" t="s">
        <v>17</v>
      </c>
      <c r="U15" s="772">
        <f t="shared" si="1"/>
        <v>100</v>
      </c>
      <c r="V15" s="771" t="s">
        <v>17</v>
      </c>
      <c r="W15" s="772">
        <f t="shared" si="2"/>
        <v>100</v>
      </c>
      <c r="X15" s="1809"/>
      <c r="Y15" s="3273" t="s">
        <v>2554</v>
      </c>
      <c r="Z15" s="1810" t="str">
        <f t="shared" si="7"/>
        <v>产业集聚程度</v>
      </c>
      <c r="AA15" s="1807">
        <f t="shared" si="3"/>
        <v>1</v>
      </c>
      <c r="AB15" s="1807">
        <f t="shared" si="4"/>
        <v>1</v>
      </c>
      <c r="AC15" s="1807">
        <f t="shared" si="5"/>
        <v>1</v>
      </c>
    </row>
    <row r="16" spans="1:29" ht="15">
      <c r="A16" s="426"/>
      <c r="B16" s="628"/>
      <c r="C16" s="445"/>
      <c r="D16" s="446"/>
      <c r="E16" s="2605"/>
      <c r="F16" s="446"/>
      <c r="G16" s="2605"/>
      <c r="H16" s="448"/>
      <c r="I16" s="2605"/>
      <c r="J16" s="446"/>
      <c r="K16" s="670"/>
      <c r="L16" s="1137"/>
      <c r="M16" s="1128"/>
      <c r="N16" s="1128"/>
      <c r="O16" s="1136"/>
      <c r="P16" s="3274"/>
      <c r="Q16" s="1806"/>
      <c r="R16" s="771"/>
      <c r="S16" s="772"/>
      <c r="T16" s="771"/>
      <c r="U16" s="772"/>
      <c r="V16" s="771"/>
      <c r="W16" s="772"/>
      <c r="X16" s="1809"/>
      <c r="Y16" s="3274"/>
      <c r="Z16" s="1810"/>
      <c r="AA16" s="1807">
        <v>1</v>
      </c>
      <c r="AB16" s="1807">
        <v>1</v>
      </c>
      <c r="AC16" s="1807">
        <v>1</v>
      </c>
    </row>
    <row r="17" spans="1:29" ht="128.25">
      <c r="A17" s="426"/>
      <c r="B17" s="629" t="s">
        <v>2703</v>
      </c>
      <c r="C17" s="2601"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630"/>
      <c r="C18" s="445"/>
      <c r="D18" s="446"/>
      <c r="E18" s="2599"/>
      <c r="F18" s="446"/>
      <c r="G18" s="2599"/>
      <c r="H18" s="446"/>
      <c r="I18" s="2598"/>
      <c r="J18" s="446"/>
      <c r="K18" s="670"/>
      <c r="L18" s="1137"/>
      <c r="M18" s="1128"/>
      <c r="N18" s="1128"/>
      <c r="O18" s="1136"/>
      <c r="P18" s="3274"/>
      <c r="Q18" s="1806"/>
      <c r="R18" s="771"/>
      <c r="S18" s="772"/>
      <c r="T18" s="771"/>
      <c r="U18" s="772"/>
      <c r="V18" s="771"/>
      <c r="W18" s="772"/>
      <c r="X18" s="1809"/>
      <c r="Y18" s="3274"/>
      <c r="Z18" s="1810"/>
      <c r="AA18" s="1807">
        <v>1</v>
      </c>
      <c r="AB18" s="1807">
        <v>1</v>
      </c>
      <c r="AC18" s="1807">
        <v>1</v>
      </c>
    </row>
    <row r="19" spans="1:29" ht="15">
      <c r="A19" s="426"/>
      <c r="B19" s="629" t="s">
        <v>2741</v>
      </c>
      <c r="C19" s="2601"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74"/>
      <c r="Q19" s="1806" t="str">
        <f t="shared" ref="Q19:Q33" si="8">B19</f>
        <v>区域土地利用方向</v>
      </c>
      <c r="R19" s="771" t="s">
        <v>17</v>
      </c>
      <c r="S19" s="772">
        <f>F19</f>
        <v>100</v>
      </c>
      <c r="T19" s="771" t="s">
        <v>17</v>
      </c>
      <c r="U19" s="772">
        <f>H19</f>
        <v>100</v>
      </c>
      <c r="V19" s="771" t="s">
        <v>17</v>
      </c>
      <c r="W19" s="772">
        <f>J19</f>
        <v>100</v>
      </c>
      <c r="X19" s="1809"/>
      <c r="Y19" s="3274"/>
      <c r="Z19" s="1810" t="str">
        <f>Q19</f>
        <v>区域土地利用方向</v>
      </c>
      <c r="AA19" s="1807">
        <f t="shared" si="3"/>
        <v>1</v>
      </c>
      <c r="AB19" s="1807">
        <f t="shared" si="4"/>
        <v>1</v>
      </c>
      <c r="AC19" s="1807">
        <f t="shared" si="5"/>
        <v>1</v>
      </c>
    </row>
    <row r="20" spans="1:29" ht="15">
      <c r="A20" s="402"/>
      <c r="B20" s="630"/>
      <c r="C20" s="445"/>
      <c r="D20" s="446"/>
      <c r="E20" s="2599"/>
      <c r="F20" s="446"/>
      <c r="G20" s="2599"/>
      <c r="H20" s="446"/>
      <c r="I20" s="2599"/>
      <c r="J20" s="446"/>
      <c r="K20" s="809"/>
      <c r="L20" s="1137"/>
      <c r="M20" s="1128"/>
      <c r="N20" s="1128"/>
      <c r="O20" s="1136"/>
      <c r="P20" s="3274"/>
      <c r="Q20" s="1806"/>
      <c r="R20" s="771"/>
      <c r="S20" s="772"/>
      <c r="T20" s="771"/>
      <c r="U20" s="772"/>
      <c r="V20" s="771"/>
      <c r="W20" s="772"/>
      <c r="X20" s="1809"/>
      <c r="Y20" s="3274"/>
      <c r="Z20" s="1810"/>
      <c r="AA20" s="1807"/>
      <c r="AB20" s="1807"/>
      <c r="AC20" s="1807"/>
    </row>
    <row r="21" spans="1:29" ht="114">
      <c r="A21" s="402"/>
      <c r="B21" s="629" t="s">
        <v>2791</v>
      </c>
      <c r="C21" s="2601"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74"/>
      <c r="Q21" s="1806" t="str">
        <f t="shared" si="8"/>
        <v>环境状况</v>
      </c>
      <c r="R21" s="771" t="s">
        <v>17</v>
      </c>
      <c r="S21" s="772">
        <f>F21</f>
        <v>100</v>
      </c>
      <c r="T21" s="771" t="s">
        <v>17</v>
      </c>
      <c r="U21" s="772">
        <f>H21</f>
        <v>100</v>
      </c>
      <c r="V21" s="771" t="s">
        <v>17</v>
      </c>
      <c r="W21" s="772">
        <f>J21</f>
        <v>100</v>
      </c>
      <c r="X21" s="1809"/>
      <c r="Y21" s="3274"/>
      <c r="Z21" s="1810" t="str">
        <f>Q21</f>
        <v>环境状况</v>
      </c>
      <c r="AA21" s="1807">
        <f t="shared" si="3"/>
        <v>1</v>
      </c>
      <c r="AB21" s="1807">
        <f t="shared" si="4"/>
        <v>1</v>
      </c>
      <c r="AC21" s="1807">
        <f t="shared" si="5"/>
        <v>1</v>
      </c>
    </row>
    <row r="22" spans="1:29" ht="15">
      <c r="A22" s="402"/>
      <c r="B22" s="630"/>
      <c r="C22" s="445"/>
      <c r="D22" s="446"/>
      <c r="E22" s="2605"/>
      <c r="F22" s="446"/>
      <c r="G22" s="2605"/>
      <c r="H22" s="446"/>
      <c r="I22" s="445"/>
      <c r="J22" s="446"/>
      <c r="K22" s="670"/>
      <c r="L22" s="1137"/>
      <c r="M22" s="1128"/>
      <c r="N22" s="1128"/>
      <c r="O22" s="1136"/>
      <c r="P22" s="3274"/>
      <c r="Q22" s="1806"/>
      <c r="R22" s="771"/>
      <c r="S22" s="772"/>
      <c r="T22" s="771"/>
      <c r="U22" s="772"/>
      <c r="V22" s="771"/>
      <c r="W22" s="772"/>
      <c r="X22" s="1809"/>
      <c r="Y22" s="3274"/>
      <c r="Z22" s="1810"/>
      <c r="AA22" s="1807">
        <v>1</v>
      </c>
      <c r="AB22" s="1807">
        <v>1</v>
      </c>
      <c r="AC22" s="1807">
        <v>1</v>
      </c>
    </row>
    <row r="23" spans="1:29" s="117" customFormat="1" ht="42.75">
      <c r="A23" s="647"/>
      <c r="B23" s="631" t="s">
        <v>2648</v>
      </c>
      <c r="C23" s="2601"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74"/>
      <c r="Q23" s="1791" t="str">
        <f t="shared" si="8"/>
        <v>公共配套设施</v>
      </c>
      <c r="R23" s="767" t="s">
        <v>17</v>
      </c>
      <c r="S23" s="768">
        <f>F23</f>
        <v>100</v>
      </c>
      <c r="T23" s="767" t="s">
        <v>17</v>
      </c>
      <c r="U23" s="768">
        <f>H23</f>
        <v>100</v>
      </c>
      <c r="V23" s="767" t="s">
        <v>17</v>
      </c>
      <c r="W23" s="768">
        <f>J23</f>
        <v>100</v>
      </c>
      <c r="X23" s="769"/>
      <c r="Y23" s="3274"/>
      <c r="Z23" s="55" t="str">
        <f>Q23</f>
        <v>公共配套设施</v>
      </c>
      <c r="AA23" s="1807">
        <f>D23/F23</f>
        <v>1</v>
      </c>
      <c r="AB23" s="1807">
        <f>D23/H23</f>
        <v>1</v>
      </c>
      <c r="AC23" s="1807">
        <f>D23/J23</f>
        <v>1</v>
      </c>
    </row>
    <row r="24" spans="1:29" s="117" customFormat="1" ht="15">
      <c r="A24" s="647"/>
      <c r="B24" s="630"/>
      <c r="C24" s="2694"/>
      <c r="D24" s="446"/>
      <c r="E24" s="2605"/>
      <c r="F24" s="446"/>
      <c r="G24" s="2605"/>
      <c r="H24" s="446"/>
      <c r="I24" s="445"/>
      <c r="J24" s="446"/>
      <c r="K24" s="670"/>
      <c r="L24" s="1129"/>
      <c r="M24" s="1130"/>
      <c r="N24" s="1130"/>
      <c r="O24" s="1131"/>
      <c r="P24" s="3274"/>
      <c r="Q24" s="1791"/>
      <c r="R24" s="767"/>
      <c r="S24" s="768"/>
      <c r="T24" s="767"/>
      <c r="U24" s="768"/>
      <c r="V24" s="767"/>
      <c r="W24" s="768"/>
      <c r="X24" s="769"/>
      <c r="Y24" s="3274"/>
      <c r="Z24" s="55"/>
      <c r="AA24" s="770">
        <v>1</v>
      </c>
      <c r="AB24" s="770">
        <v>1</v>
      </c>
      <c r="AC24" s="770">
        <v>1</v>
      </c>
    </row>
    <row r="25" spans="1:29" s="117" customFormat="1" ht="42.75">
      <c r="A25" s="647"/>
      <c r="B25" s="631" t="s">
        <v>2649</v>
      </c>
      <c r="C25" s="2601"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74"/>
      <c r="Q25" s="1791" t="str">
        <f t="shared" ref="Q25" si="9">B25</f>
        <v>基础设施水平</v>
      </c>
      <c r="R25" s="767" t="s">
        <v>17</v>
      </c>
      <c r="S25" s="768">
        <f>F25</f>
        <v>100</v>
      </c>
      <c r="T25" s="767" t="s">
        <v>17</v>
      </c>
      <c r="U25" s="768">
        <f>H25</f>
        <v>100</v>
      </c>
      <c r="V25" s="767" t="s">
        <v>17</v>
      </c>
      <c r="W25" s="768">
        <f>J25</f>
        <v>100</v>
      </c>
      <c r="X25" s="769"/>
      <c r="Y25" s="3274"/>
      <c r="Z25" s="55" t="str">
        <f>Q25</f>
        <v>基础设施水平</v>
      </c>
      <c r="AA25" s="1807">
        <f>D25/F25</f>
        <v>1</v>
      </c>
      <c r="AB25" s="1807">
        <f>D25/H25</f>
        <v>1</v>
      </c>
      <c r="AC25" s="1807">
        <f>D25/J25</f>
        <v>1</v>
      </c>
    </row>
    <row r="26" spans="1:29" s="117" customFormat="1" ht="15">
      <c r="A26" s="647"/>
      <c r="B26" s="630"/>
      <c r="C26" s="2694"/>
      <c r="D26" s="446"/>
      <c r="E26" s="2695"/>
      <c r="F26" s="446"/>
      <c r="G26" s="2695"/>
      <c r="H26" s="446"/>
      <c r="I26" s="2695"/>
      <c r="J26" s="446"/>
      <c r="K26" s="670"/>
      <c r="L26" s="1129"/>
      <c r="M26" s="1130"/>
      <c r="N26" s="1130"/>
      <c r="O26" s="1131"/>
      <c r="P26" s="3274"/>
      <c r="Q26" s="1791"/>
      <c r="R26" s="767"/>
      <c r="S26" s="768"/>
      <c r="T26" s="767"/>
      <c r="U26" s="768"/>
      <c r="V26" s="767"/>
      <c r="W26" s="768"/>
      <c r="X26" s="769"/>
      <c r="Y26" s="3274"/>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74"/>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74"/>
      <c r="Z27" s="1810" t="str">
        <f t="shared" ref="Z27:Z40" si="13">Q27</f>
        <v>临街状况</v>
      </c>
      <c r="AA27" s="1807">
        <f t="shared" si="3"/>
        <v>1</v>
      </c>
      <c r="AB27" s="1807">
        <f t="shared" si="4"/>
        <v>1</v>
      </c>
      <c r="AC27" s="1807">
        <f t="shared" si="5"/>
        <v>1</v>
      </c>
    </row>
    <row r="28" spans="1:29" ht="28.5">
      <c r="A28" s="426"/>
      <c r="B28" s="631" t="s">
        <v>2685</v>
      </c>
      <c r="C28" s="2707"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74"/>
      <c r="Q28" s="1806" t="str">
        <f t="shared" si="8"/>
        <v>毗邻道路的类型与等级</v>
      </c>
      <c r="R28" s="771" t="s">
        <v>17</v>
      </c>
      <c r="S28" s="772">
        <f t="shared" si="10"/>
        <v>100</v>
      </c>
      <c r="T28" s="771" t="s">
        <v>17</v>
      </c>
      <c r="U28" s="772">
        <f t="shared" si="11"/>
        <v>100</v>
      </c>
      <c r="V28" s="771" t="s">
        <v>17</v>
      </c>
      <c r="W28" s="772">
        <f t="shared" si="12"/>
        <v>100</v>
      </c>
      <c r="X28" s="1809"/>
      <c r="Y28" s="3274"/>
      <c r="Z28" s="1810" t="str">
        <f t="shared" si="13"/>
        <v>毗邻道路的类型与等级</v>
      </c>
      <c r="AA28" s="1807">
        <f t="shared" si="3"/>
        <v>1</v>
      </c>
      <c r="AB28" s="1807">
        <f t="shared" si="4"/>
        <v>1</v>
      </c>
      <c r="AC28" s="1807">
        <f t="shared" si="5"/>
        <v>1</v>
      </c>
    </row>
    <row r="29" spans="1:29" ht="15">
      <c r="A29" s="426"/>
      <c r="B29" s="630"/>
      <c r="C29" s="445"/>
      <c r="D29" s="446"/>
      <c r="E29" s="2605"/>
      <c r="F29" s="446"/>
      <c r="G29" s="2605"/>
      <c r="H29" s="446"/>
      <c r="I29" s="2605"/>
      <c r="J29" s="446"/>
      <c r="K29" s="611"/>
      <c r="L29" s="1137"/>
      <c r="M29" s="1128"/>
      <c r="N29" s="1128"/>
      <c r="O29" s="1136"/>
      <c r="P29" s="3274"/>
      <c r="Q29" s="1806"/>
      <c r="R29" s="771"/>
      <c r="S29" s="772"/>
      <c r="T29" s="771"/>
      <c r="U29" s="772"/>
      <c r="V29" s="771"/>
      <c r="W29" s="772"/>
      <c r="X29" s="1809"/>
      <c r="Y29" s="3274"/>
      <c r="Z29" s="1810"/>
      <c r="AA29" s="1807">
        <v>1</v>
      </c>
      <c r="AB29" s="1807">
        <v>1</v>
      </c>
      <c r="AC29" s="1807">
        <v>1</v>
      </c>
    </row>
    <row r="30" spans="1:29" ht="15">
      <c r="A30" s="426"/>
      <c r="B30" s="652" t="s">
        <v>2743</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74"/>
      <c r="Q30" s="1806" t="str">
        <f t="shared" si="8"/>
        <v>土地级别</v>
      </c>
      <c r="R30" s="771" t="s">
        <v>17</v>
      </c>
      <c r="S30" s="772">
        <f t="shared" si="10"/>
        <v>100</v>
      </c>
      <c r="T30" s="771" t="s">
        <v>17</v>
      </c>
      <c r="U30" s="772">
        <f t="shared" si="11"/>
        <v>100</v>
      </c>
      <c r="V30" s="771" t="s">
        <v>17</v>
      </c>
      <c r="W30" s="772">
        <f t="shared" si="12"/>
        <v>100</v>
      </c>
      <c r="X30" s="1809"/>
      <c r="Y30" s="3274"/>
      <c r="Z30" s="1810" t="str">
        <f t="shared" si="13"/>
        <v>土地级别</v>
      </c>
      <c r="AA30" s="1807">
        <f t="shared" si="3"/>
        <v>1</v>
      </c>
      <c r="AB30" s="1807">
        <f t="shared" si="4"/>
        <v>1</v>
      </c>
      <c r="AC30" s="1807">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74"/>
      <c r="Q31" s="1806">
        <f t="shared" si="8"/>
        <v>111</v>
      </c>
      <c r="R31" s="771" t="s">
        <v>17</v>
      </c>
      <c r="S31" s="772">
        <f t="shared" si="10"/>
        <v>100</v>
      </c>
      <c r="T31" s="771" t="s">
        <v>17</v>
      </c>
      <c r="U31" s="772">
        <f t="shared" si="11"/>
        <v>100</v>
      </c>
      <c r="V31" s="771" t="s">
        <v>17</v>
      </c>
      <c r="W31" s="772">
        <f t="shared" si="12"/>
        <v>100</v>
      </c>
      <c r="X31" s="1809"/>
      <c r="Y31" s="3274"/>
      <c r="Z31" s="1810">
        <f t="shared" si="13"/>
        <v>111</v>
      </c>
      <c r="AA31" s="1807">
        <f t="shared" si="3"/>
        <v>1</v>
      </c>
      <c r="AB31" s="1807">
        <f t="shared" si="4"/>
        <v>1</v>
      </c>
      <c r="AC31" s="1807">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5" t="s">
        <v>2559</v>
      </c>
      <c r="Q32" s="1806">
        <f t="shared" si="8"/>
        <v>111</v>
      </c>
      <c r="R32" s="771" t="s">
        <v>17</v>
      </c>
      <c r="S32" s="772">
        <f t="shared" si="10"/>
        <v>100</v>
      </c>
      <c r="T32" s="771" t="s">
        <v>17</v>
      </c>
      <c r="U32" s="772">
        <f t="shared" si="11"/>
        <v>100</v>
      </c>
      <c r="V32" s="771" t="s">
        <v>17</v>
      </c>
      <c r="W32" s="772">
        <f t="shared" si="12"/>
        <v>100</v>
      </c>
      <c r="X32" s="1809"/>
      <c r="Y32" s="3276" t="s">
        <v>2559</v>
      </c>
      <c r="Z32" s="1810">
        <f t="shared" si="13"/>
        <v>111</v>
      </c>
      <c r="AA32" s="1807">
        <f t="shared" si="3"/>
        <v>1</v>
      </c>
      <c r="AB32" s="1807">
        <f t="shared" si="4"/>
        <v>1</v>
      </c>
      <c r="AC32" s="1807">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76"/>
      <c r="Q33" s="1806">
        <f t="shared" si="8"/>
        <v>111</v>
      </c>
      <c r="R33" s="774" t="s">
        <v>17</v>
      </c>
      <c r="S33" s="775">
        <f t="shared" si="10"/>
        <v>100</v>
      </c>
      <c r="T33" s="774" t="s">
        <v>17</v>
      </c>
      <c r="U33" s="775">
        <f t="shared" si="11"/>
        <v>100</v>
      </c>
      <c r="V33" s="774" t="s">
        <v>17</v>
      </c>
      <c r="W33" s="775">
        <f t="shared" si="12"/>
        <v>100</v>
      </c>
      <c r="X33" s="776"/>
      <c r="Y33" s="3276"/>
      <c r="Z33" s="777">
        <f t="shared" si="13"/>
        <v>111</v>
      </c>
      <c r="AA33" s="1807">
        <f t="shared" si="3"/>
        <v>1</v>
      </c>
      <c r="AB33" s="1807">
        <f t="shared" si="4"/>
        <v>1</v>
      </c>
      <c r="AC33" s="1807">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76"/>
      <c r="Q34" s="1806" t="str">
        <f>B34</f>
        <v>宗地面积</v>
      </c>
      <c r="R34" s="771" t="s">
        <v>17</v>
      </c>
      <c r="S34" s="772" t="e">
        <f t="shared" si="10"/>
        <v>#N/A</v>
      </c>
      <c r="T34" s="771" t="s">
        <v>17</v>
      </c>
      <c r="U34" s="772" t="e">
        <f t="shared" si="11"/>
        <v>#N/A</v>
      </c>
      <c r="V34" s="771" t="s">
        <v>17</v>
      </c>
      <c r="W34" s="772" t="e">
        <f t="shared" si="12"/>
        <v>#N/A</v>
      </c>
      <c r="X34" s="1809"/>
      <c r="Y34" s="3276"/>
      <c r="Z34" s="1810" t="str">
        <f t="shared" si="13"/>
        <v>宗地面积</v>
      </c>
      <c r="AA34" s="1807" t="e">
        <f t="shared" si="3"/>
        <v>#N/A</v>
      </c>
      <c r="AB34" s="1807" t="e">
        <f t="shared" si="4"/>
        <v>#N/A</v>
      </c>
      <c r="AC34" s="1807"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7"/>
      <c r="M35" s="1128"/>
      <c r="N35" s="1128"/>
      <c r="O35" s="1136"/>
      <c r="P35" s="3276"/>
      <c r="Q35" s="1806" t="str">
        <f t="shared" ref="Q35:Q40" si="14">B35</f>
        <v>宗地形状</v>
      </c>
      <c r="R35" s="771" t="s">
        <v>17</v>
      </c>
      <c r="S35" s="772">
        <f t="shared" si="10"/>
        <v>100</v>
      </c>
      <c r="T35" s="771" t="s">
        <v>17</v>
      </c>
      <c r="U35" s="772">
        <f t="shared" si="11"/>
        <v>100</v>
      </c>
      <c r="V35" s="771" t="s">
        <v>17</v>
      </c>
      <c r="W35" s="772">
        <f t="shared" si="12"/>
        <v>100</v>
      </c>
      <c r="X35" s="1809"/>
      <c r="Y35" s="3276"/>
      <c r="Z35" s="1810" t="str">
        <f t="shared" si="13"/>
        <v>宗地形状</v>
      </c>
      <c r="AA35" s="1807">
        <f t="shared" si="3"/>
        <v>1</v>
      </c>
      <c r="AB35" s="1807">
        <f t="shared" si="4"/>
        <v>1</v>
      </c>
      <c r="AC35" s="1807">
        <f t="shared" si="5"/>
        <v>1</v>
      </c>
    </row>
    <row r="36" spans="1:29" s="117"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29"/>
      <c r="M36" s="1130"/>
      <c r="N36" s="1130"/>
      <c r="O36" s="1131"/>
      <c r="P36" s="3276"/>
      <c r="Q36" s="1806" t="str">
        <f t="shared" si="14"/>
        <v>宗地开发程度</v>
      </c>
      <c r="R36" s="767" t="s">
        <v>17</v>
      </c>
      <c r="S36" s="768">
        <f t="shared" si="10"/>
        <v>100</v>
      </c>
      <c r="T36" s="767" t="s">
        <v>17</v>
      </c>
      <c r="U36" s="768">
        <f t="shared" si="11"/>
        <v>100</v>
      </c>
      <c r="V36" s="767" t="s">
        <v>17</v>
      </c>
      <c r="W36" s="768">
        <f t="shared" si="12"/>
        <v>100</v>
      </c>
      <c r="X36" s="769"/>
      <c r="Y36" s="3276"/>
      <c r="Z36" s="55" t="str">
        <f t="shared" si="13"/>
        <v>宗地开发程度</v>
      </c>
      <c r="AA36" s="770">
        <f t="shared" si="3"/>
        <v>1</v>
      </c>
      <c r="AB36" s="770">
        <f t="shared" si="4"/>
        <v>1</v>
      </c>
      <c r="AC36" s="770">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7"/>
      <c r="M37" s="1128"/>
      <c r="N37" s="1128"/>
      <c r="O37" s="1136"/>
      <c r="P37" s="3276" t="s">
        <v>2559</v>
      </c>
      <c r="Q37" s="1806" t="str">
        <f t="shared" si="14"/>
        <v>工程地质条件</v>
      </c>
      <c r="R37" s="771" t="s">
        <v>17</v>
      </c>
      <c r="S37" s="772">
        <f t="shared" si="10"/>
        <v>100</v>
      </c>
      <c r="T37" s="771" t="s">
        <v>17</v>
      </c>
      <c r="U37" s="772">
        <f t="shared" si="11"/>
        <v>100</v>
      </c>
      <c r="V37" s="771" t="s">
        <v>17</v>
      </c>
      <c r="W37" s="772">
        <f t="shared" si="12"/>
        <v>100</v>
      </c>
      <c r="X37" s="1809"/>
      <c r="Y37" s="3276" t="s">
        <v>2559</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76"/>
      <c r="Q38" s="1806">
        <f t="shared" si="14"/>
        <v>111</v>
      </c>
      <c r="R38" s="771" t="s">
        <v>17</v>
      </c>
      <c r="S38" s="772">
        <f t="shared" si="10"/>
        <v>100</v>
      </c>
      <c r="T38" s="771" t="s">
        <v>17</v>
      </c>
      <c r="U38" s="772">
        <f t="shared" si="11"/>
        <v>100</v>
      </c>
      <c r="V38" s="771" t="s">
        <v>17</v>
      </c>
      <c r="W38" s="772">
        <f t="shared" si="12"/>
        <v>100</v>
      </c>
      <c r="X38" s="1809"/>
      <c r="Y38" s="3276"/>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76"/>
      <c r="Q39" s="1806">
        <f t="shared" si="14"/>
        <v>111</v>
      </c>
      <c r="R39" s="771" t="s">
        <v>17</v>
      </c>
      <c r="S39" s="772">
        <f t="shared" si="10"/>
        <v>100</v>
      </c>
      <c r="T39" s="771" t="s">
        <v>17</v>
      </c>
      <c r="U39" s="772">
        <f t="shared" si="11"/>
        <v>100</v>
      </c>
      <c r="V39" s="771" t="s">
        <v>17</v>
      </c>
      <c r="W39" s="772">
        <f t="shared" si="12"/>
        <v>100</v>
      </c>
      <c r="X39" s="1809"/>
      <c r="Y39" s="3276"/>
      <c r="Z39" s="1810">
        <f t="shared" si="13"/>
        <v>111</v>
      </c>
      <c r="AA39" s="1807">
        <f t="shared" si="3"/>
        <v>1</v>
      </c>
      <c r="AB39" s="1807">
        <f t="shared" si="4"/>
        <v>1</v>
      </c>
      <c r="AC39" s="1807">
        <f t="shared" si="5"/>
        <v>1</v>
      </c>
    </row>
    <row r="40" spans="1:29" s="469" customFormat="1" ht="15.75" thickBot="1">
      <c r="A40" s="466"/>
      <c r="B40" s="1384">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76"/>
      <c r="Q40" s="1806">
        <f t="shared" si="14"/>
        <v>111</v>
      </c>
      <c r="R40" s="774" t="s">
        <v>17</v>
      </c>
      <c r="S40" s="775">
        <f t="shared" si="10"/>
        <v>100</v>
      </c>
      <c r="T40" s="774" t="s">
        <v>17</v>
      </c>
      <c r="U40" s="775">
        <f t="shared" si="11"/>
        <v>100</v>
      </c>
      <c r="V40" s="774" t="s">
        <v>17</v>
      </c>
      <c r="W40" s="775">
        <f t="shared" si="12"/>
        <v>100</v>
      </c>
      <c r="X40" s="776"/>
      <c r="Y40" s="3276"/>
      <c r="Z40" s="777">
        <f t="shared" si="13"/>
        <v>111</v>
      </c>
      <c r="AA40" s="1807">
        <f t="shared" si="3"/>
        <v>1</v>
      </c>
      <c r="AB40" s="1807">
        <f t="shared" si="4"/>
        <v>1</v>
      </c>
      <c r="AC40" s="1807">
        <f t="shared" si="5"/>
        <v>1</v>
      </c>
    </row>
    <row r="41" spans="1:29" ht="15">
      <c r="A41" s="477" t="s">
        <v>2714</v>
      </c>
      <c r="B41" s="2698" t="s">
        <v>2792</v>
      </c>
      <c r="C41" s="680" t="s">
        <v>1</v>
      </c>
      <c r="D41" s="479"/>
      <c r="E41" s="480"/>
      <c r="F41" s="481"/>
      <c r="G41" s="482"/>
      <c r="H41" s="483"/>
      <c r="I41" s="480"/>
      <c r="J41" s="483"/>
      <c r="K41" s="780"/>
      <c r="L41" s="1140"/>
      <c r="M41" s="1128"/>
      <c r="N41" s="1128"/>
      <c r="O41" s="1141"/>
      <c r="P41" s="3258" t="str">
        <f>A41</f>
        <v>成交单价</v>
      </c>
      <c r="Q41" s="3258"/>
      <c r="R41" s="3271">
        <f>E41</f>
        <v>0</v>
      </c>
      <c r="S41" s="3271"/>
      <c r="T41" s="3271">
        <f>G41</f>
        <v>0</v>
      </c>
      <c r="U41" s="3271"/>
      <c r="V41" s="3271">
        <f>I41</f>
        <v>0</v>
      </c>
      <c r="W41" s="3271"/>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58" t="str">
        <f>A42</f>
        <v>比较价值（元/平方米）</v>
      </c>
      <c r="Q42" s="3258"/>
      <c r="R42" s="3277" t="e">
        <f>ROUND(PRODUCT(R41,AA7:AA40),0)</f>
        <v>#DIV/0!</v>
      </c>
      <c r="S42" s="3277"/>
      <c r="T42" s="3277" t="e">
        <f>ROUND(PRODUCT(T41,AB7:AB40),0)</f>
        <v>#DIV/0!</v>
      </c>
      <c r="U42" s="3277"/>
      <c r="V42" s="3277" t="e">
        <f>ROUND(PRODUCT(V41,AC7:AC40),0)</f>
        <v>#DIV/0!</v>
      </c>
      <c r="W42" s="3277"/>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78" t="str">
        <f>A43</f>
        <v>估价对象XX用房的比较价值（楼面单价，元/平方米）</v>
      </c>
      <c r="Q43" s="3279"/>
      <c r="R43" s="3280" t="e">
        <f>ROUND(AVERAGE(R42:V42),0)</f>
        <v>#DIV/0!</v>
      </c>
      <c r="S43" s="3280"/>
      <c r="T43" s="3280"/>
      <c r="U43" s="3280"/>
      <c r="V43" s="3280"/>
      <c r="W43" s="3280"/>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2751</v>
      </c>
      <c r="B50" s="683" t="s">
        <v>2752</v>
      </c>
      <c r="C50" s="2699" t="s">
        <v>2753</v>
      </c>
      <c r="D50" s="2700" t="s">
        <v>2754</v>
      </c>
      <c r="E50" s="684" t="s">
        <v>2755</v>
      </c>
      <c r="F50" s="685" t="s">
        <v>2756</v>
      </c>
      <c r="G50" s="3259" t="s">
        <v>2757</v>
      </c>
      <c r="H50" s="3281"/>
      <c r="I50" s="1810" t="s">
        <v>2793</v>
      </c>
      <c r="J50" s="1810">
        <f>项目基本情况!F35</f>
        <v>0</v>
      </c>
      <c r="K50" s="2702" t="s">
        <v>2759</v>
      </c>
      <c r="L50" s="1103"/>
      <c r="M50" s="1141"/>
      <c r="N50" s="1141"/>
      <c r="O50" s="1141"/>
    </row>
    <row r="51" spans="1:17" s="690" customFormat="1">
      <c r="A51" s="686" t="s">
        <v>2760</v>
      </c>
      <c r="B51" s="687" t="e">
        <f>C43</f>
        <v>#DIV/0!</v>
      </c>
      <c r="C51" s="688">
        <v>1</v>
      </c>
      <c r="D51" s="1160">
        <v>1</v>
      </c>
      <c r="E51" s="688">
        <f>'数据-汇总表'!E8+'数据-汇总表'!E9</f>
        <v>60856.65</v>
      </c>
      <c r="F51" s="689" t="e">
        <f t="shared" ref="F51:F60" si="15">ROUND(B51*E51/10000,0)</f>
        <v>#DIV/0!</v>
      </c>
      <c r="G51" s="3282"/>
      <c r="H51" s="3258"/>
      <c r="I51" s="939">
        <v>1</v>
      </c>
      <c r="J51" s="939">
        <v>1</v>
      </c>
      <c r="K51" s="1142"/>
      <c r="L51" s="938"/>
      <c r="M51" s="938"/>
      <c r="N51" s="938"/>
      <c r="O51" s="938"/>
    </row>
    <row r="52" spans="1:17" s="690" customFormat="1">
      <c r="A52" s="691" t="s">
        <v>2761</v>
      </c>
      <c r="B52" s="260" t="e">
        <f>ROUND($C$43*C52*D52,0)</f>
        <v>#DIV/0!</v>
      </c>
      <c r="C52" s="198">
        <f t="shared" ref="C52:C60" si="16">IF($C$50="北京市系数",I52,J52)</f>
        <v>0.7</v>
      </c>
      <c r="D52" s="1161">
        <v>0.25</v>
      </c>
      <c r="E52" s="692"/>
      <c r="F52" s="689" t="e">
        <f t="shared" si="15"/>
        <v>#DIV/0!</v>
      </c>
      <c r="G52" s="3283" t="s">
        <v>2762</v>
      </c>
      <c r="H52" s="1101" t="str">
        <f>项目基本情况!B37</f>
        <v>七级</v>
      </c>
      <c r="I52" s="939">
        <f>SUMIF(修正!A45:A56,H52,修正!B45:B56)</f>
        <v>0.7</v>
      </c>
      <c r="J52" s="940"/>
      <c r="K52" s="1141"/>
      <c r="L52" s="938"/>
      <c r="M52" s="938"/>
      <c r="N52" s="938"/>
      <c r="O52" s="938"/>
    </row>
    <row r="53" spans="1:17" s="690" customFormat="1">
      <c r="A53" s="691" t="s">
        <v>2763</v>
      </c>
      <c r="B53" s="260" t="e">
        <f t="shared" ref="B53:B60" si="17">ROUND($C$43*C53*D53,0)</f>
        <v>#DIV/0!</v>
      </c>
      <c r="C53" s="198">
        <f t="shared" si="16"/>
        <v>0.4</v>
      </c>
      <c r="D53" s="1161">
        <v>0.25</v>
      </c>
      <c r="E53" s="692"/>
      <c r="F53" s="689" t="e">
        <f t="shared" si="15"/>
        <v>#DIV/0!</v>
      </c>
      <c r="G53" s="3283"/>
      <c r="H53" s="1101" t="str">
        <f>项目基本情况!B37</f>
        <v>七级</v>
      </c>
      <c r="I53" s="939">
        <f>SUMIF(修正!A45:A56,H53,修正!C45:C56)</f>
        <v>0.4</v>
      </c>
      <c r="J53" s="940"/>
      <c r="K53" s="1142"/>
      <c r="L53" s="938"/>
      <c r="M53" s="938"/>
      <c r="N53" s="938"/>
      <c r="O53" s="938"/>
    </row>
    <row r="54" spans="1:17" s="690" customFormat="1">
      <c r="A54" s="691" t="s">
        <v>2764</v>
      </c>
      <c r="B54" s="260" t="e">
        <f t="shared" si="17"/>
        <v>#DIV/0!</v>
      </c>
      <c r="C54" s="198">
        <f t="shared" si="16"/>
        <v>0.28000000000000003</v>
      </c>
      <c r="D54" s="1161">
        <v>0.25</v>
      </c>
      <c r="E54" s="692"/>
      <c r="F54" s="689" t="e">
        <f t="shared" si="15"/>
        <v>#DIV/0!</v>
      </c>
      <c r="G54" s="3283"/>
      <c r="H54" s="1101" t="str">
        <f>项目基本情况!B37</f>
        <v>七级</v>
      </c>
      <c r="I54" s="939">
        <f>SUMIF(修正!A45:A56,H54,修正!D45:D56)</f>
        <v>0.28000000000000003</v>
      </c>
      <c r="J54" s="940"/>
      <c r="K54" s="1141"/>
      <c r="L54" s="938"/>
      <c r="M54" s="938"/>
      <c r="N54" s="938"/>
      <c r="O54" s="938"/>
    </row>
    <row r="55" spans="1:17" s="690" customFormat="1">
      <c r="A55" s="691" t="s">
        <v>2765</v>
      </c>
      <c r="B55" s="260" t="e">
        <f t="shared" si="17"/>
        <v>#DIV/0!</v>
      </c>
      <c r="C55" s="198">
        <f t="shared" si="16"/>
        <v>0.25</v>
      </c>
      <c r="D55" s="1161">
        <v>0.25</v>
      </c>
      <c r="E55" s="692"/>
      <c r="F55" s="689" t="e">
        <f t="shared" si="15"/>
        <v>#DIV/0!</v>
      </c>
      <c r="G55" s="3283"/>
      <c r="H55" s="1101" t="str">
        <f>项目基本情况!B37</f>
        <v>七级</v>
      </c>
      <c r="I55" s="939">
        <f>SUMIF(修正!A45:A56,H55,修正!E45:E56)</f>
        <v>0.25</v>
      </c>
      <c r="J55" s="940"/>
      <c r="K55" s="1142"/>
      <c r="L55" s="938"/>
      <c r="M55" s="938"/>
      <c r="N55" s="938"/>
      <c r="O55" s="938"/>
    </row>
    <row r="56" spans="1:17" s="690" customFormat="1">
      <c r="A56" s="691" t="s">
        <v>2766</v>
      </c>
      <c r="B56" s="260" t="e">
        <f t="shared" si="17"/>
        <v>#DIV/0!</v>
      </c>
      <c r="C56" s="198">
        <f t="shared" si="16"/>
        <v>0</v>
      </c>
      <c r="D56" s="1161">
        <v>0.25</v>
      </c>
      <c r="E56" s="259">
        <f>'数据-汇总表'!E11</f>
        <v>0</v>
      </c>
      <c r="F56" s="689" t="e">
        <f t="shared" si="15"/>
        <v>#DIV/0!</v>
      </c>
      <c r="G56" s="2703" t="s">
        <v>2767</v>
      </c>
      <c r="H56" s="1101">
        <f>项目基本情况!C37</f>
        <v>0</v>
      </c>
      <c r="I56" s="939">
        <f>SUMIF(修正!A45:A56,H56,修正!F45:F56)</f>
        <v>0</v>
      </c>
      <c r="J56" s="940"/>
      <c r="K56" s="1141"/>
      <c r="L56" s="938"/>
      <c r="M56" s="938"/>
      <c r="N56" s="938"/>
      <c r="O56" s="938"/>
    </row>
    <row r="57" spans="1:17" s="690" customFormat="1">
      <c r="A57" s="691" t="s">
        <v>2768</v>
      </c>
      <c r="B57" s="260" t="e">
        <f t="shared" si="17"/>
        <v>#DIV/0!</v>
      </c>
      <c r="C57" s="198">
        <f t="shared" si="16"/>
        <v>0</v>
      </c>
      <c r="D57" s="1161">
        <v>0.25</v>
      </c>
      <c r="E57" s="259">
        <f>'数据-汇总表'!E12</f>
        <v>0</v>
      </c>
      <c r="F57" s="689"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2770</v>
      </c>
      <c r="B58" s="260" t="e">
        <f t="shared" si="17"/>
        <v>#DIV/0!</v>
      </c>
      <c r="C58" s="198">
        <f t="shared" si="16"/>
        <v>0</v>
      </c>
      <c r="D58" s="1161">
        <v>0.25</v>
      </c>
      <c r="E58" s="259">
        <f>'数据-汇总表'!E13</f>
        <v>0</v>
      </c>
      <c r="F58" s="689"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2772</v>
      </c>
      <c r="B59" s="260" t="e">
        <f t="shared" si="17"/>
        <v>#DIV/0!</v>
      </c>
      <c r="C59" s="198">
        <f t="shared" si="16"/>
        <v>0.2</v>
      </c>
      <c r="D59" s="1161">
        <v>0.25</v>
      </c>
      <c r="E59" s="259">
        <f>'数据-汇总表'!E14</f>
        <v>22000.37</v>
      </c>
      <c r="F59" s="689" t="e">
        <f t="shared" si="15"/>
        <v>#DIV/0!</v>
      </c>
      <c r="G59" s="2703" t="s">
        <v>2762</v>
      </c>
      <c r="H59" s="1101" t="str">
        <f>项目基本情况!B37</f>
        <v>七级</v>
      </c>
      <c r="I59" s="939">
        <f>SUMIF(修正!A45:A56,H59,修正!H45:H56)</f>
        <v>0.2</v>
      </c>
      <c r="J59" s="940"/>
      <c r="K59" s="1142"/>
      <c r="L59" s="938"/>
      <c r="M59" s="938"/>
      <c r="N59" s="938"/>
      <c r="O59" s="938"/>
    </row>
    <row r="60" spans="1:17" s="690" customFormat="1" ht="15" thickBot="1">
      <c r="A60" s="691" t="s">
        <v>2773</v>
      </c>
      <c r="B60" s="260" t="e">
        <f t="shared" si="17"/>
        <v>#DIV/0!</v>
      </c>
      <c r="C60" s="198">
        <f t="shared" si="16"/>
        <v>0</v>
      </c>
      <c r="D60" s="1161">
        <v>0.25</v>
      </c>
      <c r="E60" s="259">
        <f>'数据-汇总表'!E15</f>
        <v>0</v>
      </c>
      <c r="F60" s="689" t="e">
        <f t="shared" si="15"/>
        <v>#DIV/0!</v>
      </c>
      <c r="G60" s="2704" t="s">
        <v>2767</v>
      </c>
      <c r="H60" s="1111">
        <f>项目基本情况!C37</f>
        <v>0</v>
      </c>
      <c r="I60" s="939">
        <f>SUMIF(修正!A45:A56,H60,修正!H45:H56)</f>
        <v>0</v>
      </c>
      <c r="J60" s="940"/>
      <c r="K60" s="1141"/>
      <c r="L60" s="938"/>
      <c r="M60" s="938"/>
      <c r="N60" s="938"/>
      <c r="O60" s="938"/>
    </row>
    <row r="61" spans="1:17" s="690" customFormat="1" ht="15" thickBot="1">
      <c r="A61" s="693" t="s">
        <v>2774</v>
      </c>
      <c r="B61" s="694" t="s">
        <v>28</v>
      </c>
      <c r="C61" s="694" t="s">
        <v>29</v>
      </c>
      <c r="D61" s="694" t="s">
        <v>1026</v>
      </c>
      <c r="E61" s="694">
        <f>IF(B41="楼面地价",SUM(E51:E60),'数据-汇总表'!D3)</f>
        <v>25666.1</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5" t="s">
        <v>2775</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10" t="s">
        <v>2794</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2777</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2778</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2795</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2743</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2784</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2786</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2787</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0" t="s">
        <v>183</v>
      </c>
      <c r="B18" s="879" t="s">
        <v>560</v>
      </c>
      <c r="C18" s="880" t="s">
        <v>561</v>
      </c>
      <c r="D18" s="881"/>
      <c r="E18" s="879">
        <v>1</v>
      </c>
      <c r="F18" s="882" t="s">
        <v>562</v>
      </c>
      <c r="G18" s="883"/>
      <c r="H18" s="875"/>
      <c r="I18" s="875"/>
    </row>
    <row r="19" spans="1:9" s="884" customFormat="1" ht="19.5" customHeight="1">
      <c r="A19" s="3340"/>
      <c r="B19" s="3340" t="s">
        <v>563</v>
      </c>
      <c r="C19" s="880" t="s">
        <v>564</v>
      </c>
      <c r="D19" s="881"/>
      <c r="E19" s="879">
        <v>0.9</v>
      </c>
      <c r="F19" s="882" t="s">
        <v>565</v>
      </c>
      <c r="G19" s="883"/>
      <c r="H19" s="875"/>
      <c r="I19" s="875"/>
    </row>
    <row r="20" spans="1:9" s="884" customFormat="1" ht="19.5" customHeight="1">
      <c r="A20" s="3340"/>
      <c r="B20" s="3340"/>
      <c r="C20" s="880" t="s">
        <v>566</v>
      </c>
      <c r="D20" s="881"/>
      <c r="E20" s="879">
        <v>1.1000000000000001</v>
      </c>
      <c r="F20" s="882" t="s">
        <v>567</v>
      </c>
      <c r="G20" s="883"/>
      <c r="H20" s="875"/>
      <c r="I20" s="875"/>
    </row>
    <row r="21" spans="1:9" s="884" customFormat="1" ht="19.5" customHeight="1">
      <c r="A21" s="3340"/>
      <c r="B21" s="3340"/>
      <c r="C21" s="880" t="s">
        <v>568</v>
      </c>
      <c r="D21" s="881"/>
      <c r="E21" s="879">
        <v>0.8</v>
      </c>
      <c r="F21" s="882" t="s">
        <v>569</v>
      </c>
      <c r="G21" s="883"/>
      <c r="H21" s="875"/>
      <c r="I21" s="875"/>
    </row>
    <row r="22" spans="1:9" s="884" customFormat="1" ht="19.5" customHeight="1">
      <c r="A22" s="3340"/>
      <c r="B22" s="3340"/>
      <c r="C22" s="880" t="s">
        <v>570</v>
      </c>
      <c r="D22" s="881"/>
      <c r="E22" s="879">
        <v>0.5</v>
      </c>
      <c r="F22" s="882"/>
      <c r="G22" s="883"/>
      <c r="H22" s="875"/>
      <c r="I22" s="875"/>
    </row>
    <row r="23" spans="1:9" s="884" customFormat="1" ht="19.5" customHeight="1">
      <c r="A23" s="3340" t="s">
        <v>184</v>
      </c>
      <c r="B23" s="879" t="s">
        <v>560</v>
      </c>
      <c r="C23" s="880" t="s">
        <v>571</v>
      </c>
      <c r="D23" s="881"/>
      <c r="E23" s="879">
        <v>1</v>
      </c>
      <c r="F23" s="882" t="s">
        <v>572</v>
      </c>
      <c r="G23" s="883"/>
      <c r="H23" s="875"/>
      <c r="I23" s="875"/>
    </row>
    <row r="24" spans="1:9" s="884" customFormat="1" ht="19.5" customHeight="1">
      <c r="A24" s="3340"/>
      <c r="B24" s="3340" t="s">
        <v>563</v>
      </c>
      <c r="C24" s="880" t="s">
        <v>573</v>
      </c>
      <c r="D24" s="881"/>
      <c r="E24" s="879">
        <v>0.5</v>
      </c>
      <c r="F24" s="882"/>
      <c r="G24" s="883"/>
      <c r="H24" s="875"/>
      <c r="I24" s="875"/>
    </row>
    <row r="25" spans="1:9" s="884" customFormat="1" ht="19.5" customHeight="1">
      <c r="A25" s="3340"/>
      <c r="B25" s="3340"/>
      <c r="C25" s="880" t="s">
        <v>574</v>
      </c>
      <c r="D25" s="881"/>
      <c r="E25" s="879">
        <v>1.1000000000000001</v>
      </c>
      <c r="F25" s="882"/>
      <c r="G25" s="883"/>
      <c r="H25" s="875"/>
      <c r="I25" s="875"/>
    </row>
    <row r="26" spans="1:9" s="884" customFormat="1" ht="19.5" customHeight="1">
      <c r="A26" s="3340"/>
      <c r="B26" s="3340"/>
      <c r="C26" s="880" t="s">
        <v>575</v>
      </c>
      <c r="D26" s="881"/>
      <c r="E26" s="879">
        <v>1.1000000000000001</v>
      </c>
      <c r="F26" s="882"/>
      <c r="G26" s="883"/>
      <c r="H26" s="875"/>
      <c r="I26" s="875"/>
    </row>
    <row r="27" spans="1:9" s="884" customFormat="1" ht="19.5" customHeight="1">
      <c r="A27" s="3340"/>
      <c r="B27" s="3340"/>
      <c r="C27" s="880" t="s">
        <v>576</v>
      </c>
      <c r="D27" s="881"/>
      <c r="E27" s="879">
        <v>0.9</v>
      </c>
      <c r="F27" s="882" t="s">
        <v>577</v>
      </c>
      <c r="G27" s="883"/>
      <c r="H27" s="875"/>
      <c r="I27" s="875"/>
    </row>
    <row r="28" spans="1:9" s="884" customFormat="1" ht="19.5" customHeight="1">
      <c r="A28" s="3340"/>
      <c r="B28" s="3340"/>
      <c r="C28" s="880" t="s">
        <v>578</v>
      </c>
      <c r="D28" s="881"/>
      <c r="E28" s="879">
        <v>0.9</v>
      </c>
      <c r="F28" s="882" t="s">
        <v>579</v>
      </c>
      <c r="G28" s="883"/>
      <c r="H28" s="875"/>
      <c r="I28" s="875"/>
    </row>
    <row r="29" spans="1:9" s="884" customFormat="1" ht="19.5" customHeight="1">
      <c r="A29" s="3340"/>
      <c r="B29" s="3340"/>
      <c r="C29" s="880" t="s">
        <v>580</v>
      </c>
      <c r="D29" s="881"/>
      <c r="E29" s="879">
        <v>0.9</v>
      </c>
      <c r="F29" s="882" t="s">
        <v>581</v>
      </c>
      <c r="G29" s="883"/>
      <c r="H29" s="875"/>
      <c r="I29" s="875"/>
    </row>
    <row r="30" spans="1:9" s="884" customFormat="1" ht="19.5" customHeight="1">
      <c r="A30" s="3340"/>
      <c r="B30" s="3340"/>
      <c r="C30" s="880" t="s">
        <v>582</v>
      </c>
      <c r="D30" s="881"/>
      <c r="E30" s="879">
        <v>0.9</v>
      </c>
      <c r="F30" s="882" t="s">
        <v>583</v>
      </c>
      <c r="G30" s="883"/>
      <c r="H30" s="875"/>
      <c r="I30" s="875"/>
    </row>
    <row r="31" spans="1:9" s="884" customFormat="1" ht="19.5" customHeight="1">
      <c r="A31" s="3340"/>
      <c r="B31" s="3340"/>
      <c r="C31" s="880" t="s">
        <v>584</v>
      </c>
      <c r="D31" s="881"/>
      <c r="E31" s="879">
        <v>0.8</v>
      </c>
      <c r="F31" s="882" t="s">
        <v>585</v>
      </c>
      <c r="G31" s="883"/>
      <c r="H31" s="875"/>
      <c r="I31" s="875"/>
    </row>
    <row r="32" spans="1:9" s="884" customFormat="1" ht="19.5" customHeight="1">
      <c r="A32" s="3340"/>
      <c r="B32" s="3340"/>
      <c r="C32" s="880" t="s">
        <v>586</v>
      </c>
      <c r="D32" s="881"/>
      <c r="E32" s="879">
        <v>0.8</v>
      </c>
      <c r="F32" s="882" t="s">
        <v>587</v>
      </c>
      <c r="G32" s="883"/>
      <c r="H32" s="875"/>
      <c r="I32" s="875"/>
    </row>
    <row r="33" spans="1:9" s="884" customFormat="1" ht="19.5" customHeight="1">
      <c r="A33" s="3340" t="s">
        <v>185</v>
      </c>
      <c r="B33" s="879" t="s">
        <v>560</v>
      </c>
      <c r="C33" s="880" t="s">
        <v>588</v>
      </c>
      <c r="D33" s="881"/>
      <c r="E33" s="879">
        <v>1</v>
      </c>
      <c r="F33" s="882" t="s">
        <v>589</v>
      </c>
      <c r="G33" s="883"/>
      <c r="H33" s="875"/>
      <c r="I33" s="875"/>
    </row>
    <row r="34" spans="1:9" s="884" customFormat="1" ht="19.5" customHeight="1">
      <c r="A34" s="3340"/>
      <c r="B34" s="879" t="s">
        <v>563</v>
      </c>
      <c r="C34" s="880" t="s">
        <v>590</v>
      </c>
      <c r="D34" s="881"/>
      <c r="E34" s="879">
        <v>1.5</v>
      </c>
      <c r="F34" s="882" t="s">
        <v>591</v>
      </c>
      <c r="G34" s="883"/>
      <c r="H34" s="875"/>
      <c r="I34" s="875"/>
    </row>
    <row r="35" spans="1:9" s="884" customFormat="1" ht="19.5" customHeight="1">
      <c r="A35" s="3340" t="s">
        <v>186</v>
      </c>
      <c r="B35" s="879" t="s">
        <v>560</v>
      </c>
      <c r="C35" s="880" t="s">
        <v>592</v>
      </c>
      <c r="D35" s="881"/>
      <c r="E35" s="879">
        <v>1</v>
      </c>
      <c r="F35" s="882" t="s">
        <v>593</v>
      </c>
      <c r="G35" s="883"/>
      <c r="H35" s="875"/>
      <c r="I35" s="875"/>
    </row>
    <row r="36" spans="1:9" s="884" customFormat="1" ht="19.5" customHeight="1">
      <c r="A36" s="3340"/>
      <c r="B36" s="3340" t="s">
        <v>563</v>
      </c>
      <c r="C36" s="880" t="s">
        <v>594</v>
      </c>
      <c r="D36" s="881"/>
      <c r="E36" s="879">
        <v>1</v>
      </c>
      <c r="F36" s="882" t="s">
        <v>595</v>
      </c>
      <c r="G36" s="883"/>
      <c r="H36" s="875"/>
      <c r="I36" s="875"/>
    </row>
    <row r="37" spans="1:9" s="884" customFormat="1" ht="19.5" customHeight="1">
      <c r="A37" s="3340"/>
      <c r="B37" s="3340"/>
      <c r="C37" s="880" t="s">
        <v>596</v>
      </c>
      <c r="D37" s="881"/>
      <c r="E37" s="879">
        <v>1.5</v>
      </c>
      <c r="F37" s="882" t="s">
        <v>597</v>
      </c>
      <c r="G37" s="883"/>
      <c r="H37" s="875"/>
      <c r="I37" s="875"/>
    </row>
    <row r="38" spans="1:9" s="884" customFormat="1" ht="19.5" customHeight="1">
      <c r="A38" s="3340"/>
      <c r="B38" s="3340"/>
      <c r="C38" s="880" t="s">
        <v>598</v>
      </c>
      <c r="D38" s="881"/>
      <c r="E38" s="879">
        <v>1</v>
      </c>
      <c r="F38" s="882" t="s">
        <v>599</v>
      </c>
      <c r="G38" s="883"/>
      <c r="H38" s="875"/>
      <c r="I38" s="875"/>
    </row>
    <row r="39" spans="1:9" s="884" customFormat="1" ht="19.5" customHeight="1">
      <c r="A39" s="3340"/>
      <c r="B39" s="334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0" t="s">
        <v>614</v>
      </c>
      <c r="C61" s="815" t="s">
        <v>615</v>
      </c>
      <c r="D61" s="815" t="s">
        <v>616</v>
      </c>
      <c r="E61" s="892">
        <v>0.5</v>
      </c>
      <c r="F61" s="879">
        <v>80</v>
      </c>
    </row>
    <row r="62" spans="1:8" s="875" customFormat="1" ht="24">
      <c r="A62" s="879">
        <v>2</v>
      </c>
      <c r="B62" s="3340"/>
      <c r="C62" s="815" t="s">
        <v>617</v>
      </c>
      <c r="D62" s="815" t="s">
        <v>618</v>
      </c>
      <c r="E62" s="892">
        <v>0.5</v>
      </c>
      <c r="F62" s="879">
        <v>80</v>
      </c>
    </row>
    <row r="63" spans="1:8" s="875" customFormat="1" ht="36">
      <c r="A63" s="879">
        <v>3</v>
      </c>
      <c r="B63" s="3340"/>
      <c r="C63" s="815" t="s">
        <v>619</v>
      </c>
      <c r="D63" s="815" t="s">
        <v>620</v>
      </c>
      <c r="E63" s="892">
        <v>0.5</v>
      </c>
      <c r="F63" s="879">
        <v>80</v>
      </c>
    </row>
    <row r="64" spans="1:8" s="875" customFormat="1" ht="36">
      <c r="A64" s="879">
        <v>4</v>
      </c>
      <c r="B64" s="3340"/>
      <c r="C64" s="815" t="s">
        <v>621</v>
      </c>
      <c r="D64" s="815" t="s">
        <v>622</v>
      </c>
      <c r="E64" s="892">
        <v>0.4</v>
      </c>
      <c r="F64" s="879">
        <v>60</v>
      </c>
    </row>
    <row r="65" spans="1:6" s="875" customFormat="1" ht="36">
      <c r="A65" s="879">
        <v>5</v>
      </c>
      <c r="B65" s="3340"/>
      <c r="C65" s="815" t="s">
        <v>623</v>
      </c>
      <c r="D65" s="815" t="s">
        <v>624</v>
      </c>
      <c r="E65" s="892">
        <v>0.2</v>
      </c>
      <c r="F65" s="879">
        <v>30</v>
      </c>
    </row>
    <row r="66" spans="1:6" s="875" customFormat="1" ht="36">
      <c r="A66" s="879">
        <v>6</v>
      </c>
      <c r="B66" s="3340"/>
      <c r="C66" s="815" t="s">
        <v>625</v>
      </c>
      <c r="D66" s="815" t="s">
        <v>626</v>
      </c>
      <c r="E66" s="892">
        <v>0.3</v>
      </c>
      <c r="F66" s="879">
        <v>50</v>
      </c>
    </row>
    <row r="67" spans="1:6" s="875" customFormat="1" ht="36">
      <c r="A67" s="879">
        <v>7</v>
      </c>
      <c r="B67" s="3340"/>
      <c r="C67" s="815" t="s">
        <v>627</v>
      </c>
      <c r="D67" s="815" t="s">
        <v>628</v>
      </c>
      <c r="E67" s="892">
        <v>0.2</v>
      </c>
      <c r="F67" s="879">
        <v>30</v>
      </c>
    </row>
    <row r="68" spans="1:6" s="875" customFormat="1" ht="36">
      <c r="A68" s="879">
        <v>8</v>
      </c>
      <c r="B68" s="3340"/>
      <c r="C68" s="815" t="s">
        <v>629</v>
      </c>
      <c r="D68" s="815" t="s">
        <v>630</v>
      </c>
      <c r="E68" s="892">
        <v>0.2</v>
      </c>
      <c r="F68" s="879">
        <v>30</v>
      </c>
    </row>
    <row r="69" spans="1:6" s="875" customFormat="1" ht="36">
      <c r="A69" s="879">
        <v>9</v>
      </c>
      <c r="B69" s="3340"/>
      <c r="C69" s="815" t="s">
        <v>631</v>
      </c>
      <c r="D69" s="815" t="s">
        <v>632</v>
      </c>
      <c r="E69" s="892">
        <v>0.2</v>
      </c>
      <c r="F69" s="879">
        <v>30</v>
      </c>
    </row>
    <row r="70" spans="1:6" s="875" customFormat="1" ht="48">
      <c r="A70" s="879">
        <v>10</v>
      </c>
      <c r="B70" s="3340"/>
      <c r="C70" s="815" t="s">
        <v>633</v>
      </c>
      <c r="D70" s="815" t="s">
        <v>634</v>
      </c>
      <c r="E70" s="892">
        <v>0.2</v>
      </c>
      <c r="F70" s="879">
        <v>30</v>
      </c>
    </row>
    <row r="71" spans="1:6" s="875" customFormat="1" ht="48">
      <c r="A71" s="879">
        <v>11</v>
      </c>
      <c r="B71" s="3340"/>
      <c r="C71" s="815" t="s">
        <v>635</v>
      </c>
      <c r="D71" s="815" t="s">
        <v>636</v>
      </c>
      <c r="E71" s="892">
        <v>0.2</v>
      </c>
      <c r="F71" s="879">
        <v>30</v>
      </c>
    </row>
    <row r="72" spans="1:6" s="875" customFormat="1" ht="36">
      <c r="A72" s="879">
        <v>12</v>
      </c>
      <c r="B72" s="3340"/>
      <c r="C72" s="815" t="s">
        <v>637</v>
      </c>
      <c r="D72" s="815" t="s">
        <v>638</v>
      </c>
      <c r="E72" s="892">
        <v>0.5</v>
      </c>
      <c r="F72" s="879">
        <v>80</v>
      </c>
    </row>
    <row r="73" spans="1:6" s="875" customFormat="1" ht="24">
      <c r="A73" s="879">
        <v>13</v>
      </c>
      <c r="B73" s="3340"/>
      <c r="C73" s="815" t="s">
        <v>639</v>
      </c>
      <c r="D73" s="815" t="s">
        <v>640</v>
      </c>
      <c r="E73" s="892">
        <v>0.4</v>
      </c>
      <c r="F73" s="879">
        <v>60</v>
      </c>
    </row>
    <row r="74" spans="1:6" s="875" customFormat="1" ht="24">
      <c r="A74" s="879">
        <v>14</v>
      </c>
      <c r="B74" s="3340"/>
      <c r="C74" s="815" t="s">
        <v>641</v>
      </c>
      <c r="D74" s="815" t="s">
        <v>642</v>
      </c>
      <c r="E74" s="892">
        <v>0.2</v>
      </c>
      <c r="F74" s="879">
        <v>30</v>
      </c>
    </row>
    <row r="75" spans="1:6" s="875" customFormat="1" ht="24">
      <c r="A75" s="879">
        <v>15</v>
      </c>
      <c r="B75" s="3340"/>
      <c r="C75" s="815" t="s">
        <v>643</v>
      </c>
      <c r="D75" s="815" t="s">
        <v>644</v>
      </c>
      <c r="E75" s="892">
        <v>0.2</v>
      </c>
      <c r="F75" s="879">
        <v>30</v>
      </c>
    </row>
    <row r="76" spans="1:6" s="875" customFormat="1" ht="24">
      <c r="A76" s="879">
        <v>16</v>
      </c>
      <c r="B76" s="3340" t="s">
        <v>645</v>
      </c>
      <c r="C76" s="815" t="s">
        <v>646</v>
      </c>
      <c r="D76" s="815" t="s">
        <v>647</v>
      </c>
      <c r="E76" s="892">
        <v>0.5</v>
      </c>
      <c r="F76" s="879">
        <v>80</v>
      </c>
    </row>
    <row r="77" spans="1:6" s="875" customFormat="1" ht="24">
      <c r="A77" s="879">
        <v>17</v>
      </c>
      <c r="B77" s="3340"/>
      <c r="C77" s="815" t="s">
        <v>648</v>
      </c>
      <c r="D77" s="815" t="s">
        <v>649</v>
      </c>
      <c r="E77" s="892">
        <v>0.5</v>
      </c>
      <c r="F77" s="879">
        <v>80</v>
      </c>
    </row>
    <row r="78" spans="1:6" s="875" customFormat="1" ht="24">
      <c r="A78" s="879">
        <v>18</v>
      </c>
      <c r="B78" s="3340"/>
      <c r="C78" s="815" t="s">
        <v>650</v>
      </c>
      <c r="D78" s="815" t="s">
        <v>651</v>
      </c>
      <c r="E78" s="892">
        <v>0.2</v>
      </c>
      <c r="F78" s="879">
        <v>30</v>
      </c>
    </row>
    <row r="79" spans="1:6" s="875" customFormat="1" ht="24">
      <c r="A79" s="879">
        <v>19</v>
      </c>
      <c r="B79" s="3340"/>
      <c r="C79" s="815" t="s">
        <v>652</v>
      </c>
      <c r="D79" s="815" t="s">
        <v>653</v>
      </c>
      <c r="E79" s="892">
        <v>0.5</v>
      </c>
      <c r="F79" s="879">
        <v>80</v>
      </c>
    </row>
    <row r="80" spans="1:6" s="875" customFormat="1" ht="36">
      <c r="A80" s="879">
        <v>20</v>
      </c>
      <c r="B80" s="3340"/>
      <c r="C80" s="815" t="s">
        <v>654</v>
      </c>
      <c r="D80" s="815" t="s">
        <v>655</v>
      </c>
      <c r="E80" s="892">
        <v>0.2</v>
      </c>
      <c r="F80" s="879">
        <v>30</v>
      </c>
    </row>
    <row r="81" spans="1:6" s="875" customFormat="1" ht="36">
      <c r="A81" s="879">
        <v>21</v>
      </c>
      <c r="B81" s="3340"/>
      <c r="C81" s="815" t="s">
        <v>656</v>
      </c>
      <c r="D81" s="815" t="s">
        <v>657</v>
      </c>
      <c r="E81" s="892">
        <v>0.2</v>
      </c>
      <c r="F81" s="879">
        <v>30</v>
      </c>
    </row>
    <row r="82" spans="1:6" s="875" customFormat="1" ht="48">
      <c r="A82" s="879">
        <v>22</v>
      </c>
      <c r="B82" s="3340"/>
      <c r="C82" s="815" t="s">
        <v>658</v>
      </c>
      <c r="D82" s="815" t="s">
        <v>659</v>
      </c>
      <c r="E82" s="892">
        <v>0.2</v>
      </c>
      <c r="F82" s="879">
        <v>30</v>
      </c>
    </row>
    <row r="83" spans="1:6" s="875" customFormat="1" ht="48">
      <c r="A83" s="879">
        <v>23</v>
      </c>
      <c r="B83" s="3340"/>
      <c r="C83" s="815" t="s">
        <v>660</v>
      </c>
      <c r="D83" s="815" t="s">
        <v>661</v>
      </c>
      <c r="E83" s="892">
        <v>0.2</v>
      </c>
      <c r="F83" s="879">
        <v>30</v>
      </c>
    </row>
    <row r="84" spans="1:6" s="875" customFormat="1" ht="36">
      <c r="A84" s="879">
        <v>24</v>
      </c>
      <c r="B84" s="3340"/>
      <c r="C84" s="815" t="s">
        <v>662</v>
      </c>
      <c r="D84" s="815" t="s">
        <v>663</v>
      </c>
      <c r="E84" s="892">
        <v>0.2</v>
      </c>
      <c r="F84" s="879">
        <v>30</v>
      </c>
    </row>
    <row r="85" spans="1:6" s="875" customFormat="1" ht="36">
      <c r="A85" s="879">
        <v>25</v>
      </c>
      <c r="B85" s="3340"/>
      <c r="C85" s="815" t="s">
        <v>664</v>
      </c>
      <c r="D85" s="815" t="s">
        <v>665</v>
      </c>
      <c r="E85" s="892">
        <v>0.5</v>
      </c>
      <c r="F85" s="879">
        <v>80</v>
      </c>
    </row>
    <row r="86" spans="1:6" s="875" customFormat="1" ht="36">
      <c r="A86" s="879">
        <v>26</v>
      </c>
      <c r="B86" s="3340"/>
      <c r="C86" s="815" t="s">
        <v>666</v>
      </c>
      <c r="D86" s="815" t="s">
        <v>667</v>
      </c>
      <c r="E86" s="892">
        <v>0.2</v>
      </c>
      <c r="F86" s="879">
        <v>30</v>
      </c>
    </row>
    <row r="87" spans="1:6" s="875" customFormat="1" ht="36">
      <c r="A87" s="879">
        <v>27</v>
      </c>
      <c r="B87" s="3340"/>
      <c r="C87" s="815" t="s">
        <v>668</v>
      </c>
      <c r="D87" s="815" t="s">
        <v>669</v>
      </c>
      <c r="E87" s="892">
        <v>0.2</v>
      </c>
      <c r="F87" s="879">
        <v>30</v>
      </c>
    </row>
    <row r="88" spans="1:6" s="875" customFormat="1" ht="36">
      <c r="A88" s="879">
        <v>28</v>
      </c>
      <c r="B88" s="3340"/>
      <c r="C88" s="815" t="s">
        <v>670</v>
      </c>
      <c r="D88" s="815" t="s">
        <v>671</v>
      </c>
      <c r="E88" s="892">
        <v>0.2</v>
      </c>
      <c r="F88" s="879">
        <v>30</v>
      </c>
    </row>
    <row r="89" spans="1:6" s="875" customFormat="1" ht="24">
      <c r="A89" s="879">
        <v>29</v>
      </c>
      <c r="B89" s="3340"/>
      <c r="C89" s="815" t="s">
        <v>672</v>
      </c>
      <c r="D89" s="815" t="s">
        <v>673</v>
      </c>
      <c r="E89" s="892">
        <v>0.2</v>
      </c>
      <c r="F89" s="879">
        <v>30</v>
      </c>
    </row>
    <row r="90" spans="1:6" s="875" customFormat="1" ht="24">
      <c r="A90" s="879">
        <v>30</v>
      </c>
      <c r="B90" s="3340"/>
      <c r="C90" s="815" t="s">
        <v>674</v>
      </c>
      <c r="D90" s="815" t="s">
        <v>675</v>
      </c>
      <c r="E90" s="892">
        <v>0.2</v>
      </c>
      <c r="F90" s="879">
        <v>30</v>
      </c>
    </row>
    <row r="91" spans="1:6" s="875" customFormat="1" ht="36">
      <c r="A91" s="879">
        <v>31</v>
      </c>
      <c r="B91" s="3340"/>
      <c r="C91" s="815" t="s">
        <v>676</v>
      </c>
      <c r="D91" s="815" t="s">
        <v>677</v>
      </c>
      <c r="E91" s="892">
        <v>0.2</v>
      </c>
      <c r="F91" s="879">
        <v>30</v>
      </c>
    </row>
    <row r="92" spans="1:6" s="875" customFormat="1" ht="24">
      <c r="A92" s="879">
        <v>32</v>
      </c>
      <c r="B92" s="3340" t="s">
        <v>678</v>
      </c>
      <c r="C92" s="879" t="s">
        <v>679</v>
      </c>
      <c r="D92" s="815" t="s">
        <v>680</v>
      </c>
      <c r="E92" s="892">
        <v>0.2</v>
      </c>
      <c r="F92" s="879">
        <v>30</v>
      </c>
    </row>
    <row r="93" spans="1:6" s="875" customFormat="1" ht="36">
      <c r="A93" s="879">
        <v>33</v>
      </c>
      <c r="B93" s="3340"/>
      <c r="C93" s="879" t="s">
        <v>681</v>
      </c>
      <c r="D93" s="815" t="s">
        <v>682</v>
      </c>
      <c r="E93" s="892">
        <v>0.2</v>
      </c>
      <c r="F93" s="879">
        <v>30</v>
      </c>
    </row>
    <row r="94" spans="1:6" s="875" customFormat="1" ht="48">
      <c r="A94" s="879">
        <v>34</v>
      </c>
      <c r="B94" s="3340"/>
      <c r="C94" s="879" t="s">
        <v>683</v>
      </c>
      <c r="D94" s="815" t="s">
        <v>684</v>
      </c>
      <c r="E94" s="892">
        <v>0.2</v>
      </c>
      <c r="F94" s="879">
        <v>30</v>
      </c>
    </row>
    <row r="95" spans="1:6" s="875" customFormat="1" ht="36">
      <c r="A95" s="879">
        <v>35</v>
      </c>
      <c r="B95" s="3340"/>
      <c r="C95" s="879" t="s">
        <v>685</v>
      </c>
      <c r="D95" s="815" t="s">
        <v>686</v>
      </c>
      <c r="E95" s="892">
        <v>0.2</v>
      </c>
      <c r="F95" s="879">
        <v>30</v>
      </c>
    </row>
    <row r="96" spans="1:6" s="875" customFormat="1" ht="48">
      <c r="A96" s="879">
        <v>36</v>
      </c>
      <c r="B96" s="3340"/>
      <c r="C96" s="815" t="s">
        <v>687</v>
      </c>
      <c r="D96" s="815" t="s">
        <v>688</v>
      </c>
      <c r="E96" s="892">
        <v>0.2</v>
      </c>
      <c r="F96" s="879">
        <v>30</v>
      </c>
    </row>
    <row r="97" spans="1:6" s="875" customFormat="1" ht="36">
      <c r="A97" s="879">
        <v>37</v>
      </c>
      <c r="B97" s="3340"/>
      <c r="C97" s="879" t="s">
        <v>689</v>
      </c>
      <c r="D97" s="815" t="s">
        <v>690</v>
      </c>
      <c r="E97" s="892">
        <v>0.2</v>
      </c>
      <c r="F97" s="879">
        <v>30</v>
      </c>
    </row>
    <row r="98" spans="1:6" s="875" customFormat="1" ht="36">
      <c r="A98" s="879">
        <v>38</v>
      </c>
      <c r="B98" s="3340"/>
      <c r="C98" s="879" t="s">
        <v>691</v>
      </c>
      <c r="D98" s="815" t="s">
        <v>692</v>
      </c>
      <c r="E98" s="892">
        <v>0.2</v>
      </c>
      <c r="F98" s="879">
        <v>30</v>
      </c>
    </row>
    <row r="99" spans="1:6" s="875" customFormat="1" ht="36">
      <c r="A99" s="879">
        <v>39</v>
      </c>
      <c r="B99" s="3340" t="s">
        <v>693</v>
      </c>
      <c r="C99" s="879" t="s">
        <v>694</v>
      </c>
      <c r="D99" s="815" t="s">
        <v>695</v>
      </c>
      <c r="E99" s="892">
        <v>0.3</v>
      </c>
      <c r="F99" s="879">
        <v>50</v>
      </c>
    </row>
    <row r="100" spans="1:6" s="875" customFormat="1" ht="24">
      <c r="A100" s="879">
        <v>40</v>
      </c>
      <c r="B100" s="3340"/>
      <c r="C100" s="879" t="s">
        <v>696</v>
      </c>
      <c r="D100" s="815" t="s">
        <v>697</v>
      </c>
      <c r="E100" s="892">
        <v>0.2</v>
      </c>
      <c r="F100" s="879">
        <v>30</v>
      </c>
    </row>
    <row r="101" spans="1:6" s="875" customFormat="1" ht="36">
      <c r="A101" s="879">
        <v>41</v>
      </c>
      <c r="B101" s="334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0" t="s">
        <v>708</v>
      </c>
      <c r="C105" s="879" t="s">
        <v>709</v>
      </c>
      <c r="D105" s="815" t="s">
        <v>710</v>
      </c>
      <c r="E105" s="892">
        <v>0.2</v>
      </c>
      <c r="F105" s="879">
        <v>30</v>
      </c>
    </row>
    <row r="106" spans="1:6" s="875" customFormat="1" ht="36">
      <c r="A106" s="879">
        <v>46</v>
      </c>
      <c r="B106" s="3340"/>
      <c r="C106" s="879" t="s">
        <v>711</v>
      </c>
      <c r="D106" s="815" t="s">
        <v>712</v>
      </c>
      <c r="E106" s="892">
        <v>0.2</v>
      </c>
      <c r="F106" s="879">
        <v>30</v>
      </c>
    </row>
    <row r="107" spans="1:6" s="875" customFormat="1" ht="36">
      <c r="A107" s="879">
        <v>47</v>
      </c>
      <c r="B107" s="3340" t="s">
        <v>713</v>
      </c>
      <c r="C107" s="879" t="s">
        <v>714</v>
      </c>
      <c r="D107" s="815" t="s">
        <v>715</v>
      </c>
      <c r="E107" s="892">
        <v>0.3</v>
      </c>
      <c r="F107" s="879">
        <v>50</v>
      </c>
    </row>
    <row r="108" spans="1:6" s="875" customFormat="1" ht="36">
      <c r="A108" s="879">
        <v>48</v>
      </c>
      <c r="B108" s="334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0" t="s">
        <v>724</v>
      </c>
      <c r="C111" s="879" t="s">
        <v>725</v>
      </c>
      <c r="D111" s="815" t="s">
        <v>726</v>
      </c>
      <c r="E111" s="892">
        <v>0.2</v>
      </c>
      <c r="F111" s="879">
        <v>30</v>
      </c>
    </row>
    <row r="112" spans="1:6" s="875" customFormat="1" ht="24">
      <c r="A112" s="879">
        <v>52</v>
      </c>
      <c r="B112" s="3340"/>
      <c r="C112" s="879" t="s">
        <v>727</v>
      </c>
      <c r="D112" s="815" t="s">
        <v>728</v>
      </c>
      <c r="E112" s="892">
        <v>0.2</v>
      </c>
      <c r="F112" s="879">
        <v>30</v>
      </c>
    </row>
    <row r="113" spans="1:6" s="875" customFormat="1" ht="24">
      <c r="A113" s="879">
        <v>53</v>
      </c>
      <c r="B113" s="334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0" t="s">
        <v>737</v>
      </c>
      <c r="C116" s="879" t="s">
        <v>738</v>
      </c>
      <c r="D116" s="815" t="s">
        <v>739</v>
      </c>
      <c r="E116" s="892">
        <v>0.2</v>
      </c>
      <c r="F116" s="879">
        <v>30</v>
      </c>
    </row>
    <row r="117" spans="1:6" ht="36">
      <c r="A117" s="879">
        <v>57</v>
      </c>
      <c r="B117" s="334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1.0271999999999999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2992</v>
      </c>
    </row>
    <row r="2" spans="1:5" ht="15.75">
      <c r="A2" s="2896" t="s">
        <v>2984</v>
      </c>
      <c r="B2" s="2897">
        <f ca="1">SUMIF(B6:B13,"&lt;&gt;#ref!",B6:B13)</f>
        <v>83234</v>
      </c>
      <c r="C2" s="2896" t="s">
        <v>2985</v>
      </c>
      <c r="D2" s="2896" t="s">
        <v>2986</v>
      </c>
      <c r="E2" s="2897">
        <f ca="1">SUMIF(E6:E13,"&lt;&gt;#ref!",E6:E13)</f>
        <v>100560.83</v>
      </c>
    </row>
    <row r="3" spans="1:5" ht="15.75">
      <c r="A3" s="2896" t="s">
        <v>2987</v>
      </c>
      <c r="B3" s="2897">
        <f ca="1">ROUND(B2*10000/E2,0)</f>
        <v>8277</v>
      </c>
      <c r="C3" s="2896" t="s">
        <v>2993</v>
      </c>
      <c r="D3" s="2898"/>
      <c r="E3" s="2898"/>
    </row>
    <row r="4" spans="1:5" ht="15.75">
      <c r="A4" s="2899"/>
      <c r="B4" s="2898"/>
      <c r="C4" s="2898"/>
      <c r="D4" s="2898"/>
      <c r="E4" s="2898"/>
    </row>
    <row r="5" spans="1:5" ht="28.5">
      <c r="A5" s="2900" t="s">
        <v>2988</v>
      </c>
      <c r="B5" s="2896" t="s">
        <v>2989</v>
      </c>
      <c r="C5" s="2897"/>
      <c r="D5" s="2898"/>
      <c r="E5" s="2896" t="s">
        <v>2990</v>
      </c>
    </row>
    <row r="6" spans="1:5" ht="15.75">
      <c r="A6" s="2901" t="s">
        <v>2991</v>
      </c>
      <c r="B6" s="2897">
        <f ca="1">SUMIF(INDIRECT("'"&amp;A6&amp;"'"&amp;"!A:A"),"总价",INDIRECT("'"&amp;A6&amp;"'"&amp;"!B:B"))</f>
        <v>83234</v>
      </c>
      <c r="C6" s="2896" t="s">
        <v>2985</v>
      </c>
      <c r="D6" s="2898"/>
      <c r="E6" s="2569">
        <f ca="1">SUMIF(INDIRECT("'"&amp;A6&amp;"'"&amp;"!C:C"),"建筑面积",INDIRECT("'"&amp;A6&amp;"'"&amp;"!D:D"))</f>
        <v>100560.83</v>
      </c>
    </row>
    <row r="7" spans="1:5" ht="15.75">
      <c r="A7" s="2901"/>
      <c r="B7" s="2897" t="e">
        <f ca="1">SUMIF(INDIRECT("'"&amp;A7&amp;"'"&amp;"!A:A"),"总价",INDIRECT("'"&amp;A7&amp;"'"&amp;"!B:B"))</f>
        <v>#REF!</v>
      </c>
      <c r="C7" s="2896" t="s">
        <v>2985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2985</v>
      </c>
      <c r="D8" s="2898"/>
      <c r="E8" s="2569" t="e">
        <f t="shared" ca="1" si="0"/>
        <v>#REF!</v>
      </c>
    </row>
    <row r="9" spans="1:5" ht="15.75">
      <c r="A9" s="2901"/>
      <c r="B9" s="2897" t="e">
        <f t="shared" ca="1" si="1"/>
        <v>#REF!</v>
      </c>
      <c r="C9" s="2896" t="s">
        <v>2985</v>
      </c>
      <c r="D9" s="2898"/>
      <c r="E9" s="2569" t="e">
        <f t="shared" ca="1" si="0"/>
        <v>#REF!</v>
      </c>
    </row>
    <row r="10" spans="1:5" ht="15.75">
      <c r="A10" s="2901"/>
      <c r="B10" s="2897" t="e">
        <f t="shared" ca="1" si="1"/>
        <v>#REF!</v>
      </c>
      <c r="C10" s="2896" t="s">
        <v>2985</v>
      </c>
      <c r="D10" s="2898"/>
      <c r="E10" s="2569" t="e">
        <f t="shared" ca="1" si="0"/>
        <v>#REF!</v>
      </c>
    </row>
    <row r="11" spans="1:5" ht="15.75">
      <c r="A11" s="2901"/>
      <c r="B11" s="2897" t="e">
        <f t="shared" ca="1" si="1"/>
        <v>#REF!</v>
      </c>
      <c r="C11" s="2896" t="s">
        <v>2985</v>
      </c>
      <c r="D11" s="2898"/>
      <c r="E11" s="2569" t="e">
        <f t="shared" ca="1" si="0"/>
        <v>#REF!</v>
      </c>
    </row>
    <row r="12" spans="1:5" ht="15.75">
      <c r="A12" s="2901"/>
      <c r="B12" s="2897" t="e">
        <f t="shared" ca="1" si="1"/>
        <v>#REF!</v>
      </c>
      <c r="C12" s="2896" t="s">
        <v>2985</v>
      </c>
      <c r="D12" s="2898"/>
      <c r="E12" s="2569" t="e">
        <f t="shared" ca="1" si="0"/>
        <v>#REF!</v>
      </c>
    </row>
    <row r="13" spans="1:5" ht="15.75">
      <c r="A13" s="2901"/>
      <c r="B13" s="2897" t="e">
        <f t="shared" ca="1" si="1"/>
        <v>#REF!</v>
      </c>
      <c r="C13" s="2896" t="s">
        <v>2985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56"/>
      <c r="B4" s="3017" t="s">
        <v>1625</v>
      </c>
      <c r="C4" s="3017"/>
      <c r="D4" s="3017"/>
      <c r="E4" s="1956"/>
    </row>
    <row r="5" spans="1:5" ht="16.5" thickTop="1">
      <c r="A5" s="1954"/>
      <c r="B5" s="3015" t="s">
        <v>1617</v>
      </c>
      <c r="C5" s="1957" t="s">
        <v>1618</v>
      </c>
      <c r="D5" s="1037">
        <f ca="1">结果表!H101</f>
        <v>241017</v>
      </c>
      <c r="E5" s="1954"/>
    </row>
    <row r="6" spans="1:5" ht="15.75">
      <c r="A6" s="1954"/>
      <c r="B6" s="3015"/>
      <c r="C6" s="1957" t="s">
        <v>1619</v>
      </c>
      <c r="D6" s="1037" t="str">
        <f ca="1">NUMBERSTRING(INT(D5*10000),2)&amp;"元整"</f>
        <v>贰拾肆亿壹仟零壹拾柒万元整</v>
      </c>
      <c r="E6" s="1954"/>
    </row>
    <row r="7" spans="1:5" ht="15.75">
      <c r="A7" s="1954"/>
      <c r="B7" s="3020"/>
      <c r="C7" s="1958" t="s">
        <v>1620</v>
      </c>
      <c r="D7" s="1038">
        <f ca="1">结果表!H102</f>
        <v>23745</v>
      </c>
      <c r="E7" s="1954"/>
    </row>
    <row r="8" spans="1:5" ht="15.75">
      <c r="A8" s="1954"/>
      <c r="B8" s="3021" t="str">
        <f>结果表!E103</f>
        <v>2.估价师知悉的法定优先受偿款</v>
      </c>
      <c r="C8" s="1959" t="s">
        <v>1621</v>
      </c>
      <c r="D8" s="1038">
        <f>结果表!H103</f>
        <v>0</v>
      </c>
      <c r="E8" s="1954"/>
    </row>
    <row r="9" spans="1:5" ht="15.75">
      <c r="A9" s="1954"/>
      <c r="B9" s="3023"/>
      <c r="C9" s="1957" t="s">
        <v>1619</v>
      </c>
      <c r="D9" s="1037" t="str">
        <f>NUMBERSTRING(INT(D8*10000),2)&amp;"元整"</f>
        <v>零元整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0</v>
      </c>
      <c r="E12" s="1954"/>
    </row>
    <row r="13" spans="1:5" ht="15.75">
      <c r="A13" s="1954"/>
      <c r="B13" s="3014" t="str">
        <f>结果表!E107</f>
        <v>——</v>
      </c>
      <c r="C13" s="1962" t="s">
        <v>1618</v>
      </c>
      <c r="D13" s="1040" t="str">
        <f>结果表!H107</f>
        <v>——</v>
      </c>
      <c r="E13" s="1954"/>
    </row>
    <row r="14" spans="1:5" ht="15.75">
      <c r="A14" s="1954"/>
      <c r="B14" s="3015"/>
      <c r="C14" s="1957" t="s">
        <v>1619</v>
      </c>
      <c r="D14" s="1037" t="e">
        <f>NUMBERSTRING(INT(D13*10000),2)&amp;"元整"</f>
        <v>#VALUE!</v>
      </c>
      <c r="E14" s="1954"/>
    </row>
    <row r="15" spans="1:5" ht="15">
      <c r="A15" s="1954"/>
      <c r="B15" s="3020"/>
      <c r="C15" s="1958" t="s">
        <v>1629</v>
      </c>
      <c r="D15" s="1049" t="e">
        <f>结果表!H108</f>
        <v>#VALUE!</v>
      </c>
      <c r="E15" s="1954"/>
    </row>
    <row r="16" spans="1:5" ht="15">
      <c r="A16" s="1954"/>
      <c r="B16" s="3021" t="str">
        <f>结果表!E109</f>
        <v>3.抵押担保权已注销时的房地产抵押价值</v>
      </c>
      <c r="C16" s="1962" t="s">
        <v>1630</v>
      </c>
      <c r="D16" s="1963">
        <f ca="1">结果表!H109</f>
        <v>241017</v>
      </c>
      <c r="E16" s="1954"/>
    </row>
    <row r="17" spans="1:5" ht="15.75">
      <c r="A17" s="1954"/>
      <c r="B17" s="3022"/>
      <c r="C17" s="1957" t="s">
        <v>1631</v>
      </c>
      <c r="D17" s="1037" t="str">
        <f ca="1">NUMBERSTRING(INT(D16*10000),2)&amp;"元整"</f>
        <v>贰拾肆亿壹仟零壹拾柒万元整</v>
      </c>
      <c r="E17" s="1954"/>
    </row>
    <row r="18" spans="1:5" ht="15">
      <c r="A18" s="1954"/>
      <c r="B18" s="3023"/>
      <c r="C18" s="1958" t="s">
        <v>1620</v>
      </c>
      <c r="D18" s="1049">
        <f ca="1">结果表!H110</f>
        <v>23745</v>
      </c>
      <c r="E18" s="1954"/>
    </row>
    <row r="19" spans="1:5" ht="15.75">
      <c r="A19" s="1954"/>
      <c r="B19" s="3014" t="str">
        <f>结果表!E111</f>
        <v>——</v>
      </c>
      <c r="C19" s="1962" t="s">
        <v>1618</v>
      </c>
      <c r="D19" s="1038" t="str">
        <f>结果表!H111</f>
        <v>——</v>
      </c>
      <c r="E19" s="1954"/>
    </row>
    <row r="20" spans="1:5" ht="15.75">
      <c r="A20" s="1954"/>
      <c r="B20" s="3015"/>
      <c r="C20" s="1957" t="s">
        <v>1631</v>
      </c>
      <c r="D20" s="1037" t="e">
        <f>NUMBERSTRING(INT(D19*10000),2)&amp;"元整"</f>
        <v>#VALUE!</v>
      </c>
      <c r="E20" s="1954"/>
    </row>
    <row r="21" spans="1:5" ht="15.75" thickBot="1">
      <c r="A21" s="1954"/>
      <c r="B21" s="3016"/>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2994</v>
      </c>
      <c r="C1" s="3342" t="s">
        <v>2995</v>
      </c>
      <c r="D1" s="3343"/>
      <c r="E1" s="3343"/>
      <c r="F1" s="3343"/>
      <c r="G1" s="3343"/>
      <c r="H1" s="3343"/>
      <c r="I1" s="3343"/>
      <c r="J1" s="3343"/>
      <c r="K1" s="3343"/>
      <c r="L1" s="3343"/>
      <c r="M1" s="3343"/>
      <c r="N1" s="3343"/>
      <c r="O1" s="3343"/>
      <c r="P1" s="3343"/>
      <c r="Q1" s="3343"/>
      <c r="R1" s="3343"/>
      <c r="S1" s="3344"/>
      <c r="T1" s="1201" t="s">
        <v>2996</v>
      </c>
    </row>
    <row r="2" spans="1:45" s="705" customFormat="1" ht="38.25">
      <c r="A2" s="1202"/>
      <c r="B2" s="701" t="s">
        <v>2997</v>
      </c>
      <c r="C2" s="702" t="str">
        <f t="shared" ref="C2:L2" si="0">C3&amp;"(含)"&amp;"-"&amp;D3</f>
        <v>0(含)-100</v>
      </c>
      <c r="D2" s="703" t="str">
        <f t="shared" si="0"/>
        <v>100(含)-200</v>
      </c>
      <c r="E2" s="703" t="str">
        <f t="shared" si="0"/>
        <v>200(含)-500</v>
      </c>
      <c r="F2" s="703" t="str">
        <f t="shared" si="0"/>
        <v>500(含)-1000</v>
      </c>
      <c r="G2" s="703" t="str">
        <f t="shared" si="0"/>
        <v>1000(含)-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102</v>
      </c>
      <c r="E4" s="1208">
        <v>104</v>
      </c>
      <c r="F4" s="1704">
        <v>106</v>
      </c>
      <c r="G4" s="1704">
        <v>108</v>
      </c>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5" t="s">
        <v>2998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2999</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3000</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2" t="s">
        <v>3004</v>
      </c>
      <c r="B17" s="2903" t="s">
        <v>3005</v>
      </c>
      <c r="C17" s="1228">
        <v>1</v>
      </c>
      <c r="D17" s="1229">
        <v>2</v>
      </c>
      <c r="E17" s="1229">
        <v>3</v>
      </c>
      <c r="F17" s="1229">
        <v>4</v>
      </c>
      <c r="G17" s="1229">
        <v>5</v>
      </c>
      <c r="H17" s="1229">
        <v>6</v>
      </c>
      <c r="I17" s="1229">
        <v>7</v>
      </c>
      <c r="J17" s="1229">
        <v>-1</v>
      </c>
      <c r="K17" s="1229">
        <v>-2</v>
      </c>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70</v>
      </c>
      <c r="E18" s="1241">
        <v>60</v>
      </c>
      <c r="F18" s="1241">
        <v>50</v>
      </c>
      <c r="G18" s="1241">
        <v>50</v>
      </c>
      <c r="H18" s="1241">
        <v>45</v>
      </c>
      <c r="I18" s="1241">
        <v>45</v>
      </c>
      <c r="J18" s="1241">
        <v>0.5</v>
      </c>
      <c r="K18" s="1241">
        <v>0.2</v>
      </c>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4" t="s">
        <v>3006</v>
      </c>
      <c r="E19" s="1788"/>
      <c r="F19" s="1788"/>
      <c r="G19" s="1788"/>
      <c r="H19" s="1277"/>
      <c r="I19" s="166"/>
      <c r="J19" s="166"/>
      <c r="K19" s="166"/>
      <c r="L19" s="166"/>
      <c r="M19" s="166"/>
      <c r="N19" s="166"/>
      <c r="O19" s="166"/>
      <c r="P19" s="166"/>
      <c r="Q19" s="166"/>
      <c r="R19" s="785"/>
      <c r="S19" s="136"/>
    </row>
    <row r="20" spans="1:45" ht="16.5" thickBot="1">
      <c r="A20" s="713" t="s">
        <v>3007</v>
      </c>
      <c r="B20" s="336">
        <f>IF(D20="——",S22,S22-F20)</f>
        <v>200932</v>
      </c>
      <c r="C20" s="166"/>
      <c r="D20" s="2905" t="s">
        <v>70</v>
      </c>
      <c r="E20" s="1789"/>
      <c r="F20" s="1201">
        <f ca="1">SUMIF(INDIRECT("'"&amp;H20&amp;"'"&amp;"!A:A"),"承租人权益价值",INDIRECT("'"&amp;H20&amp;"'"&amp;"!c:c"))</f>
        <v>-329402</v>
      </c>
      <c r="G20" s="1201" t="s">
        <v>3008</v>
      </c>
      <c r="H20" s="2906" t="s">
        <v>3061</v>
      </c>
      <c r="I20" s="166"/>
      <c r="J20" s="166"/>
      <c r="K20" s="166"/>
      <c r="L20" s="166"/>
      <c r="M20" s="166"/>
      <c r="N20" s="166"/>
      <c r="O20" s="166"/>
      <c r="P20" s="166"/>
      <c r="Q20" s="166"/>
      <c r="R20" s="785"/>
      <c r="S20" s="136"/>
    </row>
    <row r="21" spans="1:45" ht="15.75">
      <c r="A21" s="713" t="s">
        <v>3009</v>
      </c>
      <c r="B21" s="336">
        <f>R22</f>
        <v>20011</v>
      </c>
      <c r="C21" s="166"/>
      <c r="D21" s="166"/>
      <c r="E21" s="166"/>
      <c r="F21" s="166"/>
      <c r="G21" s="166"/>
      <c r="H21" s="166"/>
      <c r="I21" s="166"/>
      <c r="J21" s="166"/>
      <c r="K21" s="166"/>
      <c r="L21" s="166"/>
      <c r="M21" s="166"/>
      <c r="N21" s="166"/>
      <c r="O21" s="166"/>
      <c r="P21" s="166"/>
      <c r="Q21" s="166"/>
      <c r="R21" s="785"/>
      <c r="S21" s="136"/>
    </row>
    <row r="22" spans="1:45">
      <c r="A22" s="359" t="s">
        <v>3010</v>
      </c>
      <c r="B22" s="24">
        <f>SUM(B24:B10000)</f>
        <v>100411.95999999999</v>
      </c>
      <c r="C22" s="3115" t="s">
        <v>33</v>
      </c>
      <c r="D22" s="3116"/>
      <c r="E22" s="3116"/>
      <c r="F22" s="3116"/>
      <c r="G22" s="3116"/>
      <c r="H22" s="3116"/>
      <c r="I22" s="3116"/>
      <c r="J22" s="3116"/>
      <c r="K22" s="3116"/>
      <c r="L22" s="3116"/>
      <c r="M22" s="3116"/>
      <c r="N22" s="3116"/>
      <c r="O22" s="3116"/>
      <c r="P22" s="3116"/>
      <c r="Q22" s="3341"/>
      <c r="R22" s="714">
        <f>ROUND(S22*10000/B22,0)</f>
        <v>20011</v>
      </c>
      <c r="S22" s="24">
        <f>SUM(S24:S10000)</f>
        <v>200932</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157">
        <v>1</v>
      </c>
      <c r="B24" s="59">
        <v>11051.25</v>
      </c>
      <c r="C24" s="717">
        <v>1</v>
      </c>
      <c r="D24" s="718"/>
      <c r="E24" s="717">
        <v>1</v>
      </c>
      <c r="F24" s="718"/>
      <c r="G24" s="717">
        <v>1</v>
      </c>
      <c r="H24" s="718"/>
      <c r="I24" s="717">
        <v>1</v>
      </c>
      <c r="J24" s="718"/>
      <c r="K24" s="717">
        <v>1</v>
      </c>
      <c r="L24" s="718"/>
      <c r="M24" s="717">
        <v>1</v>
      </c>
      <c r="N24" s="718"/>
      <c r="O24" s="717">
        <v>1</v>
      </c>
      <c r="P24" s="718">
        <v>1</v>
      </c>
      <c r="Q24" s="717">
        <v>1</v>
      </c>
      <c r="R24" s="719">
        <f>'比较法-商业'!C49</f>
        <v>51789</v>
      </c>
      <c r="S24" s="717">
        <f t="shared" ref="S24:S54" si="11">ROUND(R24*B24/10000,0)</f>
        <v>57233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v>2</v>
      </c>
      <c r="B25" s="59">
        <v>10190.469999999999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0.7</v>
      </c>
      <c r="R25" s="714">
        <f>IF(B25="",0,ROUND($R$24*C25*E25*G25*I25*K25*M25*O25*Q25,0))</f>
        <v>36252</v>
      </c>
      <c r="S25" s="359">
        <f t="shared" si="11"/>
        <v>36942</v>
      </c>
    </row>
    <row r="26" spans="1:45">
      <c r="A26" s="157">
        <v>3</v>
      </c>
      <c r="B26" s="59">
        <v>10512.52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3</v>
      </c>
      <c r="Q26" s="24">
        <f t="shared" ref="Q26:Q89" si="19">(SUMIF($17:$17,P26,$18:$18)-SUMIF($17:$17,$P$24,$18:$18)+100)/100</f>
        <v>0.6</v>
      </c>
      <c r="R26" s="714">
        <f t="shared" ref="R26:R89" si="20">IF(B26="",0,ROUND($R$24*C26*E26*G26*I26*K26*M26*O26*Q26,0))</f>
        <v>31073</v>
      </c>
      <c r="S26" s="359">
        <f t="shared" si="11"/>
        <v>32666</v>
      </c>
    </row>
    <row r="27" spans="1:45">
      <c r="A27" s="157">
        <v>4</v>
      </c>
      <c r="B27" s="59">
        <v>10503.02</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4</v>
      </c>
      <c r="Q27" s="24">
        <f t="shared" si="19"/>
        <v>0.5</v>
      </c>
      <c r="R27" s="714">
        <f t="shared" si="20"/>
        <v>25895</v>
      </c>
      <c r="S27" s="359">
        <f t="shared" si="11"/>
        <v>27198</v>
      </c>
    </row>
    <row r="28" spans="1:45">
      <c r="A28" s="157">
        <v>5</v>
      </c>
      <c r="B28" s="59">
        <v>7946.38</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5</v>
      </c>
      <c r="Q28" s="24">
        <f t="shared" si="19"/>
        <v>0.5</v>
      </c>
      <c r="R28" s="714">
        <f t="shared" si="20"/>
        <v>25895</v>
      </c>
      <c r="S28" s="359">
        <f t="shared" si="11"/>
        <v>20577</v>
      </c>
    </row>
    <row r="29" spans="1:45">
      <c r="A29" s="157">
        <v>6</v>
      </c>
      <c r="B29" s="59">
        <v>7361.49</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6</v>
      </c>
      <c r="Q29" s="24">
        <f t="shared" si="19"/>
        <v>0.45</v>
      </c>
      <c r="R29" s="714">
        <f t="shared" si="20"/>
        <v>23305</v>
      </c>
      <c r="S29" s="359">
        <f t="shared" si="11"/>
        <v>17156</v>
      </c>
    </row>
    <row r="30" spans="1:45">
      <c r="A30" s="157">
        <v>7</v>
      </c>
      <c r="B30" s="59">
        <v>3621.76</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7</v>
      </c>
      <c r="Q30" s="24">
        <f t="shared" si="19"/>
        <v>0.45</v>
      </c>
      <c r="R30" s="714">
        <f t="shared" si="20"/>
        <v>23305</v>
      </c>
      <c r="S30" s="359">
        <f t="shared" si="11"/>
        <v>8441</v>
      </c>
    </row>
    <row r="31" spans="1:45">
      <c r="A31" s="157">
        <v>8</v>
      </c>
      <c r="B31" s="59">
        <v>443.51</v>
      </c>
      <c r="C31" s="24">
        <f t="shared" si="12"/>
        <v>0.96</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8</v>
      </c>
      <c r="Q31" s="24">
        <f t="shared" si="19"/>
        <v>0</v>
      </c>
      <c r="R31" s="714">
        <f t="shared" si="20"/>
        <v>0</v>
      </c>
      <c r="S31" s="359">
        <f t="shared" si="11"/>
        <v>0</v>
      </c>
    </row>
    <row r="32" spans="1:45">
      <c r="A32" s="716" t="s">
        <v>3290</v>
      </c>
      <c r="B32" s="716">
        <v>20364.990000000002</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5.0000000000000001E-3</v>
      </c>
      <c r="R32" s="714">
        <f t="shared" si="20"/>
        <v>259</v>
      </c>
      <c r="S32" s="359">
        <f t="shared" si="11"/>
        <v>527</v>
      </c>
    </row>
    <row r="33" spans="1:19">
      <c r="A33" s="157" t="s">
        <v>3291</v>
      </c>
      <c r="B33" s="59">
        <v>18416.57</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-2</v>
      </c>
      <c r="Q33" s="24">
        <f t="shared" si="19"/>
        <v>2.0000000000000282E-3</v>
      </c>
      <c r="R33" s="714">
        <f t="shared" si="20"/>
        <v>104</v>
      </c>
      <c r="S33" s="359">
        <f t="shared" si="11"/>
        <v>192</v>
      </c>
    </row>
    <row r="34" spans="1:19">
      <c r="A34" s="716"/>
      <c r="B34" s="716"/>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100173</v>
      </c>
      <c r="C2" s="2" t="s">
        <v>133</v>
      </c>
      <c r="D2" s="241"/>
      <c r="E2" s="241"/>
      <c r="F2" s="241"/>
      <c r="G2" s="241"/>
    </row>
    <row r="3" spans="1:7" s="242" customFormat="1" ht="18" customHeight="1" thickBot="1">
      <c r="A3" s="245" t="s">
        <v>85</v>
      </c>
      <c r="B3" s="246">
        <f ca="1">ROUND(B2*10000/'数据-汇总表'!E3,0)</f>
        <v>9869</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2030</v>
      </c>
      <c r="D10" s="1029">
        <f>'数据-汇总表'!E6</f>
        <v>101504.34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2030</v>
      </c>
      <c r="D19" s="1033">
        <f>'数据-汇总表'!E3</f>
        <v>101504.34</v>
      </c>
      <c r="E19" s="253">
        <f>'数据-取费表'!B31</f>
        <v>200</v>
      </c>
      <c r="F19" s="273"/>
      <c r="G19" s="1" t="s">
        <v>1071</v>
      </c>
    </row>
    <row r="20" spans="1:7" s="256" customFormat="1" ht="13.5" customHeight="1">
      <c r="A20" s="945" t="s">
        <v>1054</v>
      </c>
      <c r="B20" s="252" t="s">
        <v>104</v>
      </c>
      <c r="C20" s="274">
        <f>ROUND((C5+C19)*F20,0)</f>
        <v>679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2233</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197</v>
      </c>
      <c r="D24" s="280"/>
      <c r="E24" s="280"/>
      <c r="F24" s="281"/>
      <c r="G24" s="282" t="s">
        <v>109</v>
      </c>
    </row>
    <row r="25" spans="1:7" s="256" customFormat="1" ht="24">
      <c r="A25" s="948" t="s">
        <v>793</v>
      </c>
      <c r="B25" s="257" t="s">
        <v>1055</v>
      </c>
      <c r="C25" s="1352">
        <f ca="1">ROUND(IF('数据-取费表'!B22&lt;=1,C20*F22*'数据-取费表'!B23/2,C20*(POWER((1+F22),'数据-取费表'!B23/2)-1)),0)</f>
        <v>32</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4.75">
      <c r="A27" s="945" t="s">
        <v>787</v>
      </c>
      <c r="B27" s="286" t="s">
        <v>112</v>
      </c>
      <c r="C27" s="287">
        <f>C28</f>
        <v>5830</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5830</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34534</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48514</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43647</v>
      </c>
      <c r="D34" s="259"/>
      <c r="E34" s="262"/>
      <c r="F34" s="299">
        <f>IF('数据-取费表'!B24=0,1,'数据-取费表'!N16)</f>
        <v>1</v>
      </c>
      <c r="G34" s="261" t="s">
        <v>116</v>
      </c>
    </row>
    <row r="35" spans="1:7" ht="13.5" customHeight="1">
      <c r="A35" s="948" t="s">
        <v>796</v>
      </c>
      <c r="B35" s="257" t="s">
        <v>60</v>
      </c>
      <c r="C35" s="262">
        <f>ROUND(C34*F35,0)</f>
        <v>2182</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2030</v>
      </c>
      <c r="D37" s="259">
        <f>'数据-汇总表'!E3</f>
        <v>101504.34</v>
      </c>
      <c r="E37" s="291">
        <f>'数据-取费表'!B35</f>
        <v>200</v>
      </c>
      <c r="F37" s="301"/>
      <c r="G37" s="303" t="s">
        <v>119</v>
      </c>
    </row>
    <row r="38" spans="1:7" ht="13.5" customHeight="1">
      <c r="A38" s="948" t="s">
        <v>799</v>
      </c>
      <c r="B38" s="257" t="s">
        <v>63</v>
      </c>
      <c r="C38" s="262">
        <f>ROUND(C34*F38,0)</f>
        <v>655</v>
      </c>
      <c r="D38" s="262"/>
      <c r="E38" s="262"/>
      <c r="F38" s="301">
        <f>'数据-取费表'!B36</f>
        <v>1.4999999999999999E-2</v>
      </c>
      <c r="G38" s="261" t="s">
        <v>117</v>
      </c>
    </row>
    <row r="39" spans="1:7" s="256" customFormat="1" ht="13.5" customHeight="1">
      <c r="A39" s="945" t="s">
        <v>783</v>
      </c>
      <c r="B39" s="252" t="s">
        <v>104</v>
      </c>
      <c r="C39" s="274">
        <f>ROUND(C33*F20,0)</f>
        <v>1455</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2373</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2304</v>
      </c>
      <c r="D42" s="280"/>
      <c r="E42" s="280"/>
      <c r="F42" s="281"/>
      <c r="G42" s="3204" t="s">
        <v>121</v>
      </c>
    </row>
    <row r="43" spans="1:7" ht="13.5" customHeight="1">
      <c r="A43" s="948" t="s">
        <v>792</v>
      </c>
      <c r="B43" s="257" t="s">
        <v>1061</v>
      </c>
      <c r="C43" s="280">
        <f ca="1">ROUND(IF('数据-取费表'!B22&lt;=1,C39*F22*'数据-取费表'!B21/2,C39*(POWER((1+F22),'数据-取费表'!B21/2)-1)),0)</f>
        <v>69</v>
      </c>
      <c r="D43" s="280"/>
      <c r="E43" s="280"/>
      <c r="F43" s="281"/>
      <c r="G43" s="3205"/>
    </row>
    <row r="44" spans="1:7" ht="13.5" customHeight="1">
      <c r="A44" s="948" t="s">
        <v>793</v>
      </c>
      <c r="B44" s="257" t="s">
        <v>1063</v>
      </c>
      <c r="C44" s="280">
        <f ca="1">ROUND(IF('数据-取费表'!B22&lt;=1,C40*F22*'数据-取费表'!B21/2,C40*(POWER((1+F22),'数据-取费表'!B21/2)-1)),4)</f>
        <v>1.4E-3</v>
      </c>
      <c r="D44" s="280"/>
      <c r="E44" s="280"/>
      <c r="F44" s="281"/>
      <c r="G44" s="3206"/>
    </row>
    <row r="45" spans="1:7" s="256" customFormat="1" ht="13.5" customHeight="1">
      <c r="A45" s="945" t="s">
        <v>786</v>
      </c>
      <c r="B45" s="286" t="s">
        <v>112</v>
      </c>
      <c r="C45" s="287">
        <f>C46</f>
        <v>12492</v>
      </c>
      <c r="D45" s="277">
        <f>C47</f>
        <v>7.4999999999999997E-3</v>
      </c>
      <c r="E45" s="278" t="s">
        <v>129</v>
      </c>
      <c r="F45" s="288"/>
      <c r="G45" s="289" t="s">
        <v>1069</v>
      </c>
    </row>
    <row r="46" spans="1:7" s="256" customFormat="1" ht="13.5" customHeight="1">
      <c r="A46" s="948" t="s">
        <v>794</v>
      </c>
      <c r="B46" s="290" t="s">
        <v>1062</v>
      </c>
      <c r="C46" s="291">
        <f>ROUND((C33+C39)*F27,0)</f>
        <v>12492</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71347</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65639</v>
      </c>
      <c r="D51" s="274"/>
      <c r="E51" s="274"/>
      <c r="F51" s="306"/>
      <c r="G51" s="276" t="s">
        <v>64</v>
      </c>
    </row>
    <row r="52" spans="1:7" s="250" customFormat="1" ht="16.5" thickBot="1">
      <c r="A52" s="307" t="s">
        <v>65</v>
      </c>
      <c r="B52" s="308"/>
      <c r="C52" s="309">
        <f ca="1">C31+C51</f>
        <v>100173</v>
      </c>
      <c r="D52" s="308"/>
      <c r="E52" s="308"/>
      <c r="F52" s="308"/>
      <c r="G52" s="310"/>
    </row>
    <row r="55" spans="1:7" ht="15">
      <c r="B55" s="312" t="s">
        <v>66</v>
      </c>
      <c r="C55" s="313"/>
    </row>
    <row r="56" spans="1:7">
      <c r="B56" s="315" t="s">
        <v>67</v>
      </c>
      <c r="C56" s="316">
        <f ca="1">ROUND(C51/C52,3)</f>
        <v>0.65500000000000003</v>
      </c>
    </row>
    <row r="57" spans="1:7">
      <c r="B57" s="315" t="s">
        <v>68</v>
      </c>
      <c r="C57" s="317">
        <f ca="1">1-C56</f>
        <v>0.34499999999999997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5" t="s">
        <v>156</v>
      </c>
      <c r="B1" s="3345"/>
      <c r="C1" s="3345"/>
      <c r="D1" s="3345"/>
      <c r="E1" s="3345"/>
      <c r="F1" s="33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6" t="s">
        <v>169</v>
      </c>
      <c r="B2" s="3346"/>
      <c r="C2" s="3346"/>
      <c r="D2" s="3346"/>
      <c r="E2" s="3346"/>
      <c r="F2" s="33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5" t="s">
        <v>868</v>
      </c>
      <c r="B1" s="334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43756</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58"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3111</v>
      </c>
      <c r="B1" s="1631" t="s">
        <v>3112</v>
      </c>
      <c r="C1" s="1631" t="s">
        <v>3113</v>
      </c>
      <c r="D1" s="1631" t="s">
        <v>3114</v>
      </c>
      <c r="E1" s="1631" t="s">
        <v>3115</v>
      </c>
      <c r="F1" s="1631" t="s">
        <v>3116</v>
      </c>
      <c r="G1" s="1631" t="s">
        <v>3117</v>
      </c>
      <c r="H1" s="1631" t="s">
        <v>3118</v>
      </c>
      <c r="I1" s="1631" t="s">
        <v>3119</v>
      </c>
      <c r="J1" s="1631" t="s">
        <v>3120</v>
      </c>
      <c r="K1" s="1631" t="s">
        <v>3121</v>
      </c>
      <c r="L1" s="2977" t="s">
        <v>3269</v>
      </c>
      <c r="M1" s="1631" t="s">
        <v>3122</v>
      </c>
      <c r="N1" s="1631" t="s">
        <v>3123</v>
      </c>
      <c r="O1" s="1631" t="s">
        <v>3124</v>
      </c>
    </row>
    <row r="2" spans="1:15">
      <c r="A2" s="1631" t="s">
        <v>3125</v>
      </c>
      <c r="B2" s="1631" t="s">
        <v>3047</v>
      </c>
      <c r="C2" s="1631" t="s">
        <v>3126</v>
      </c>
      <c r="D2" s="1631">
        <v>42276.47</v>
      </c>
      <c r="E2" s="1631">
        <v>84552.93</v>
      </c>
      <c r="F2" s="1631" t="s">
        <v>3127</v>
      </c>
      <c r="G2" s="1631" t="s">
        <v>3128</v>
      </c>
      <c r="H2" s="1631" t="s">
        <v>3129</v>
      </c>
      <c r="I2" s="1631">
        <v>95000</v>
      </c>
      <c r="J2" s="1631">
        <v>96500</v>
      </c>
      <c r="K2" s="1631">
        <v>11412.96</v>
      </c>
      <c r="L2" s="1631">
        <f>ROUND(J2*10000/D2,0)</f>
        <v>22826</v>
      </c>
      <c r="M2" s="1631">
        <v>1.58</v>
      </c>
      <c r="N2" s="1631" t="s">
        <v>3130</v>
      </c>
      <c r="O2" s="1631" t="s">
        <v>3131</v>
      </c>
    </row>
    <row r="3" spans="1:15">
      <c r="A3" s="1631" t="s">
        <v>3132</v>
      </c>
      <c r="B3" s="1631" t="s">
        <v>3047</v>
      </c>
      <c r="C3" s="1631" t="s">
        <v>3126</v>
      </c>
      <c r="D3" s="1631">
        <v>51736.9</v>
      </c>
      <c r="E3" s="1631">
        <v>81600.05</v>
      </c>
      <c r="F3" s="1631" t="s">
        <v>3133</v>
      </c>
      <c r="G3" s="1631" t="s">
        <v>3128</v>
      </c>
      <c r="H3" s="1631" t="s">
        <v>3134</v>
      </c>
      <c r="I3" s="1631">
        <v>150000</v>
      </c>
      <c r="J3" s="1631">
        <v>150000</v>
      </c>
      <c r="K3" s="1631">
        <v>18382.34</v>
      </c>
      <c r="L3" s="1631">
        <f t="shared" ref="L3:L51" si="0">ROUND(J3*10000/D3,0)</f>
        <v>28993</v>
      </c>
      <c r="M3" s="1631">
        <v>0</v>
      </c>
      <c r="N3" s="1631" t="s">
        <v>3135</v>
      </c>
      <c r="O3" s="1631" t="s">
        <v>3131</v>
      </c>
    </row>
    <row r="4" spans="1:15" ht="12.75" customHeight="1">
      <c r="A4" s="1631" t="s">
        <v>3136</v>
      </c>
      <c r="B4" s="1631" t="s">
        <v>3047</v>
      </c>
      <c r="C4" s="1631" t="s">
        <v>3126</v>
      </c>
      <c r="D4" s="1631">
        <v>33071.620000000003</v>
      </c>
      <c r="E4" s="1631">
        <v>122423.9</v>
      </c>
      <c r="F4" s="1631">
        <v>3.7</v>
      </c>
      <c r="G4" s="1631" t="s">
        <v>3128</v>
      </c>
      <c r="H4" s="1631" t="s">
        <v>3137</v>
      </c>
      <c r="I4" s="1631">
        <v>183000</v>
      </c>
      <c r="J4" s="1631">
        <v>183000</v>
      </c>
      <c r="K4" s="1631">
        <v>14948.05</v>
      </c>
      <c r="L4" s="1631">
        <f t="shared" si="0"/>
        <v>55334</v>
      </c>
      <c r="M4" s="1631">
        <v>0</v>
      </c>
      <c r="N4" s="1631" t="s">
        <v>3138</v>
      </c>
      <c r="O4" s="1631" t="s">
        <v>3131</v>
      </c>
    </row>
    <row r="5" spans="1:15" s="2978" customFormat="1">
      <c r="A5" s="2978" t="s">
        <v>3139</v>
      </c>
      <c r="B5" s="2978" t="s">
        <v>3047</v>
      </c>
      <c r="C5" s="2978" t="s">
        <v>3126</v>
      </c>
      <c r="D5" s="2978">
        <v>66237.2</v>
      </c>
      <c r="E5" s="2978">
        <v>264058.7</v>
      </c>
      <c r="F5" s="2978">
        <v>3.99</v>
      </c>
      <c r="G5" s="2978" t="s">
        <v>3128</v>
      </c>
      <c r="H5" s="2978" t="s">
        <v>3140</v>
      </c>
      <c r="I5" s="2978">
        <v>385000</v>
      </c>
      <c r="J5" s="2978">
        <v>385000</v>
      </c>
      <c r="K5" s="2978">
        <v>14580.09</v>
      </c>
      <c r="L5" s="2978">
        <f t="shared" si="0"/>
        <v>58124</v>
      </c>
      <c r="M5" s="2978">
        <v>0</v>
      </c>
      <c r="N5" s="2978" t="s">
        <v>3141</v>
      </c>
      <c r="O5" s="2978" t="s">
        <v>3131</v>
      </c>
    </row>
    <row r="6" spans="1:15">
      <c r="A6" s="1631" t="s">
        <v>3142</v>
      </c>
      <c r="B6" s="1631" t="s">
        <v>3047</v>
      </c>
      <c r="C6" s="1631" t="s">
        <v>3126</v>
      </c>
      <c r="D6" s="1631">
        <v>18303.330000000002</v>
      </c>
      <c r="E6" s="1631">
        <v>58571</v>
      </c>
      <c r="F6" s="1631">
        <v>3.2</v>
      </c>
      <c r="G6" s="1631" t="s">
        <v>3128</v>
      </c>
      <c r="H6" s="1631" t="s">
        <v>3143</v>
      </c>
      <c r="I6" s="1631">
        <v>79600</v>
      </c>
      <c r="J6" s="1631">
        <v>129000</v>
      </c>
      <c r="K6" s="1631">
        <v>22024.54</v>
      </c>
      <c r="L6" s="1631">
        <f t="shared" si="0"/>
        <v>70479</v>
      </c>
      <c r="M6" s="1631">
        <v>62.06</v>
      </c>
      <c r="N6" s="1631" t="s">
        <v>3144</v>
      </c>
      <c r="O6" s="1631" t="s">
        <v>3145</v>
      </c>
    </row>
    <row r="7" spans="1:15" s="2978" customFormat="1">
      <c r="A7" s="2978" t="s">
        <v>3146</v>
      </c>
      <c r="B7" s="2978" t="s">
        <v>3047</v>
      </c>
      <c r="C7" s="2978" t="s">
        <v>3126</v>
      </c>
      <c r="D7" s="2978">
        <v>29183.54</v>
      </c>
      <c r="E7" s="2978">
        <v>72959</v>
      </c>
      <c r="F7" s="2978">
        <v>2.5</v>
      </c>
      <c r="G7" s="2978" t="s">
        <v>3128</v>
      </c>
      <c r="H7" s="2978" t="s">
        <v>3147</v>
      </c>
      <c r="I7" s="2978">
        <v>83000</v>
      </c>
      <c r="J7" s="2978">
        <v>106000</v>
      </c>
      <c r="K7" s="2978">
        <v>14528.7</v>
      </c>
      <c r="L7" s="2978">
        <f t="shared" si="0"/>
        <v>36322</v>
      </c>
      <c r="M7" s="2978">
        <v>27.71</v>
      </c>
      <c r="N7" s="2978" t="s">
        <v>3148</v>
      </c>
      <c r="O7" s="2978" t="s">
        <v>3131</v>
      </c>
    </row>
    <row r="8" spans="1:15" s="2978" customFormat="1">
      <c r="A8" s="2978" t="s">
        <v>3149</v>
      </c>
      <c r="B8" s="2978" t="s">
        <v>3047</v>
      </c>
      <c r="C8" s="2978" t="s">
        <v>3126</v>
      </c>
      <c r="D8" s="2978">
        <v>23639.39</v>
      </c>
      <c r="E8" s="2978">
        <v>75646</v>
      </c>
      <c r="F8" s="2978">
        <v>3.2</v>
      </c>
      <c r="G8" s="2978" t="s">
        <v>3128</v>
      </c>
      <c r="H8" s="2978" t="s">
        <v>3150</v>
      </c>
      <c r="I8" s="2978">
        <v>102000</v>
      </c>
      <c r="J8" s="2978">
        <v>103020</v>
      </c>
      <c r="K8" s="2978">
        <v>13618.7</v>
      </c>
      <c r="L8" s="2978">
        <f t="shared" si="0"/>
        <v>43580</v>
      </c>
      <c r="M8" s="2978">
        <v>1</v>
      </c>
      <c r="N8" s="2978" t="s">
        <v>3151</v>
      </c>
      <c r="O8" s="2978" t="s">
        <v>3145</v>
      </c>
    </row>
    <row r="9" spans="1:15">
      <c r="A9" s="1631" t="s">
        <v>3152</v>
      </c>
      <c r="B9" s="1631" t="s">
        <v>3047</v>
      </c>
      <c r="C9" s="1631" t="s">
        <v>3126</v>
      </c>
      <c r="D9" s="1631">
        <v>33619.79</v>
      </c>
      <c r="E9" s="1631">
        <v>134479</v>
      </c>
      <c r="F9" s="1631">
        <v>4</v>
      </c>
      <c r="G9" s="1631" t="s">
        <v>3128</v>
      </c>
      <c r="H9" s="1631" t="s">
        <v>3153</v>
      </c>
      <c r="I9" s="1631">
        <v>153000</v>
      </c>
      <c r="J9" s="1631">
        <v>334000</v>
      </c>
      <c r="K9" s="1631">
        <v>24836.59</v>
      </c>
      <c r="L9" s="1631">
        <f t="shared" si="0"/>
        <v>99346</v>
      </c>
      <c r="M9" s="1631">
        <v>118.3</v>
      </c>
      <c r="N9" s="1631" t="s">
        <v>3154</v>
      </c>
      <c r="O9" s="1631" t="s">
        <v>3155</v>
      </c>
    </row>
    <row r="10" spans="1:15">
      <c r="A10" s="1631" t="s">
        <v>3156</v>
      </c>
      <c r="B10" s="1631" t="s">
        <v>3047</v>
      </c>
      <c r="C10" s="1631" t="s">
        <v>3126</v>
      </c>
      <c r="D10" s="1631">
        <v>71916.58</v>
      </c>
      <c r="E10" s="1631">
        <v>107875</v>
      </c>
      <c r="F10" s="1631">
        <v>1.5</v>
      </c>
      <c r="G10" s="1631" t="s">
        <v>3128</v>
      </c>
      <c r="H10" s="1631" t="s">
        <v>3157</v>
      </c>
      <c r="I10" s="1631">
        <v>90000</v>
      </c>
      <c r="J10" s="1631">
        <v>181000</v>
      </c>
      <c r="K10" s="1631">
        <v>16778.68</v>
      </c>
      <c r="L10" s="1631">
        <f t="shared" si="0"/>
        <v>25168</v>
      </c>
      <c r="M10" s="1631">
        <v>101.11</v>
      </c>
      <c r="N10" s="1631" t="s">
        <v>3158</v>
      </c>
      <c r="O10" s="1631" t="s">
        <v>3159</v>
      </c>
    </row>
    <row r="11" spans="1:15">
      <c r="A11" s="1631" t="s">
        <v>3160</v>
      </c>
      <c r="B11" s="1631" t="s">
        <v>3047</v>
      </c>
      <c r="C11" s="1631" t="s">
        <v>3126</v>
      </c>
      <c r="D11" s="1631">
        <v>47919.26</v>
      </c>
      <c r="E11" s="1631">
        <v>143758</v>
      </c>
      <c r="F11" s="1631">
        <v>3</v>
      </c>
      <c r="G11" s="1631" t="s">
        <v>3128</v>
      </c>
      <c r="H11" s="1631" t="s">
        <v>3161</v>
      </c>
      <c r="I11" s="1631">
        <v>120000</v>
      </c>
      <c r="J11" s="1631">
        <v>130000</v>
      </c>
      <c r="K11" s="1631">
        <v>9042.9599999999991</v>
      </c>
      <c r="L11" s="1631">
        <f t="shared" si="0"/>
        <v>27129</v>
      </c>
      <c r="M11" s="1631">
        <v>8.33</v>
      </c>
      <c r="N11" s="1631" t="s">
        <v>3158</v>
      </c>
      <c r="O11" s="1631" t="s">
        <v>3131</v>
      </c>
    </row>
    <row r="12" spans="1:15">
      <c r="A12" s="1631" t="s">
        <v>3162</v>
      </c>
      <c r="B12" s="1631" t="s">
        <v>3047</v>
      </c>
      <c r="C12" s="1631" t="s">
        <v>3126</v>
      </c>
      <c r="D12" s="1631">
        <v>61900.3</v>
      </c>
      <c r="E12" s="1631">
        <v>111421</v>
      </c>
      <c r="F12" s="1631">
        <v>1.8</v>
      </c>
      <c r="G12" s="1631" t="s">
        <v>3128</v>
      </c>
      <c r="H12" s="1631" t="s">
        <v>3163</v>
      </c>
      <c r="I12" s="1631">
        <v>89500</v>
      </c>
      <c r="J12" s="1631">
        <v>197000</v>
      </c>
      <c r="K12" s="1631">
        <v>17680.68</v>
      </c>
      <c r="L12" s="1631">
        <f t="shared" si="0"/>
        <v>31825</v>
      </c>
      <c r="M12" s="1631">
        <v>120.11</v>
      </c>
      <c r="N12" s="1631" t="s">
        <v>3158</v>
      </c>
      <c r="O12" s="1631" t="s">
        <v>3159</v>
      </c>
    </row>
    <row r="13" spans="1:15">
      <c r="A13" s="1631" t="s">
        <v>3164</v>
      </c>
      <c r="B13" s="1631" t="s">
        <v>3047</v>
      </c>
      <c r="C13" s="1631" t="s">
        <v>3126</v>
      </c>
      <c r="D13" s="1631">
        <v>66594.820000000007</v>
      </c>
      <c r="E13" s="1631">
        <v>119871</v>
      </c>
      <c r="F13" s="1631">
        <v>1.8</v>
      </c>
      <c r="G13" s="1631" t="s">
        <v>3128</v>
      </c>
      <c r="H13" s="1631" t="s">
        <v>3163</v>
      </c>
      <c r="I13" s="1631">
        <v>96000</v>
      </c>
      <c r="J13" s="1631">
        <v>196000</v>
      </c>
      <c r="K13" s="1631">
        <v>16350.9</v>
      </c>
      <c r="L13" s="1631">
        <f t="shared" si="0"/>
        <v>29432</v>
      </c>
      <c r="M13" s="1631">
        <v>104.17</v>
      </c>
      <c r="N13" s="1631" t="s">
        <v>3158</v>
      </c>
      <c r="O13" s="1631" t="s">
        <v>3159</v>
      </c>
    </row>
    <row r="14" spans="1:15">
      <c r="A14" s="1631" t="s">
        <v>3165</v>
      </c>
      <c r="B14" s="1631" t="s">
        <v>3047</v>
      </c>
      <c r="C14" s="1631" t="s">
        <v>3126</v>
      </c>
      <c r="D14" s="1631">
        <v>24464</v>
      </c>
      <c r="E14" s="1631">
        <v>48928</v>
      </c>
      <c r="F14" s="1631">
        <v>2</v>
      </c>
      <c r="G14" s="1631" t="s">
        <v>3128</v>
      </c>
      <c r="H14" s="1631" t="s">
        <v>3166</v>
      </c>
      <c r="I14" s="1631">
        <v>28200</v>
      </c>
      <c r="J14" s="1631">
        <v>46800</v>
      </c>
      <c r="K14" s="1631">
        <v>9565.07</v>
      </c>
      <c r="L14" s="1631">
        <f t="shared" si="0"/>
        <v>19130</v>
      </c>
      <c r="M14" s="1631">
        <v>65.959999999999994</v>
      </c>
      <c r="N14" s="1631" t="s">
        <v>3167</v>
      </c>
      <c r="O14" s="1631" t="s">
        <v>3159</v>
      </c>
    </row>
    <row r="15" spans="1:15">
      <c r="A15" s="1631" t="s">
        <v>3168</v>
      </c>
      <c r="B15" s="1631" t="s">
        <v>3047</v>
      </c>
      <c r="C15" s="1631" t="s">
        <v>3126</v>
      </c>
      <c r="D15" s="1631">
        <v>38024.39</v>
      </c>
      <c r="E15" s="1631">
        <v>106468</v>
      </c>
      <c r="F15" s="1631">
        <v>2.8</v>
      </c>
      <c r="G15" s="1631" t="s">
        <v>3128</v>
      </c>
      <c r="H15" s="1631" t="s">
        <v>3169</v>
      </c>
      <c r="I15" s="1631">
        <v>87000</v>
      </c>
      <c r="J15" s="1631">
        <v>97000</v>
      </c>
      <c r="K15" s="1631">
        <v>9110.7099999999991</v>
      </c>
      <c r="L15" s="1631">
        <f t="shared" si="0"/>
        <v>25510</v>
      </c>
      <c r="M15" s="1631">
        <v>11.49</v>
      </c>
      <c r="N15" s="1631" t="s">
        <v>3170</v>
      </c>
      <c r="O15" s="1631" t="s">
        <v>3145</v>
      </c>
    </row>
    <row r="16" spans="1:15">
      <c r="A16" s="1631" t="s">
        <v>3171</v>
      </c>
      <c r="B16" s="1631" t="s">
        <v>3047</v>
      </c>
      <c r="C16" s="1631" t="s">
        <v>3126</v>
      </c>
      <c r="D16" s="1631">
        <v>13920.77</v>
      </c>
      <c r="E16" s="1631">
        <v>16705</v>
      </c>
      <c r="F16" s="1631">
        <v>1.2</v>
      </c>
      <c r="G16" s="1631" t="s">
        <v>3128</v>
      </c>
      <c r="H16" s="1631" t="s">
        <v>3172</v>
      </c>
      <c r="I16" s="1631">
        <v>10500</v>
      </c>
      <c r="J16" s="1631">
        <v>12200</v>
      </c>
      <c r="K16" s="1631">
        <v>7303.19</v>
      </c>
      <c r="L16" s="1631">
        <f t="shared" si="0"/>
        <v>8764</v>
      </c>
      <c r="M16" s="1631">
        <v>16.190000000000001</v>
      </c>
      <c r="N16" s="1631" t="s">
        <v>3173</v>
      </c>
      <c r="O16" s="1631" t="s">
        <v>3159</v>
      </c>
    </row>
    <row r="17" spans="1:15">
      <c r="A17" s="1631" t="s">
        <v>3174</v>
      </c>
      <c r="B17" s="1631" t="s">
        <v>3047</v>
      </c>
      <c r="C17" s="1631" t="s">
        <v>3126</v>
      </c>
      <c r="D17" s="1631">
        <v>6189.23</v>
      </c>
      <c r="E17" s="1631">
        <v>6189</v>
      </c>
      <c r="F17" s="1631">
        <v>1</v>
      </c>
      <c r="G17" s="1631" t="s">
        <v>3128</v>
      </c>
      <c r="H17" s="1631" t="s">
        <v>3175</v>
      </c>
      <c r="I17" s="1631">
        <v>7500</v>
      </c>
      <c r="J17" s="1631">
        <v>12900</v>
      </c>
      <c r="K17" s="1631">
        <v>20843.43</v>
      </c>
      <c r="L17" s="1631">
        <f t="shared" si="0"/>
        <v>20843</v>
      </c>
      <c r="M17" s="1631">
        <v>72</v>
      </c>
      <c r="N17" s="1631" t="s">
        <v>3176</v>
      </c>
      <c r="O17" s="1631" t="s">
        <v>3145</v>
      </c>
    </row>
    <row r="18" spans="1:15" s="2979" customFormat="1">
      <c r="A18" s="2979" t="s">
        <v>3177</v>
      </c>
      <c r="B18" s="2979" t="s">
        <v>3047</v>
      </c>
      <c r="C18" s="2979" t="s">
        <v>3126</v>
      </c>
      <c r="D18" s="2979">
        <v>40417.42</v>
      </c>
      <c r="E18" s="2979">
        <v>121252</v>
      </c>
      <c r="F18" s="2979">
        <v>3</v>
      </c>
      <c r="G18" s="2979" t="s">
        <v>3128</v>
      </c>
      <c r="H18" s="2979" t="s">
        <v>3178</v>
      </c>
      <c r="I18" s="2979">
        <v>103000</v>
      </c>
      <c r="J18" s="2979">
        <v>191000</v>
      </c>
      <c r="K18" s="2979">
        <v>15752.31</v>
      </c>
      <c r="L18" s="2979">
        <f t="shared" si="0"/>
        <v>47257</v>
      </c>
      <c r="M18" s="2979">
        <v>85.44</v>
      </c>
      <c r="N18" s="2979" t="s">
        <v>3179</v>
      </c>
      <c r="O18" s="2979" t="s">
        <v>3155</v>
      </c>
    </row>
    <row r="19" spans="1:15">
      <c r="A19" s="1631" t="s">
        <v>3180</v>
      </c>
      <c r="B19" s="1631" t="s">
        <v>3047</v>
      </c>
      <c r="C19" s="1631" t="s">
        <v>3126</v>
      </c>
      <c r="D19" s="1631">
        <v>48028.78</v>
      </c>
      <c r="E19" s="1631">
        <v>122714</v>
      </c>
      <c r="F19" s="1631">
        <v>2.56</v>
      </c>
      <c r="G19" s="1631" t="s">
        <v>3128</v>
      </c>
      <c r="H19" s="1631" t="s">
        <v>3178</v>
      </c>
      <c r="I19" s="1631">
        <v>98000</v>
      </c>
      <c r="J19" s="1631">
        <v>108000</v>
      </c>
      <c r="K19" s="1631">
        <v>8800.9500000000007</v>
      </c>
      <c r="L19" s="1631">
        <f t="shared" si="0"/>
        <v>22487</v>
      </c>
      <c r="M19" s="1631">
        <v>10.199999999999999</v>
      </c>
      <c r="N19" s="1631" t="s">
        <v>3181</v>
      </c>
      <c r="O19" s="1631" t="s">
        <v>3155</v>
      </c>
    </row>
    <row r="20" spans="1:15">
      <c r="A20" s="1631" t="s">
        <v>3182</v>
      </c>
      <c r="B20" s="1631" t="s">
        <v>3047</v>
      </c>
      <c r="C20" s="1631" t="s">
        <v>3126</v>
      </c>
      <c r="D20" s="1631">
        <v>46923.74</v>
      </c>
      <c r="E20" s="1631">
        <v>94797</v>
      </c>
      <c r="F20" s="1631">
        <v>2.02</v>
      </c>
      <c r="G20" s="1631" t="s">
        <v>3128</v>
      </c>
      <c r="H20" s="1631" t="s">
        <v>3183</v>
      </c>
      <c r="I20" s="1631">
        <v>75900</v>
      </c>
      <c r="J20" s="1631">
        <v>76300</v>
      </c>
      <c r="K20" s="1631">
        <v>8048.77</v>
      </c>
      <c r="L20" s="1631">
        <f t="shared" si="0"/>
        <v>16260</v>
      </c>
      <c r="M20" s="1631">
        <v>0.53</v>
      </c>
      <c r="N20" s="1631" t="s">
        <v>3184</v>
      </c>
      <c r="O20" s="1631" t="s">
        <v>3155</v>
      </c>
    </row>
    <row r="21" spans="1:15">
      <c r="A21" s="1631" t="s">
        <v>3185</v>
      </c>
      <c r="B21" s="1631" t="s">
        <v>3047</v>
      </c>
      <c r="C21" s="1631" t="s">
        <v>3126</v>
      </c>
      <c r="D21" s="1631">
        <v>51666</v>
      </c>
      <c r="E21" s="1631">
        <v>129165</v>
      </c>
      <c r="F21" s="1631" t="s">
        <v>3186</v>
      </c>
      <c r="G21" s="1631" t="s">
        <v>3128</v>
      </c>
      <c r="H21" s="1631" t="s">
        <v>3183</v>
      </c>
      <c r="I21" s="1631">
        <v>64600</v>
      </c>
      <c r="J21" s="1631">
        <v>81000</v>
      </c>
      <c r="K21" s="1631">
        <v>6271.05</v>
      </c>
      <c r="L21" s="1631">
        <f t="shared" si="0"/>
        <v>15678</v>
      </c>
      <c r="M21" s="1631">
        <v>25.39</v>
      </c>
      <c r="N21" s="1631" t="s">
        <v>3187</v>
      </c>
      <c r="O21" s="1631" t="s">
        <v>3159</v>
      </c>
    </row>
    <row r="22" spans="1:15">
      <c r="A22" s="1631" t="s">
        <v>3188</v>
      </c>
      <c r="B22" s="1631" t="s">
        <v>3047</v>
      </c>
      <c r="C22" s="1631" t="s">
        <v>3126</v>
      </c>
      <c r="D22" s="1631">
        <v>85515.199999999997</v>
      </c>
      <c r="E22" s="1631">
        <v>283835.3</v>
      </c>
      <c r="F22" s="1631" t="s">
        <v>3189</v>
      </c>
      <c r="G22" s="1631" t="s">
        <v>3128</v>
      </c>
      <c r="H22" s="1631" t="s">
        <v>3183</v>
      </c>
      <c r="I22" s="1631">
        <v>142000</v>
      </c>
      <c r="J22" s="1631">
        <v>145000</v>
      </c>
      <c r="K22" s="1631">
        <v>5108.6000000000004</v>
      </c>
      <c r="L22" s="1631">
        <f t="shared" si="0"/>
        <v>16956</v>
      </c>
      <c r="M22" s="1631">
        <v>2.11</v>
      </c>
      <c r="N22" s="1631" t="s">
        <v>3190</v>
      </c>
      <c r="O22" s="1631" t="s">
        <v>3131</v>
      </c>
    </row>
    <row r="23" spans="1:15">
      <c r="A23" s="1631" t="s">
        <v>3191</v>
      </c>
      <c r="B23" s="1631" t="s">
        <v>3047</v>
      </c>
      <c r="C23" s="1631" t="s">
        <v>3126</v>
      </c>
      <c r="D23" s="1631">
        <v>33628.9</v>
      </c>
      <c r="E23" s="1631">
        <v>82719</v>
      </c>
      <c r="F23" s="1631">
        <v>2.5</v>
      </c>
      <c r="G23" s="1631" t="s">
        <v>3128</v>
      </c>
      <c r="H23" s="1631" t="s">
        <v>3192</v>
      </c>
      <c r="I23" s="1631">
        <v>66200</v>
      </c>
      <c r="J23" s="1631">
        <v>171000</v>
      </c>
      <c r="K23" s="1631">
        <v>20672.400000000001</v>
      </c>
      <c r="L23" s="1631">
        <f t="shared" si="0"/>
        <v>50849</v>
      </c>
      <c r="M23" s="1631">
        <v>158.31</v>
      </c>
      <c r="N23" s="1631" t="s">
        <v>3193</v>
      </c>
      <c r="O23" s="1631" t="s">
        <v>3145</v>
      </c>
    </row>
    <row r="24" spans="1:15">
      <c r="A24" s="1631" t="s">
        <v>3194</v>
      </c>
      <c r="B24" s="1631" t="s">
        <v>3047</v>
      </c>
      <c r="C24" s="1631" t="s">
        <v>3126</v>
      </c>
      <c r="D24" s="1631">
        <v>47871.43</v>
      </c>
      <c r="E24" s="1631">
        <v>176549</v>
      </c>
      <c r="F24" s="1631">
        <v>3.69</v>
      </c>
      <c r="G24" s="1631" t="s">
        <v>3128</v>
      </c>
      <c r="H24" s="1631" t="s">
        <v>3192</v>
      </c>
      <c r="I24" s="1631">
        <v>141000</v>
      </c>
      <c r="J24" s="1631">
        <v>346000</v>
      </c>
      <c r="K24" s="1631">
        <v>19597.95</v>
      </c>
      <c r="L24" s="1631">
        <f t="shared" si="0"/>
        <v>72277</v>
      </c>
      <c r="M24" s="1631">
        <v>145.38999999999999</v>
      </c>
      <c r="N24" s="1631" t="s">
        <v>3193</v>
      </c>
      <c r="O24" s="1631" t="s">
        <v>3155</v>
      </c>
    </row>
    <row r="25" spans="1:15">
      <c r="A25" s="1631" t="s">
        <v>3195</v>
      </c>
      <c r="B25" s="1631" t="s">
        <v>3047</v>
      </c>
      <c r="C25" s="1631" t="s">
        <v>3126</v>
      </c>
      <c r="D25" s="1631">
        <v>50532</v>
      </c>
      <c r="E25" s="1631">
        <v>90958</v>
      </c>
      <c r="F25" s="1631">
        <v>1.8</v>
      </c>
      <c r="G25" s="1631" t="s">
        <v>3128</v>
      </c>
      <c r="H25" s="1631" t="s">
        <v>3196</v>
      </c>
      <c r="I25" s="1631">
        <v>45500</v>
      </c>
      <c r="J25" s="1631">
        <v>46000</v>
      </c>
      <c r="K25" s="1631">
        <v>5057.2700000000004</v>
      </c>
      <c r="L25" s="1631">
        <f t="shared" si="0"/>
        <v>9103</v>
      </c>
      <c r="M25" s="1631">
        <v>1.1000000000000001</v>
      </c>
      <c r="N25" s="1631" t="s">
        <v>3197</v>
      </c>
      <c r="O25" s="1631" t="s">
        <v>3159</v>
      </c>
    </row>
    <row r="26" spans="1:15">
      <c r="A26" s="1631" t="s">
        <v>3198</v>
      </c>
      <c r="B26" s="1631" t="s">
        <v>3047</v>
      </c>
      <c r="C26" s="1631" t="s">
        <v>3126</v>
      </c>
      <c r="D26" s="1631">
        <v>92124</v>
      </c>
      <c r="E26" s="1631">
        <v>184248</v>
      </c>
      <c r="F26" s="1631">
        <v>2</v>
      </c>
      <c r="G26" s="1631" t="s">
        <v>3128</v>
      </c>
      <c r="H26" s="1631" t="s">
        <v>3199</v>
      </c>
      <c r="I26" s="1631">
        <v>55300</v>
      </c>
      <c r="J26" s="1631">
        <v>111500</v>
      </c>
      <c r="K26" s="1631">
        <v>6051.63</v>
      </c>
      <c r="L26" s="1631">
        <f t="shared" si="0"/>
        <v>12103</v>
      </c>
      <c r="M26" s="1631">
        <v>101.63</v>
      </c>
      <c r="N26" s="1631" t="s">
        <v>3197</v>
      </c>
      <c r="O26" s="1631" t="s">
        <v>3159</v>
      </c>
    </row>
    <row r="27" spans="1:15">
      <c r="A27" s="1631" t="s">
        <v>3200</v>
      </c>
      <c r="B27" s="1631" t="s">
        <v>3047</v>
      </c>
      <c r="C27" s="1631" t="s">
        <v>3126</v>
      </c>
      <c r="D27" s="1631">
        <v>64322.98</v>
      </c>
      <c r="E27" s="1631">
        <v>126996</v>
      </c>
      <c r="F27" s="1631">
        <v>1.97</v>
      </c>
      <c r="G27" s="1631" t="s">
        <v>3128</v>
      </c>
      <c r="H27" s="1631" t="s">
        <v>3199</v>
      </c>
      <c r="I27" s="1631" t="s">
        <v>1327</v>
      </c>
      <c r="J27" s="1631">
        <v>112500</v>
      </c>
      <c r="K27" s="1631">
        <v>8858.5400000000009</v>
      </c>
      <c r="L27" s="1631">
        <f t="shared" si="0"/>
        <v>17490</v>
      </c>
      <c r="M27" s="1631" t="s">
        <v>1327</v>
      </c>
      <c r="N27" s="1631" t="s">
        <v>3201</v>
      </c>
      <c r="O27" s="1631" t="s">
        <v>3145</v>
      </c>
    </row>
    <row r="28" spans="1:15">
      <c r="A28" s="1631" t="s">
        <v>3202</v>
      </c>
      <c r="B28" s="1631" t="s">
        <v>3047</v>
      </c>
      <c r="C28" s="1631" t="s">
        <v>3126</v>
      </c>
      <c r="D28" s="1631">
        <v>34970</v>
      </c>
      <c r="E28" s="1631">
        <v>87425</v>
      </c>
      <c r="F28" s="1631">
        <v>2.5</v>
      </c>
      <c r="G28" s="1631" t="s">
        <v>3128</v>
      </c>
      <c r="H28" s="1631" t="s">
        <v>3203</v>
      </c>
      <c r="I28" s="1631">
        <v>20500</v>
      </c>
      <c r="J28" s="1631">
        <v>69500</v>
      </c>
      <c r="K28" s="1631">
        <v>7949.67</v>
      </c>
      <c r="L28" s="1631">
        <f t="shared" si="0"/>
        <v>19874</v>
      </c>
      <c r="M28" s="1631">
        <v>239.02</v>
      </c>
      <c r="N28" s="1631" t="s">
        <v>3204</v>
      </c>
      <c r="O28" s="1631" t="s">
        <v>3131</v>
      </c>
    </row>
    <row r="29" spans="1:15">
      <c r="A29" s="1631" t="s">
        <v>3205</v>
      </c>
      <c r="B29" s="1631" t="s">
        <v>3047</v>
      </c>
      <c r="C29" s="1631" t="s">
        <v>3126</v>
      </c>
      <c r="D29" s="1631">
        <v>73208.92</v>
      </c>
      <c r="E29" s="1631">
        <v>73209</v>
      </c>
      <c r="F29" s="1631">
        <v>1</v>
      </c>
      <c r="G29" s="1631" t="s">
        <v>3128</v>
      </c>
      <c r="H29" s="1631" t="s">
        <v>3203</v>
      </c>
      <c r="I29" s="1631">
        <v>39300</v>
      </c>
      <c r="J29" s="1631">
        <v>91000</v>
      </c>
      <c r="K29" s="1631">
        <v>12430.17</v>
      </c>
      <c r="L29" s="1631">
        <f t="shared" si="0"/>
        <v>12430</v>
      </c>
      <c r="M29" s="1631">
        <v>131.55000000000001</v>
      </c>
      <c r="N29" s="1631" t="s">
        <v>3206</v>
      </c>
      <c r="O29" s="1631" t="s">
        <v>3131</v>
      </c>
    </row>
    <row r="30" spans="1:15">
      <c r="A30" s="1631" t="s">
        <v>3207</v>
      </c>
      <c r="B30" s="1631" t="s">
        <v>3047</v>
      </c>
      <c r="C30" s="1631" t="s">
        <v>3126</v>
      </c>
      <c r="D30" s="1631">
        <v>97991.86</v>
      </c>
      <c r="E30" s="1631">
        <v>97992</v>
      </c>
      <c r="F30" s="1631">
        <v>1</v>
      </c>
      <c r="G30" s="1631" t="s">
        <v>3208</v>
      </c>
      <c r="H30" s="1631" t="s">
        <v>3209</v>
      </c>
      <c r="I30" s="1631" t="s">
        <v>1327</v>
      </c>
      <c r="J30" s="1631">
        <v>28380</v>
      </c>
      <c r="K30" s="1631">
        <v>2896.15</v>
      </c>
      <c r="L30" s="1631">
        <f t="shared" si="0"/>
        <v>2896</v>
      </c>
      <c r="M30" s="1631" t="s">
        <v>1327</v>
      </c>
      <c r="N30" s="1631" t="s">
        <v>3210</v>
      </c>
      <c r="O30" s="1631" t="s">
        <v>3159</v>
      </c>
    </row>
    <row r="31" spans="1:15">
      <c r="A31" s="1631" t="s">
        <v>3211</v>
      </c>
      <c r="B31" s="1631" t="s">
        <v>3047</v>
      </c>
      <c r="C31" s="1631" t="s">
        <v>3126</v>
      </c>
      <c r="D31" s="1631">
        <v>61102.5</v>
      </c>
      <c r="E31" s="1631">
        <v>213858.8</v>
      </c>
      <c r="F31" s="1631">
        <v>3.5</v>
      </c>
      <c r="G31" s="1631" t="s">
        <v>3128</v>
      </c>
      <c r="H31" s="1631" t="s">
        <v>3212</v>
      </c>
      <c r="I31" s="1631">
        <v>34500</v>
      </c>
      <c r="J31" s="1631">
        <v>34500</v>
      </c>
      <c r="K31" s="1631">
        <v>1613.21</v>
      </c>
      <c r="L31" s="1631">
        <f t="shared" si="0"/>
        <v>5646</v>
      </c>
      <c r="M31" s="1631">
        <v>0</v>
      </c>
      <c r="N31" s="1631" t="s">
        <v>3213</v>
      </c>
      <c r="O31" s="1631" t="s">
        <v>3131</v>
      </c>
    </row>
    <row r="32" spans="1:15">
      <c r="A32" s="1631" t="s">
        <v>3214</v>
      </c>
      <c r="B32" s="1631" t="s">
        <v>3047</v>
      </c>
      <c r="C32" s="1631" t="s">
        <v>3126</v>
      </c>
      <c r="D32" s="1631">
        <v>11827.6</v>
      </c>
      <c r="E32" s="1631">
        <v>29569</v>
      </c>
      <c r="F32" s="1631">
        <v>2.5</v>
      </c>
      <c r="G32" s="1631" t="s">
        <v>3128</v>
      </c>
      <c r="H32" s="1631" t="s">
        <v>3215</v>
      </c>
      <c r="I32" s="1631">
        <v>4400</v>
      </c>
      <c r="J32" s="1631">
        <v>4400</v>
      </c>
      <c r="K32" s="1631">
        <v>1488.03</v>
      </c>
      <c r="L32" s="1631">
        <f t="shared" si="0"/>
        <v>3720</v>
      </c>
      <c r="M32" s="1631">
        <v>0</v>
      </c>
      <c r="N32" s="1631" t="s">
        <v>3216</v>
      </c>
      <c r="O32" s="1631" t="s">
        <v>3155</v>
      </c>
    </row>
    <row r="33" spans="1:15">
      <c r="A33" s="1631" t="s">
        <v>3217</v>
      </c>
      <c r="B33" s="1631" t="s">
        <v>3047</v>
      </c>
      <c r="C33" s="1631" t="s">
        <v>3126</v>
      </c>
      <c r="D33" s="1631">
        <v>45012.4</v>
      </c>
      <c r="E33" s="1631">
        <v>209402.4</v>
      </c>
      <c r="F33" s="1631">
        <v>4.6500000000000004</v>
      </c>
      <c r="G33" s="1631" t="s">
        <v>3128</v>
      </c>
      <c r="H33" s="1631" t="s">
        <v>3218</v>
      </c>
      <c r="I33" s="1631">
        <v>29500</v>
      </c>
      <c r="J33" s="1631">
        <v>29500</v>
      </c>
      <c r="K33" s="1631">
        <v>1408.76</v>
      </c>
      <c r="L33" s="1631">
        <f t="shared" si="0"/>
        <v>6554</v>
      </c>
      <c r="M33" s="1631">
        <v>0</v>
      </c>
      <c r="N33" s="1631" t="s">
        <v>3219</v>
      </c>
      <c r="O33" s="1631" t="s">
        <v>3131</v>
      </c>
    </row>
    <row r="34" spans="1:15">
      <c r="A34" s="1631" t="s">
        <v>3220</v>
      </c>
      <c r="B34" s="1631" t="s">
        <v>3047</v>
      </c>
      <c r="C34" s="1631" t="s">
        <v>3126</v>
      </c>
      <c r="D34" s="1631">
        <v>46375</v>
      </c>
      <c r="E34" s="1631">
        <v>139125</v>
      </c>
      <c r="F34" s="1631">
        <v>3</v>
      </c>
      <c r="G34" s="1631" t="s">
        <v>3128</v>
      </c>
      <c r="H34" s="1631" t="s">
        <v>3221</v>
      </c>
      <c r="I34" s="1631">
        <v>27825</v>
      </c>
      <c r="J34" s="1631">
        <v>27825</v>
      </c>
      <c r="K34" s="1631">
        <v>2000</v>
      </c>
      <c r="L34" s="1631">
        <f t="shared" si="0"/>
        <v>6000</v>
      </c>
      <c r="M34" s="1631">
        <v>0</v>
      </c>
      <c r="N34" s="1631" t="s">
        <v>3222</v>
      </c>
      <c r="O34" s="1631" t="s">
        <v>3145</v>
      </c>
    </row>
    <row r="35" spans="1:15">
      <c r="A35" s="1631" t="s">
        <v>3223</v>
      </c>
      <c r="B35" s="1631" t="s">
        <v>3047</v>
      </c>
      <c r="C35" s="1631" t="s">
        <v>3126</v>
      </c>
      <c r="D35" s="1631">
        <v>10868.5</v>
      </c>
      <c r="E35" s="1631">
        <v>27171.25</v>
      </c>
      <c r="F35" s="1631">
        <v>2.5</v>
      </c>
      <c r="G35" s="1631" t="s">
        <v>3128</v>
      </c>
      <c r="H35" s="1631" t="s">
        <v>3224</v>
      </c>
      <c r="I35" s="1631">
        <v>3550</v>
      </c>
      <c r="J35" s="1631">
        <v>3550</v>
      </c>
      <c r="K35" s="1631">
        <v>1306.52</v>
      </c>
      <c r="L35" s="1631">
        <f t="shared" si="0"/>
        <v>3266</v>
      </c>
      <c r="M35" s="1631">
        <v>0</v>
      </c>
      <c r="N35" s="1631" t="s">
        <v>3225</v>
      </c>
      <c r="O35" s="1631" t="s">
        <v>3159</v>
      </c>
    </row>
    <row r="36" spans="1:15">
      <c r="A36" s="1631" t="s">
        <v>3226</v>
      </c>
      <c r="B36" s="1631" t="s">
        <v>3047</v>
      </c>
      <c r="C36" s="1631" t="s">
        <v>3126</v>
      </c>
      <c r="D36" s="1631">
        <v>36536</v>
      </c>
      <c r="E36" s="1631">
        <v>91340</v>
      </c>
      <c r="F36" s="1631">
        <v>2.5</v>
      </c>
      <c r="G36" s="1631" t="s">
        <v>3128</v>
      </c>
      <c r="H36" s="1631" t="s">
        <v>3227</v>
      </c>
      <c r="I36" s="1631">
        <v>27183</v>
      </c>
      <c r="J36" s="1631">
        <v>27183</v>
      </c>
      <c r="K36" s="1631">
        <v>2976.01</v>
      </c>
      <c r="L36" s="1631">
        <f t="shared" si="0"/>
        <v>7440</v>
      </c>
      <c r="M36" s="1631">
        <v>0</v>
      </c>
      <c r="N36" s="1631" t="s">
        <v>3228</v>
      </c>
      <c r="O36" s="1631" t="s">
        <v>3145</v>
      </c>
    </row>
    <row r="37" spans="1:15">
      <c r="A37" s="1631" t="s">
        <v>3229</v>
      </c>
      <c r="B37" s="1631" t="s">
        <v>3047</v>
      </c>
      <c r="C37" s="1631" t="s">
        <v>3126</v>
      </c>
      <c r="D37" s="1631">
        <v>53400.5</v>
      </c>
      <c r="E37" s="1631">
        <v>112601</v>
      </c>
      <c r="F37" s="1631">
        <v>2.11</v>
      </c>
      <c r="G37" s="1631" t="s">
        <v>3128</v>
      </c>
      <c r="H37" s="1631" t="s">
        <v>3230</v>
      </c>
      <c r="I37" s="1631">
        <v>16900</v>
      </c>
      <c r="J37" s="1631">
        <v>16900</v>
      </c>
      <c r="K37" s="1631">
        <v>1500.86</v>
      </c>
      <c r="L37" s="1631">
        <f t="shared" si="0"/>
        <v>3165</v>
      </c>
      <c r="M37" s="1631">
        <v>0</v>
      </c>
      <c r="N37" s="1631" t="s">
        <v>3231</v>
      </c>
      <c r="O37" s="1631" t="s">
        <v>3131</v>
      </c>
    </row>
    <row r="38" spans="1:15">
      <c r="A38" s="1631" t="s">
        <v>3232</v>
      </c>
      <c r="B38" s="1631" t="s">
        <v>3047</v>
      </c>
      <c r="C38" s="1631" t="s">
        <v>3126</v>
      </c>
      <c r="D38" s="1631">
        <v>79954</v>
      </c>
      <c r="E38" s="1631">
        <v>198099.20000000001</v>
      </c>
      <c r="F38" s="1631">
        <v>2.48</v>
      </c>
      <c r="G38" s="1631" t="s">
        <v>3128</v>
      </c>
      <c r="H38" s="1631" t="s">
        <v>3230</v>
      </c>
      <c r="I38" s="1631">
        <v>29750</v>
      </c>
      <c r="J38" s="1631">
        <v>29750</v>
      </c>
      <c r="K38" s="1631">
        <v>1501.76</v>
      </c>
      <c r="L38" s="1631">
        <f t="shared" si="0"/>
        <v>3721</v>
      </c>
      <c r="M38" s="1631">
        <v>0</v>
      </c>
      <c r="N38" s="1631" t="s">
        <v>3233</v>
      </c>
      <c r="O38" s="1631" t="s">
        <v>3159</v>
      </c>
    </row>
    <row r="39" spans="1:15">
      <c r="A39" s="1631" t="s">
        <v>3234</v>
      </c>
      <c r="B39" s="1631" t="s">
        <v>3047</v>
      </c>
      <c r="C39" s="1631" t="s">
        <v>3126</v>
      </c>
      <c r="D39" s="1631">
        <v>144364</v>
      </c>
      <c r="E39" s="1631">
        <v>144364</v>
      </c>
      <c r="F39" s="1631">
        <v>1</v>
      </c>
      <c r="G39" s="1631" t="s">
        <v>3128</v>
      </c>
      <c r="H39" s="1631" t="s">
        <v>3235</v>
      </c>
      <c r="I39" s="1631">
        <v>30200</v>
      </c>
      <c r="J39" s="1631">
        <v>30500</v>
      </c>
      <c r="K39" s="1631">
        <v>2112.71</v>
      </c>
      <c r="L39" s="1631">
        <f t="shared" si="0"/>
        <v>2113</v>
      </c>
      <c r="M39" s="1631">
        <v>0.99</v>
      </c>
      <c r="N39" s="1631" t="s">
        <v>3236</v>
      </c>
      <c r="O39" s="1631" t="s">
        <v>3159</v>
      </c>
    </row>
    <row r="40" spans="1:15">
      <c r="A40" s="1631" t="s">
        <v>3237</v>
      </c>
      <c r="B40" s="1631" t="s">
        <v>3047</v>
      </c>
      <c r="C40" s="1631" t="s">
        <v>3126</v>
      </c>
      <c r="D40" s="1631">
        <v>102076</v>
      </c>
      <c r="E40" s="1631">
        <v>306228</v>
      </c>
      <c r="F40" s="1631">
        <v>3</v>
      </c>
      <c r="G40" s="1631" t="s">
        <v>3128</v>
      </c>
      <c r="H40" s="1631" t="s">
        <v>3238</v>
      </c>
      <c r="I40" s="1631">
        <v>46000</v>
      </c>
      <c r="J40" s="1631">
        <v>99500</v>
      </c>
      <c r="K40" s="1631">
        <v>3249.21</v>
      </c>
      <c r="L40" s="1631">
        <f t="shared" si="0"/>
        <v>9748</v>
      </c>
      <c r="M40" s="1631">
        <v>116.3</v>
      </c>
      <c r="N40" s="1631" t="s">
        <v>3239</v>
      </c>
      <c r="O40" s="1631" t="s">
        <v>3131</v>
      </c>
    </row>
    <row r="41" spans="1:15">
      <c r="A41" s="1631" t="s">
        <v>3240</v>
      </c>
      <c r="B41" s="1631" t="s">
        <v>3047</v>
      </c>
      <c r="C41" s="1631" t="s">
        <v>3126</v>
      </c>
      <c r="D41" s="1631">
        <v>76725</v>
      </c>
      <c r="E41" s="1631">
        <v>184138</v>
      </c>
      <c r="F41" s="1631" t="s">
        <v>3241</v>
      </c>
      <c r="G41" s="1631" t="s">
        <v>3128</v>
      </c>
      <c r="H41" s="1631" t="s">
        <v>3242</v>
      </c>
      <c r="I41" s="1631">
        <v>102578</v>
      </c>
      <c r="J41" s="1631">
        <v>103078</v>
      </c>
      <c r="K41" s="1631">
        <v>5597.86</v>
      </c>
      <c r="L41" s="1631">
        <f t="shared" si="0"/>
        <v>13435</v>
      </c>
      <c r="M41" s="1631">
        <v>0.49</v>
      </c>
      <c r="N41" s="1631" t="s">
        <v>3243</v>
      </c>
      <c r="O41" s="1631" t="s">
        <v>3155</v>
      </c>
    </row>
    <row r="42" spans="1:15">
      <c r="A42" s="1631" t="s">
        <v>3244</v>
      </c>
      <c r="B42" s="1631" t="s">
        <v>3047</v>
      </c>
      <c r="C42" s="1631" t="s">
        <v>3126</v>
      </c>
      <c r="D42" s="1631">
        <v>26721</v>
      </c>
      <c r="E42" s="1631">
        <v>69475</v>
      </c>
      <c r="F42" s="1631">
        <v>2.6</v>
      </c>
      <c r="G42" s="1631" t="s">
        <v>3128</v>
      </c>
      <c r="H42" s="1631" t="s">
        <v>3245</v>
      </c>
      <c r="I42" s="1631">
        <v>21350</v>
      </c>
      <c r="J42" s="1631">
        <v>21550</v>
      </c>
      <c r="K42" s="1631">
        <v>3101.84</v>
      </c>
      <c r="L42" s="1631">
        <f t="shared" si="0"/>
        <v>8065</v>
      </c>
      <c r="M42" s="1631">
        <v>0.94</v>
      </c>
      <c r="N42" s="1631" t="s">
        <v>3204</v>
      </c>
      <c r="O42" s="1631" t="s">
        <v>3145</v>
      </c>
    </row>
    <row r="43" spans="1:15">
      <c r="A43" s="1631" t="s">
        <v>3246</v>
      </c>
      <c r="B43" s="1631" t="s">
        <v>3047</v>
      </c>
      <c r="C43" s="1631" t="s">
        <v>3126</v>
      </c>
      <c r="D43" s="1631">
        <v>127382.3</v>
      </c>
      <c r="E43" s="1631">
        <v>254765</v>
      </c>
      <c r="F43" s="1631">
        <v>2</v>
      </c>
      <c r="G43" s="1631" t="s">
        <v>3128</v>
      </c>
      <c r="H43" s="1631" t="s">
        <v>3247</v>
      </c>
      <c r="I43" s="1631">
        <v>25600</v>
      </c>
      <c r="J43" s="1631">
        <v>25603.84</v>
      </c>
      <c r="K43" s="1631">
        <v>1005</v>
      </c>
      <c r="L43" s="1631">
        <f t="shared" si="0"/>
        <v>2010</v>
      </c>
      <c r="M43" s="1631">
        <v>0.02</v>
      </c>
      <c r="N43" s="1631" t="s">
        <v>3248</v>
      </c>
      <c r="O43" s="1631" t="s">
        <v>3131</v>
      </c>
    </row>
    <row r="44" spans="1:15">
      <c r="A44" s="1631" t="s">
        <v>3249</v>
      </c>
      <c r="B44" s="1631" t="s">
        <v>3047</v>
      </c>
      <c r="C44" s="1631" t="s">
        <v>3126</v>
      </c>
      <c r="D44" s="1631">
        <v>64263</v>
      </c>
      <c r="E44" s="1631">
        <v>124943</v>
      </c>
      <c r="F44" s="1631" t="s">
        <v>1327</v>
      </c>
      <c r="G44" s="1631" t="s">
        <v>3128</v>
      </c>
      <c r="H44" s="1631" t="s">
        <v>3250</v>
      </c>
      <c r="I44" s="1631">
        <v>22677</v>
      </c>
      <c r="J44" s="1631">
        <v>22677</v>
      </c>
      <c r="K44" s="1631">
        <v>1814.99</v>
      </c>
      <c r="L44" s="1631">
        <f t="shared" si="0"/>
        <v>3529</v>
      </c>
      <c r="M44" s="1631">
        <v>0</v>
      </c>
      <c r="N44" s="1631" t="s">
        <v>3251</v>
      </c>
      <c r="O44" s="1631" t="s">
        <v>3159</v>
      </c>
    </row>
    <row r="45" spans="1:15">
      <c r="A45" s="1631" t="s">
        <v>3252</v>
      </c>
      <c r="B45" s="1631" t="s">
        <v>3047</v>
      </c>
      <c r="C45" s="1631" t="s">
        <v>3126</v>
      </c>
      <c r="D45" s="1631">
        <v>74866</v>
      </c>
      <c r="E45" s="1631">
        <v>224598</v>
      </c>
      <c r="F45" s="1631" t="s">
        <v>1327</v>
      </c>
      <c r="G45" s="1631" t="s">
        <v>3128</v>
      </c>
      <c r="H45" s="1631" t="s">
        <v>3253</v>
      </c>
      <c r="I45" s="1631">
        <v>57116</v>
      </c>
      <c r="J45" s="1631">
        <v>160000</v>
      </c>
      <c r="K45" s="1631">
        <v>7123.84</v>
      </c>
      <c r="L45" s="1631">
        <f t="shared" si="0"/>
        <v>21372</v>
      </c>
      <c r="M45" s="1631">
        <v>180.13</v>
      </c>
      <c r="N45" s="1631" t="s">
        <v>3254</v>
      </c>
      <c r="O45" s="1631" t="s">
        <v>3155</v>
      </c>
    </row>
    <row r="46" spans="1:15">
      <c r="A46" s="1631" t="s">
        <v>3255</v>
      </c>
      <c r="B46" s="1631" t="s">
        <v>3047</v>
      </c>
      <c r="C46" s="1631" t="s">
        <v>3126</v>
      </c>
      <c r="D46" s="1631">
        <v>46150</v>
      </c>
      <c r="E46" s="1631">
        <v>138450</v>
      </c>
      <c r="F46" s="1631" t="s">
        <v>1327</v>
      </c>
      <c r="G46" s="1631" t="s">
        <v>3128</v>
      </c>
      <c r="H46" s="1631" t="s">
        <v>3253</v>
      </c>
      <c r="I46" s="1631">
        <v>35209</v>
      </c>
      <c r="J46" s="1631">
        <v>83500</v>
      </c>
      <c r="K46" s="1631">
        <v>6031.06</v>
      </c>
      <c r="L46" s="1631">
        <f t="shared" si="0"/>
        <v>18093</v>
      </c>
      <c r="M46" s="1631">
        <v>137.16</v>
      </c>
      <c r="N46" s="1631" t="s">
        <v>3254</v>
      </c>
      <c r="O46" s="1631" t="s">
        <v>3155</v>
      </c>
    </row>
    <row r="47" spans="1:15">
      <c r="A47" s="1631" t="s">
        <v>3256</v>
      </c>
      <c r="B47" s="1631" t="s">
        <v>3047</v>
      </c>
      <c r="C47" s="1631" t="s">
        <v>3126</v>
      </c>
      <c r="D47" s="1631">
        <v>183757.5</v>
      </c>
      <c r="E47" s="1631">
        <v>577883</v>
      </c>
      <c r="F47" s="1631" t="s">
        <v>1327</v>
      </c>
      <c r="G47" s="1631" t="s">
        <v>3208</v>
      </c>
      <c r="H47" s="1631" t="s">
        <v>3257</v>
      </c>
      <c r="I47" s="1631" t="s">
        <v>1327</v>
      </c>
      <c r="J47" s="1631">
        <v>174000</v>
      </c>
      <c r="K47" s="1631">
        <v>3010.98</v>
      </c>
      <c r="L47" s="1631">
        <f t="shared" si="0"/>
        <v>9469</v>
      </c>
      <c r="M47" s="1631" t="s">
        <v>1327</v>
      </c>
      <c r="N47" s="1631" t="s">
        <v>3258</v>
      </c>
      <c r="O47" s="1631" t="s">
        <v>3131</v>
      </c>
    </row>
    <row r="48" spans="1:15">
      <c r="A48" s="1631" t="s">
        <v>3259</v>
      </c>
      <c r="B48" s="1631" t="s">
        <v>3047</v>
      </c>
      <c r="C48" s="1631" t="s">
        <v>3126</v>
      </c>
      <c r="D48" s="1631">
        <v>20856.830000000002</v>
      </c>
      <c r="E48" s="1631">
        <v>41714</v>
      </c>
      <c r="F48" s="1631" t="s">
        <v>1327</v>
      </c>
      <c r="G48" s="1631" t="s">
        <v>3208</v>
      </c>
      <c r="H48" s="1631" t="s">
        <v>3257</v>
      </c>
      <c r="I48" s="1631" t="s">
        <v>1327</v>
      </c>
      <c r="J48" s="1631">
        <v>10421</v>
      </c>
      <c r="K48" s="1631">
        <v>2498.19</v>
      </c>
      <c r="L48" s="1631">
        <f t="shared" si="0"/>
        <v>4996</v>
      </c>
      <c r="M48" s="1631" t="s">
        <v>1327</v>
      </c>
      <c r="N48" s="1631" t="s">
        <v>3260</v>
      </c>
      <c r="O48" s="1631" t="s">
        <v>3131</v>
      </c>
    </row>
    <row r="49" spans="1:15">
      <c r="A49" s="1631" t="s">
        <v>3261</v>
      </c>
      <c r="B49" s="1631" t="s">
        <v>3047</v>
      </c>
      <c r="C49" s="1631" t="s">
        <v>3126</v>
      </c>
      <c r="D49" s="1631">
        <v>1503.97</v>
      </c>
      <c r="E49" s="1631">
        <v>200</v>
      </c>
      <c r="F49" s="1631" t="s">
        <v>1327</v>
      </c>
      <c r="G49" s="1631" t="s">
        <v>3128</v>
      </c>
      <c r="H49" s="1631" t="s">
        <v>3262</v>
      </c>
      <c r="I49" s="1631">
        <v>376.5</v>
      </c>
      <c r="J49" s="1631">
        <v>376.5</v>
      </c>
      <c r="K49" s="1631">
        <v>18825</v>
      </c>
      <c r="L49" s="1631">
        <f t="shared" si="0"/>
        <v>2503</v>
      </c>
      <c r="M49" s="1631">
        <v>0</v>
      </c>
      <c r="N49" s="1631" t="s">
        <v>3263</v>
      </c>
      <c r="O49" s="1631" t="s">
        <v>3159</v>
      </c>
    </row>
    <row r="50" spans="1:15">
      <c r="A50" s="1631" t="s">
        <v>3264</v>
      </c>
      <c r="B50" s="1631" t="s">
        <v>3047</v>
      </c>
      <c r="C50" s="1631" t="s">
        <v>3126</v>
      </c>
      <c r="D50" s="1631">
        <v>1996.08</v>
      </c>
      <c r="E50" s="1631">
        <v>200</v>
      </c>
      <c r="F50" s="1631" t="s">
        <v>1327</v>
      </c>
      <c r="G50" s="1631" t="s">
        <v>3128</v>
      </c>
      <c r="H50" s="1631" t="s">
        <v>3262</v>
      </c>
      <c r="I50" s="1631" t="s">
        <v>1327</v>
      </c>
      <c r="J50" s="1631">
        <v>4100</v>
      </c>
      <c r="K50" s="1631">
        <v>205000</v>
      </c>
      <c r="L50" s="1631">
        <f t="shared" si="0"/>
        <v>20540</v>
      </c>
      <c r="M50" s="1631" t="s">
        <v>1327</v>
      </c>
      <c r="N50" s="1631" t="s">
        <v>3265</v>
      </c>
      <c r="O50" s="1631" t="s">
        <v>3266</v>
      </c>
    </row>
    <row r="51" spans="1:15">
      <c r="A51" s="1631" t="s">
        <v>3267</v>
      </c>
      <c r="B51" s="1631" t="s">
        <v>3047</v>
      </c>
      <c r="C51" s="1631" t="s">
        <v>3126</v>
      </c>
      <c r="D51" s="1631">
        <v>1986.66</v>
      </c>
      <c r="E51" s="1631">
        <v>200</v>
      </c>
      <c r="F51" s="1631" t="s">
        <v>1327</v>
      </c>
      <c r="G51" s="1631" t="s">
        <v>3128</v>
      </c>
      <c r="H51" s="1631" t="s">
        <v>3262</v>
      </c>
      <c r="I51" s="1631">
        <v>666</v>
      </c>
      <c r="J51" s="1631">
        <v>3210</v>
      </c>
      <c r="K51" s="1631">
        <v>160500</v>
      </c>
      <c r="L51" s="1631">
        <f t="shared" si="0"/>
        <v>16158</v>
      </c>
      <c r="M51" s="1631">
        <v>381.98</v>
      </c>
      <c r="N51" s="1631" t="s">
        <v>3268</v>
      </c>
      <c r="O51" s="1631" t="s">
        <v>3266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E50" sqref="E50"/>
    </sheetView>
  </sheetViews>
  <sheetFormatPr defaultRowHeight="13.5"/>
  <sheetData>
    <row r="1" spans="1:12" s="2997" customFormat="1">
      <c r="A1" s="2996" t="s">
        <v>3100</v>
      </c>
      <c r="B1" s="2996" t="s">
        <v>3094</v>
      </c>
      <c r="C1" s="2996" t="s">
        <v>3095</v>
      </c>
      <c r="D1" s="2996" t="s">
        <v>3096</v>
      </c>
      <c r="E1" s="2996" t="s">
        <v>3099</v>
      </c>
      <c r="F1" s="2996" t="s">
        <v>3097</v>
      </c>
      <c r="G1" s="2996" t="s">
        <v>3098</v>
      </c>
    </row>
    <row r="2" spans="1:12" s="2997" customFormat="1">
      <c r="A2" s="2996" t="s">
        <v>3092</v>
      </c>
      <c r="B2" s="2998">
        <v>20362.82</v>
      </c>
      <c r="C2" s="2998">
        <v>16866.09</v>
      </c>
      <c r="D2" s="2998"/>
      <c r="E2" s="2998"/>
      <c r="F2" s="2998"/>
      <c r="G2" s="2998"/>
      <c r="H2" s="2999" t="s">
        <v>3101</v>
      </c>
    </row>
    <row r="3" spans="1:12" s="2997" customFormat="1">
      <c r="A3" s="2996" t="s">
        <v>3093</v>
      </c>
      <c r="B3" s="2998">
        <v>19429.64</v>
      </c>
      <c r="C3" s="2998">
        <v>17340.78</v>
      </c>
      <c r="D3" s="2998"/>
      <c r="E3" s="2998"/>
      <c r="F3" s="2998"/>
      <c r="G3" s="2998"/>
      <c r="H3" s="2999" t="s">
        <v>3102</v>
      </c>
    </row>
    <row r="4" spans="1:12" s="2997" customFormat="1">
      <c r="A4" s="2996" t="s">
        <v>3090</v>
      </c>
      <c r="B4" s="2998">
        <v>20364.990000000002</v>
      </c>
      <c r="C4" s="2998">
        <v>640.65</v>
      </c>
      <c r="D4" s="2998">
        <f>B4-C4</f>
        <v>19724.34</v>
      </c>
      <c r="E4" s="2998"/>
      <c r="F4" s="2998">
        <v>3000</v>
      </c>
      <c r="G4" s="2998">
        <f>ROUND(F4*D4/10000,0)</f>
        <v>5917</v>
      </c>
      <c r="H4" s="2999" t="s">
        <v>3103</v>
      </c>
    </row>
    <row r="5" spans="1:12" s="2997" customFormat="1">
      <c r="A5" s="2996" t="s">
        <v>3091</v>
      </c>
      <c r="B5" s="2998">
        <v>18416.57</v>
      </c>
      <c r="C5" s="2998">
        <v>640.65</v>
      </c>
      <c r="D5" s="2998">
        <f>B5-C5</f>
        <v>17775.919999999998</v>
      </c>
      <c r="E5" s="2998">
        <v>0.5</v>
      </c>
      <c r="F5" s="2998">
        <f>ROUND($F$6*E5,0)</f>
        <v>17500</v>
      </c>
      <c r="G5" s="2998">
        <f t="shared" ref="G5:G13" si="0">ROUND(F5*D5/10000,0)</f>
        <v>31108</v>
      </c>
      <c r="H5" s="2999" t="s">
        <v>3104</v>
      </c>
      <c r="J5" s="2997">
        <f>ROUND(D4/D14*101504.34,2)</f>
        <v>20264.150000000001</v>
      </c>
    </row>
    <row r="6" spans="1:12" s="2997" customFormat="1">
      <c r="A6" s="2998">
        <v>1</v>
      </c>
      <c r="B6" s="2998">
        <v>11051.25</v>
      </c>
      <c r="C6" s="2998">
        <v>330.24</v>
      </c>
      <c r="D6" s="2998">
        <f>B6-C6</f>
        <v>10721.01</v>
      </c>
      <c r="E6" s="2998">
        <v>1</v>
      </c>
      <c r="F6" s="2998">
        <v>35000</v>
      </c>
      <c r="G6" s="2998">
        <f t="shared" si="0"/>
        <v>37524</v>
      </c>
      <c r="J6" s="2997">
        <f>ROUND(D5/D14*101504.34,2)</f>
        <v>18262.400000000001</v>
      </c>
      <c r="K6" s="2997">
        <f>ROUND(D6/D14*101504.34,2)</f>
        <v>11014.42</v>
      </c>
    </row>
    <row r="7" spans="1:12" s="2997" customFormat="1">
      <c r="A7" s="2998">
        <v>2</v>
      </c>
      <c r="B7" s="2998">
        <v>10190.469999999999</v>
      </c>
      <c r="C7" s="2998"/>
      <c r="D7" s="2998">
        <f t="shared" ref="D7:D13" si="1">B7-C7</f>
        <v>10190.469999999999</v>
      </c>
      <c r="E7" s="2998">
        <v>0.7</v>
      </c>
      <c r="F7" s="2998">
        <f>ROUND($F$6*E7,0)</f>
        <v>24500</v>
      </c>
      <c r="G7" s="2998">
        <f t="shared" si="0"/>
        <v>24967</v>
      </c>
      <c r="J7" s="2997">
        <f>101504.34-J5-J6</f>
        <v>62977.79</v>
      </c>
    </row>
    <row r="8" spans="1:12" s="2997" customFormat="1">
      <c r="A8" s="2998">
        <v>3</v>
      </c>
      <c r="B8" s="2998">
        <v>10512.52</v>
      </c>
      <c r="C8" s="2998"/>
      <c r="D8" s="2998">
        <f t="shared" si="1"/>
        <v>10512.52</v>
      </c>
      <c r="E8" s="2998">
        <v>0.6</v>
      </c>
      <c r="F8" s="2998">
        <f t="shared" ref="F8:F13" si="2">ROUND($F$6*E8,0)</f>
        <v>21000</v>
      </c>
      <c r="G8" s="2998">
        <f t="shared" si="0"/>
        <v>22076</v>
      </c>
    </row>
    <row r="9" spans="1:12" s="2997" customFormat="1">
      <c r="A9" s="2998">
        <v>4</v>
      </c>
      <c r="B9" s="2998">
        <v>10503.02</v>
      </c>
      <c r="C9" s="2998"/>
      <c r="D9" s="2998">
        <f t="shared" si="1"/>
        <v>10503.02</v>
      </c>
      <c r="E9" s="2998">
        <v>0.55000000000000004</v>
      </c>
      <c r="F9" s="2998">
        <f t="shared" si="2"/>
        <v>19250</v>
      </c>
      <c r="G9" s="2998">
        <f t="shared" si="0"/>
        <v>20218</v>
      </c>
    </row>
    <row r="10" spans="1:12" s="2997" customFormat="1">
      <c r="A10" s="2998">
        <v>5</v>
      </c>
      <c r="B10" s="2998">
        <v>7946.38</v>
      </c>
      <c r="C10" s="2998"/>
      <c r="D10" s="2998">
        <f t="shared" si="1"/>
        <v>7946.38</v>
      </c>
      <c r="E10" s="2998">
        <v>0.45</v>
      </c>
      <c r="F10" s="2998">
        <f t="shared" si="2"/>
        <v>15750</v>
      </c>
      <c r="G10" s="2998">
        <f t="shared" si="0"/>
        <v>12516</v>
      </c>
    </row>
    <row r="11" spans="1:12" s="2997" customFormat="1">
      <c r="A11" s="2998">
        <v>6</v>
      </c>
      <c r="B11" s="2998">
        <v>7361.49</v>
      </c>
      <c r="C11" s="2998"/>
      <c r="D11" s="2998">
        <f t="shared" si="1"/>
        <v>7361.49</v>
      </c>
      <c r="E11" s="2998">
        <v>0.45</v>
      </c>
      <c r="F11" s="2998">
        <f t="shared" si="2"/>
        <v>15750</v>
      </c>
      <c r="G11" s="2998">
        <f t="shared" si="0"/>
        <v>11594</v>
      </c>
    </row>
    <row r="12" spans="1:12" s="2997" customFormat="1">
      <c r="A12" s="2998">
        <v>7</v>
      </c>
      <c r="B12" s="2998">
        <v>3621.76</v>
      </c>
      <c r="C12" s="2998"/>
      <c r="D12" s="2998">
        <f t="shared" si="1"/>
        <v>3621.76</v>
      </c>
      <c r="E12" s="2998">
        <v>0.45</v>
      </c>
      <c r="F12" s="2998">
        <f t="shared" si="2"/>
        <v>15750</v>
      </c>
      <c r="G12" s="2998">
        <f t="shared" si="0"/>
        <v>5704</v>
      </c>
      <c r="L12" s="2997">
        <f>50/160</f>
        <v>0.3125</v>
      </c>
    </row>
    <row r="13" spans="1:12" s="2997" customFormat="1">
      <c r="A13" s="2998">
        <v>8</v>
      </c>
      <c r="B13" s="2998">
        <v>443.51</v>
      </c>
      <c r="C13" s="2998"/>
      <c r="D13" s="2998">
        <f t="shared" si="1"/>
        <v>443.51</v>
      </c>
      <c r="E13" s="2998">
        <v>0.45</v>
      </c>
      <c r="F13" s="2998">
        <f t="shared" si="2"/>
        <v>15750</v>
      </c>
      <c r="G13" s="2998">
        <f t="shared" si="0"/>
        <v>699</v>
      </c>
      <c r="L13" s="2997">
        <f>1/L12</f>
        <v>3.2</v>
      </c>
    </row>
    <row r="14" spans="1:12" s="2997" customFormat="1">
      <c r="A14" s="2998"/>
      <c r="B14" s="2998">
        <f>SUM(B2:B13)</f>
        <v>140204.42000000001</v>
      </c>
      <c r="C14" s="2998">
        <f>SUM(C2:C13)</f>
        <v>35818.409999999996</v>
      </c>
      <c r="D14" s="2998">
        <f>SUM(D2:D13)</f>
        <v>98800.42</v>
      </c>
      <c r="E14" s="2998"/>
      <c r="F14" s="2998"/>
      <c r="G14" s="2998">
        <f>SUM(G4:G13)</f>
        <v>172323</v>
      </c>
      <c r="H14" s="2997">
        <f>G14/101504</f>
        <v>1.6976966424968474</v>
      </c>
    </row>
    <row r="15" spans="1:12" s="2997" customFormat="1"/>
    <row r="16" spans="1:12" s="2997" customFormat="1">
      <c r="H16" s="2999" t="s">
        <v>3105</v>
      </c>
    </row>
    <row r="17" spans="1:8" s="2997" customFormat="1"/>
    <row r="18" spans="1:8" s="2997" customFormat="1"/>
    <row r="20" spans="1:8" ht="24">
      <c r="A20" s="2994" t="s">
        <v>3337</v>
      </c>
      <c r="B20" s="2994"/>
      <c r="C20" s="2994"/>
      <c r="D20" s="2994"/>
      <c r="E20" s="2994"/>
    </row>
    <row r="21" spans="1:8">
      <c r="A21" s="1311" t="s">
        <v>3338</v>
      </c>
      <c r="B21" s="1311" t="s">
        <v>1371</v>
      </c>
      <c r="C21" s="1311" t="s">
        <v>3339</v>
      </c>
      <c r="D21" s="2994"/>
      <c r="E21" s="2994"/>
    </row>
    <row r="22" spans="1:8">
      <c r="A22" s="1311">
        <v>-4</v>
      </c>
      <c r="B22" s="1311" t="s">
        <v>3340</v>
      </c>
      <c r="C22" s="1311">
        <v>1360.8799999999901</v>
      </c>
      <c r="D22" s="3349">
        <v>22000.37</v>
      </c>
      <c r="E22" s="2994"/>
    </row>
    <row r="23" spans="1:8">
      <c r="A23" s="1311">
        <v>-3</v>
      </c>
      <c r="B23" s="1311" t="s">
        <v>3340</v>
      </c>
      <c r="C23" s="1311">
        <v>484.68999999999897</v>
      </c>
      <c r="D23" s="3349"/>
      <c r="E23" s="2994"/>
    </row>
    <row r="24" spans="1:8">
      <c r="A24" s="1311">
        <v>-2</v>
      </c>
      <c r="B24" s="1311" t="s">
        <v>3340</v>
      </c>
      <c r="C24" s="1311">
        <v>20154.8</v>
      </c>
      <c r="D24" s="3349"/>
      <c r="E24" s="2994"/>
    </row>
    <row r="25" spans="1:8" ht="24">
      <c r="A25" s="1311">
        <v>-1</v>
      </c>
      <c r="B25" s="1311" t="s">
        <v>3341</v>
      </c>
      <c r="C25" s="1311">
        <v>18203.810000000001</v>
      </c>
      <c r="D25" s="2994"/>
      <c r="E25" s="2994"/>
      <c r="F25" s="3003" t="s">
        <v>3353</v>
      </c>
      <c r="H25">
        <f>C25-500</f>
        <v>17703.810000000001</v>
      </c>
    </row>
    <row r="26" spans="1:8">
      <c r="A26" s="1311">
        <v>1</v>
      </c>
      <c r="B26" s="1311" t="s">
        <v>3342</v>
      </c>
      <c r="C26" s="1311">
        <v>10721.01</v>
      </c>
      <c r="D26" s="3349">
        <v>60856.65</v>
      </c>
      <c r="E26" s="3350">
        <v>61300.160000000003</v>
      </c>
    </row>
    <row r="27" spans="1:8">
      <c r="A27" s="1311">
        <v>2</v>
      </c>
      <c r="B27" s="1311" t="s">
        <v>3342</v>
      </c>
      <c r="C27" s="1311">
        <v>10190.469999999999</v>
      </c>
      <c r="D27" s="3349"/>
      <c r="E27" s="3350"/>
    </row>
    <row r="28" spans="1:8">
      <c r="A28" s="1311">
        <v>3</v>
      </c>
      <c r="B28" s="1311" t="s">
        <v>3342</v>
      </c>
      <c r="C28" s="1311">
        <v>10512.52</v>
      </c>
      <c r="D28" s="3349"/>
      <c r="E28" s="3350"/>
    </row>
    <row r="29" spans="1:8">
      <c r="A29" s="1311">
        <v>4</v>
      </c>
      <c r="B29" s="1311" t="s">
        <v>3342</v>
      </c>
      <c r="C29" s="1311">
        <v>10503.02</v>
      </c>
      <c r="D29" s="3349"/>
      <c r="E29" s="3350"/>
    </row>
    <row r="30" spans="1:8">
      <c r="A30" s="1311">
        <v>5</v>
      </c>
      <c r="B30" s="1311" t="s">
        <v>3342</v>
      </c>
      <c r="C30" s="1311">
        <v>7946.38</v>
      </c>
      <c r="D30" s="3349"/>
      <c r="E30" s="3350"/>
    </row>
    <row r="31" spans="1:8">
      <c r="A31" s="1311">
        <v>6</v>
      </c>
      <c r="B31" s="1311" t="s">
        <v>3342</v>
      </c>
      <c r="C31" s="1311">
        <v>7361.49</v>
      </c>
      <c r="D31" s="3349"/>
      <c r="E31" s="3350"/>
    </row>
    <row r="32" spans="1:8">
      <c r="A32" s="1311">
        <v>7</v>
      </c>
      <c r="B32" s="1311" t="s">
        <v>3342</v>
      </c>
      <c r="C32" s="1311">
        <v>3621.76</v>
      </c>
      <c r="D32" s="3349"/>
      <c r="E32" s="3350"/>
    </row>
    <row r="33" spans="1:5">
      <c r="A33" s="1311" t="s">
        <v>3343</v>
      </c>
      <c r="B33" s="1311" t="s">
        <v>70</v>
      </c>
      <c r="C33" s="1311">
        <v>443.51</v>
      </c>
      <c r="D33" s="2995"/>
      <c r="E33" s="3350"/>
    </row>
    <row r="34" spans="1:5">
      <c r="A34" s="1311" t="s">
        <v>37</v>
      </c>
      <c r="B34" s="1311" t="s">
        <v>70</v>
      </c>
      <c r="C34" s="1311">
        <v>101504.34</v>
      </c>
      <c r="D34" s="2994">
        <v>1.0256663807783599</v>
      </c>
      <c r="E34" s="2994"/>
    </row>
  </sheetData>
  <mergeCells count="3">
    <mergeCell ref="D22:D24"/>
    <mergeCell ref="D26:D32"/>
    <mergeCell ref="E26:E33"/>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26"/>
      <c r="B3" s="3026"/>
      <c r="C3" s="3026"/>
      <c r="D3" s="1041" t="s">
        <v>1633</v>
      </c>
      <c r="E3" s="1041" t="s">
        <v>1639</v>
      </c>
      <c r="F3" s="1041" t="s">
        <v>1633</v>
      </c>
      <c r="G3" s="1041" t="s">
        <v>1634</v>
      </c>
      <c r="H3" s="1041" t="s">
        <v>1633</v>
      </c>
      <c r="I3" s="1041" t="s">
        <v>1634</v>
      </c>
    </row>
    <row r="4" spans="1:9" ht="30">
      <c r="A4" s="1968" t="str">
        <f>项目基本情况!S2</f>
        <v>北京市大兴区欣旺北大街8号1幢商业用房房地产</v>
      </c>
      <c r="B4" s="1041">
        <f>项目基本情况!C17</f>
        <v>101504.34</v>
      </c>
      <c r="C4" s="1041">
        <f>项目基本情况!C18</f>
        <v>25666.1</v>
      </c>
      <c r="D4" s="1041">
        <f ca="1">结果表!D118</f>
        <v>170640</v>
      </c>
      <c r="E4" s="1041">
        <f ca="1">结果表!E118</f>
        <v>16812</v>
      </c>
      <c r="F4" s="1041">
        <f ca="1">结果表!F118</f>
        <v>70377</v>
      </c>
      <c r="G4" s="1041">
        <f ca="1">结果表!G118</f>
        <v>6933</v>
      </c>
      <c r="H4" s="1041">
        <f ca="1">结果表!H118</f>
        <v>241017</v>
      </c>
      <c r="I4" s="1041">
        <f ca="1">结果表!I118</f>
        <v>23745</v>
      </c>
    </row>
    <row r="5" spans="1:9" ht="30" customHeight="1">
      <c r="A5" s="3026" t="s">
        <v>1635</v>
      </c>
      <c r="B5" s="3026"/>
      <c r="C5" s="3026"/>
      <c r="D5" s="3027" t="str">
        <f ca="1">结果表!D119</f>
        <v>壹拾柒亿零陆佰肆拾万元整</v>
      </c>
      <c r="E5" s="3027"/>
      <c r="F5" s="3027" t="str">
        <f ca="1">结果表!F119</f>
        <v>柒亿零叁佰柒拾柒万元整</v>
      </c>
      <c r="G5" s="3027"/>
      <c r="H5" s="3027" t="str">
        <f ca="1">结果表!H119</f>
        <v>贰拾肆亿壹仟零壹拾柒万元整</v>
      </c>
      <c r="I5" s="3027"/>
    </row>
    <row r="6" spans="1:9" ht="15.75">
      <c r="A6" s="3028" t="str">
        <f>结果表!A120</f>
        <v>估价师知悉的法定优先受偿款</v>
      </c>
      <c r="B6" s="3028"/>
      <c r="C6" s="3028"/>
      <c r="D6" s="3028">
        <f>结果表!D120</f>
        <v>0</v>
      </c>
      <c r="E6" s="3028"/>
      <c r="F6" s="3028"/>
      <c r="G6" s="3028"/>
      <c r="H6" s="3028"/>
      <c r="I6" s="3028"/>
    </row>
    <row r="7" spans="1:9" ht="15">
      <c r="A7" s="3026" t="s">
        <v>1635</v>
      </c>
      <c r="B7" s="3026"/>
      <c r="C7" s="3026"/>
      <c r="D7" s="3029" t="str">
        <f>结果表!D121</f>
        <v>零元整</v>
      </c>
      <c r="E7" s="3030"/>
      <c r="F7" s="3030"/>
      <c r="G7" s="3030"/>
      <c r="H7" s="3030"/>
      <c r="I7" s="3031"/>
    </row>
    <row r="8" spans="1:9" ht="15.75">
      <c r="A8" s="3028" t="str">
        <f>结果表!A122</f>
        <v/>
      </c>
      <c r="B8" s="3028"/>
      <c r="C8" s="3028"/>
      <c r="D8" s="3028" t="str">
        <f>结果表!D122</f>
        <v>——</v>
      </c>
      <c r="E8" s="3028"/>
      <c r="F8" s="3028"/>
      <c r="G8" s="3028"/>
      <c r="H8" s="3028"/>
      <c r="I8" s="3028"/>
    </row>
    <row r="9" spans="1:9" ht="15">
      <c r="A9" s="3026" t="s">
        <v>1635</v>
      </c>
      <c r="B9" s="3026"/>
      <c r="C9" s="3026"/>
      <c r="D9" s="3027" t="e">
        <f>结果表!D123</f>
        <v>#VALUE!</v>
      </c>
      <c r="E9" s="3027"/>
      <c r="F9" s="3027"/>
      <c r="G9" s="3027"/>
      <c r="H9" s="3027"/>
      <c r="I9" s="3027"/>
    </row>
    <row r="10" spans="1:9" ht="15.75">
      <c r="A10" s="3028" t="str">
        <f>结果表!A124</f>
        <v>抵押担保权已注销时的房地产抵押价值</v>
      </c>
      <c r="B10" s="3028"/>
      <c r="C10" s="3028"/>
      <c r="D10" s="3028">
        <f ca="1">结果表!D124</f>
        <v>241017</v>
      </c>
      <c r="E10" s="3028"/>
      <c r="F10" s="3028"/>
      <c r="G10" s="3028"/>
      <c r="H10" s="3028"/>
      <c r="I10" s="3028"/>
    </row>
    <row r="11" spans="1:9" ht="15">
      <c r="A11" s="3026" t="s">
        <v>1635</v>
      </c>
      <c r="B11" s="3026"/>
      <c r="C11" s="3026"/>
      <c r="D11" s="3027" t="str">
        <f ca="1">结果表!D125</f>
        <v>贰拾肆亿壹仟零壹拾柒万元整</v>
      </c>
      <c r="E11" s="3027"/>
      <c r="F11" s="3027"/>
      <c r="G11" s="3027"/>
      <c r="H11" s="3027"/>
      <c r="I11" s="3027"/>
    </row>
    <row r="12" spans="1:9" ht="15.75">
      <c r="A12" s="3028" t="str">
        <f>结果表!A126</f>
        <v/>
      </c>
      <c r="B12" s="3028"/>
      <c r="C12" s="3028"/>
      <c r="D12" s="3028" t="str">
        <f>结果表!D126</f>
        <v>——</v>
      </c>
      <c r="E12" s="3028"/>
      <c r="F12" s="3028"/>
      <c r="G12" s="3028"/>
      <c r="H12" s="3028"/>
      <c r="I12" s="3028"/>
    </row>
    <row r="13" spans="1:9" ht="15.75" thickBot="1">
      <c r="A13" s="3032" t="s">
        <v>1635</v>
      </c>
      <c r="B13" s="3032"/>
      <c r="C13" s="3032"/>
      <c r="D13" s="3033" t="e">
        <f>结果表!D127</f>
        <v>#VALUE!</v>
      </c>
      <c r="E13" s="3033"/>
      <c r="F13" s="3033"/>
      <c r="G13" s="3033"/>
      <c r="H13" s="3033"/>
      <c r="I13" s="3033"/>
    </row>
    <row r="14" spans="1:9" ht="15" thickTop="1">
      <c r="A14" s="3034" t="s">
        <v>1640</v>
      </c>
      <c r="B14" s="3034"/>
      <c r="C14" s="3034"/>
      <c r="D14" s="3034"/>
      <c r="E14" s="3034"/>
      <c r="F14" s="3034"/>
      <c r="G14" s="3034"/>
      <c r="H14" s="3034"/>
      <c r="I14" s="3034"/>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5" t="s">
        <v>1657</v>
      </c>
      <c r="B1" s="3035"/>
      <c r="C1" s="3035"/>
      <c r="D1" s="3035"/>
    </row>
    <row r="2" spans="1:4" ht="18">
      <c r="A2" s="3036" t="s">
        <v>1641</v>
      </c>
      <c r="B2" s="3036"/>
      <c r="C2" s="3036"/>
      <c r="D2" s="3036"/>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3036" t="s">
        <v>1647</v>
      </c>
      <c r="B6" s="3036"/>
      <c r="C6" s="3036"/>
      <c r="D6" s="3036"/>
    </row>
    <row r="7" spans="1:4" ht="18.75">
      <c r="A7" s="1972" t="s">
        <v>1642</v>
      </c>
      <c r="B7" s="1974" t="s">
        <v>1648</v>
      </c>
      <c r="C7" s="1972" t="s">
        <v>1644</v>
      </c>
      <c r="D7" s="1972" t="s">
        <v>1645</v>
      </c>
    </row>
    <row r="8" spans="1:4" ht="56.25" customHeight="1">
      <c r="A8" s="1978" t="s">
        <v>866</v>
      </c>
      <c r="B8" s="1978" t="s">
        <v>1</v>
      </c>
      <c r="C8" s="1975"/>
      <c r="D8" s="1976" t="s">
        <v>1646</v>
      </c>
    </row>
    <row r="9" spans="1:4">
      <c r="A9" s="725"/>
      <c r="B9" s="725"/>
      <c r="C9" s="725"/>
      <c r="D9" s="725"/>
    </row>
    <row r="10" spans="1:4" ht="18.75">
      <c r="A10" s="1979" t="s">
        <v>1649</v>
      </c>
      <c r="B10" s="725"/>
      <c r="C10" s="725"/>
      <c r="D10" s="725"/>
    </row>
    <row r="11" spans="1:4" ht="30" customHeight="1">
      <c r="A11" s="3037" t="s">
        <v>1650</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（1）根据估价对象《房屋所有权证》原件、《国有土地使用权》原件，截至价值时点，估价对象抵押权未见登记。</v>
      </c>
      <c r="B15" s="3038"/>
      <c r="C15" s="3038"/>
      <c r="D15" s="3038"/>
    </row>
    <row r="16" spans="1:4" ht="30" customHeight="1">
      <c r="A16" s="3041" t="s">
        <v>1651</v>
      </c>
      <c r="B16" s="3041"/>
      <c r="C16" s="3041"/>
      <c r="D16" s="3041"/>
    </row>
    <row r="17" spans="1:4" ht="144" customHeight="1">
      <c r="A17" s="3041" t="s">
        <v>1652</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1653</v>
      </c>
      <c r="B22" s="3043"/>
      <c r="C22" s="3043"/>
      <c r="D22" s="3043"/>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49" t="s">
        <v>1664</v>
      </c>
      <c r="B15" s="3044" t="s">
        <v>136</v>
      </c>
      <c r="C15" s="3045"/>
    </row>
    <row r="16" spans="1:7" ht="13.5">
      <c r="A16" s="3050"/>
      <c r="B16" s="3044" t="s">
        <v>69</v>
      </c>
      <c r="C16" s="3045"/>
    </row>
    <row r="17" spans="1:3" ht="13.5">
      <c r="A17" s="3050"/>
      <c r="B17" s="3047" t="s">
        <v>1665</v>
      </c>
      <c r="C17" s="1995" t="s">
        <v>1664</v>
      </c>
    </row>
    <row r="18" spans="1:3" ht="13.5">
      <c r="A18" s="3050"/>
      <c r="B18" s="3047"/>
      <c r="C18" s="1995" t="s">
        <v>1666</v>
      </c>
    </row>
    <row r="19" spans="1:3" ht="13.5">
      <c r="A19" s="3050"/>
      <c r="B19" s="3047"/>
      <c r="C19" s="1995" t="s">
        <v>1667</v>
      </c>
    </row>
    <row r="20" spans="1:3" ht="13.5">
      <c r="A20" s="3051"/>
      <c r="B20" s="3046" t="s">
        <v>1668</v>
      </c>
      <c r="C20" s="3045"/>
    </row>
    <row r="21" spans="1:3" ht="13.5">
      <c r="A21" s="1996" t="s">
        <v>1669</v>
      </c>
      <c r="B21" s="1997"/>
      <c r="C21" s="1998"/>
    </row>
    <row r="22" spans="1:3" ht="13.5">
      <c r="A22" s="3048" t="s">
        <v>1670</v>
      </c>
      <c r="B22" s="3046" t="s">
        <v>1671</v>
      </c>
      <c r="C22" s="3045"/>
    </row>
    <row r="23" spans="1:3" ht="13.5">
      <c r="A23" s="3048"/>
      <c r="B23" s="3046" t="s">
        <v>1672</v>
      </c>
      <c r="C23" s="3045"/>
    </row>
    <row r="24" spans="1:3" ht="13.5">
      <c r="A24" s="3048"/>
      <c r="B24" s="3046" t="s">
        <v>1673</v>
      </c>
      <c r="C24" s="3045"/>
    </row>
    <row r="25" spans="1:3" ht="13.5">
      <c r="A25" s="3048"/>
      <c r="B25" s="3047" t="s">
        <v>1674</v>
      </c>
      <c r="C25" s="1995" t="s">
        <v>1675</v>
      </c>
    </row>
    <row r="26" spans="1:3" ht="13.5">
      <c r="A26" s="3048"/>
      <c r="B26" s="3047"/>
      <c r="C26" s="1995" t="s">
        <v>1676</v>
      </c>
    </row>
    <row r="27" spans="1:3" ht="13.5">
      <c r="A27" s="3048"/>
      <c r="B27" s="3047"/>
      <c r="C27" s="1995" t="s">
        <v>1677</v>
      </c>
    </row>
    <row r="28" spans="1:3" ht="13.5">
      <c r="A28" s="3048"/>
      <c r="B28" s="3047"/>
      <c r="C28" s="1995" t="s">
        <v>1678</v>
      </c>
    </row>
    <row r="29" spans="1:3" ht="13.5">
      <c r="A29" s="3048"/>
      <c r="B29" s="3047"/>
      <c r="C29" s="1995" t="s">
        <v>1679</v>
      </c>
    </row>
    <row r="30" spans="1:3" ht="13.5">
      <c r="A30" s="3048"/>
      <c r="B30" s="3047"/>
      <c r="C30" s="1995" t="s">
        <v>1680</v>
      </c>
    </row>
    <row r="31" spans="1:3" ht="13.5">
      <c r="A31" s="3048"/>
      <c r="B31" s="3047"/>
      <c r="C31" s="1995" t="s">
        <v>1681</v>
      </c>
    </row>
    <row r="32" spans="1:3" ht="13.5">
      <c r="A32" s="3048"/>
      <c r="B32" s="3047"/>
      <c r="C32" s="1995" t="s">
        <v>1682</v>
      </c>
    </row>
    <row r="33" spans="1:3" ht="13.5">
      <c r="A33" s="3048"/>
      <c r="B33" s="3047"/>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43787</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44554</v>
      </c>
      <c r="D10" s="2344" t="s">
        <v>838</v>
      </c>
      <c r="E10" s="1019">
        <f ca="1">IF(F10&lt;B2,"已过期",2004110096)</f>
        <v>2004110096</v>
      </c>
      <c r="F10" s="1027">
        <v>47118</v>
      </c>
    </row>
    <row r="11" spans="1:6" ht="24" customHeight="1">
      <c r="A11" s="1698" t="s">
        <v>839</v>
      </c>
      <c r="B11" s="1019">
        <f ca="1">IF(C11&lt;B2,"已过期",1120100036)</f>
        <v>1120100036</v>
      </c>
      <c r="C11" s="2341">
        <v>44675</v>
      </c>
      <c r="D11" s="2344" t="s">
        <v>839</v>
      </c>
      <c r="E11" s="1019">
        <f ca="1">IF(F11&lt;B2,"已过期",2010110070)</f>
        <v>2010110070</v>
      </c>
      <c r="F11" s="1027">
        <v>47907</v>
      </c>
    </row>
    <row r="12" spans="1:6" ht="24" customHeight="1">
      <c r="A12" s="1698"/>
      <c r="B12" s="1019"/>
      <c r="C12" s="2922"/>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3033</v>
      </c>
      <c r="B14" s="1019">
        <f ca="1">IF(C14&lt;B2,"已过期",1120040230)</f>
        <v>1120040230</v>
      </c>
      <c r="C14" s="2341">
        <v>43835</v>
      </c>
      <c r="D14" s="2344" t="s">
        <v>3033</v>
      </c>
      <c r="E14" s="1019">
        <f ca="1">IF(F14&lt;B2,"已过期",98030020)</f>
        <v>98030020</v>
      </c>
      <c r="F14" s="1027">
        <v>47118</v>
      </c>
    </row>
    <row r="15" spans="1:6" ht="24" customHeight="1">
      <c r="A15" s="1699" t="s">
        <v>3034</v>
      </c>
      <c r="B15" s="1019">
        <f ca="1">IF(C15&lt;B2,"已过期",1120070085)</f>
        <v>1120070085</v>
      </c>
      <c r="C15" s="2341">
        <v>43814</v>
      </c>
      <c r="D15" s="2345" t="s">
        <v>3034</v>
      </c>
      <c r="E15" s="1019">
        <f ca="1">IF(F15&lt;B2,"已过期",2004110128)</f>
        <v>2004110128</v>
      </c>
      <c r="F15" s="1020">
        <v>47118</v>
      </c>
    </row>
    <row r="16" spans="1:6" ht="24" customHeight="1">
      <c r="A16" s="1698" t="s">
        <v>3035</v>
      </c>
      <c r="B16" s="1019">
        <f ca="1">IF(C16&lt;B2,"已过期",1120140022)</f>
        <v>1120140022</v>
      </c>
      <c r="C16" s="2922">
        <v>44029</v>
      </c>
      <c r="D16" s="2344" t="s">
        <v>3035</v>
      </c>
      <c r="E16" s="1019">
        <f ca="1">IF(F16&lt;B2,"已过期",2008110059)</f>
        <v>2008110059</v>
      </c>
      <c r="F16" s="1027">
        <v>47177</v>
      </c>
    </row>
    <row r="17" spans="1:7" ht="24" customHeight="1">
      <c r="A17" s="1698"/>
      <c r="B17" s="1019"/>
      <c r="C17" s="2341"/>
      <c r="D17" s="2344" t="s">
        <v>3036</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22">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52" t="s">
        <v>843</v>
      </c>
      <c r="B25" s="3052"/>
      <c r="C25" s="3052"/>
      <c r="D25" s="3052"/>
      <c r="E25" s="3052"/>
      <c r="F25" s="3052"/>
      <c r="G25" s="3052"/>
    </row>
    <row r="26" spans="1:7" s="1022" customFormat="1" ht="24" customHeight="1">
      <c r="A26" s="3053" t="s">
        <v>844</v>
      </c>
      <c r="B26" s="3053"/>
      <c r="C26" s="3054"/>
      <c r="D26" s="3055" t="s">
        <v>845</v>
      </c>
      <c r="E26" s="3053"/>
      <c r="F26" s="3053"/>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3040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各层面积</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2019-11-18T02:32:10Z</dcterms:modified>
</cp:coreProperties>
</file>