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2024-1-0966-P01亦庄-武哥-光大-应付未付5千万\"/>
    </mc:Choice>
  </mc:AlternateContent>
  <xr:revisionPtr revIDLastSave="0" documentId="13_ncr:1_{B4E9DB99-1421-418C-AA7B-35593D0EE091}" xr6:coauthVersionLast="47" xr6:coauthVersionMax="47" xr10:uidLastSave="{00000000-0000-0000-0000-000000000000}"/>
  <bookViews>
    <workbookView xWindow="-348" yWindow="36" windowWidth="10620" windowHeight="11916" tabRatio="899" firstSheet="25" activeTab="4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 车库" sheetId="85"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基准地价修正" sheetId="43" r:id="rId39"/>
    <sheet name="假设开发法" sheetId="12" state="hidden" r:id="rId40"/>
    <sheet name="土地比较法-工业" sheetId="40" state="hidden" r:id="rId41"/>
    <sheet name="面积清单" sheetId="81" r:id="rId42"/>
    <sheet name="规划许可证面积表" sheetId="83" r:id="rId43"/>
    <sheet name="层高" sheetId="82" r:id="rId44"/>
    <sheet name="租赁合同" sheetId="84" r:id="rId45"/>
    <sheet name="案例" sheetId="86"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39">假设开发法!$A$1:$K$32</definedName>
    <definedName name="_xlnm.Print_Area" localSheetId="18">结果表!$A$1:$I$127</definedName>
    <definedName name="_xlnm.Print_Area" localSheetId="21">收益法!$A$1:$F$43,收益法!$A$46:$F$71,收益法!$I$46:$N$65</definedName>
    <definedName name="_xlnm.Print_Area" localSheetId="22">'收益法 (元)'!$A$1:$F$43,'收益法 (元)'!$H$3:$M$29,'收益法 (元)'!$A$45:$F$71,'收益法 (元)'!$I$46:$N$65</definedName>
    <definedName name="_xlnm.Print_Area" localSheetId="24">'收益法 车库'!$A$1:$F$43,'收益法 车库'!$A$46:$F$71,'收益法 车库'!$I$46:$N$65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Q40" i="81"/>
  <c r="O40" i="81"/>
  <c r="T40" i="81" s="1"/>
  <c r="Q39" i="81"/>
  <c r="O39" i="81"/>
  <c r="T39" i="81" s="1"/>
  <c r="Q38" i="81"/>
  <c r="O38" i="81"/>
  <c r="T38" i="81" s="1"/>
  <c r="Q34" i="81"/>
  <c r="O34" i="81"/>
  <c r="T34" i="81" s="1"/>
  <c r="Q33" i="81"/>
  <c r="O33" i="81"/>
  <c r="T33" i="81" s="1"/>
  <c r="V34" i="81" l="1"/>
  <c r="V39" i="81"/>
  <c r="V33" i="81"/>
  <c r="V38" i="81"/>
  <c r="V40" i="81"/>
  <c r="V41" i="81" l="1"/>
  <c r="AT14" i="3" l="1"/>
  <c r="K14" i="3"/>
  <c r="I14" i="3"/>
  <c r="F66" i="81"/>
  <c r="B71" i="81"/>
  <c r="AL13" i="3"/>
  <c r="K13" i="3"/>
  <c r="I13" i="3"/>
  <c r="U6" i="1"/>
  <c r="Z18" i="81"/>
  <c r="Z17" i="81"/>
  <c r="Z16" i="81"/>
  <c r="Z15" i="81"/>
  <c r="Z14" i="81"/>
  <c r="Z13" i="81"/>
  <c r="X17" i="81"/>
  <c r="X14" i="81"/>
  <c r="U17" i="81"/>
  <c r="U16" i="81"/>
  <c r="U15" i="81"/>
  <c r="U14" i="81"/>
  <c r="U13" i="81"/>
  <c r="L39" i="81"/>
  <c r="L40" i="81"/>
  <c r="L38" i="81"/>
  <c r="L34" i="81"/>
  <c r="L33" i="81"/>
  <c r="K14" i="81"/>
  <c r="L7" i="1"/>
  <c r="S18" i="81"/>
  <c r="S14" i="81"/>
  <c r="S15" i="81"/>
  <c r="S16" i="81"/>
  <c r="S17" i="81"/>
  <c r="S13" i="81"/>
  <c r="J40" i="81"/>
  <c r="J39" i="81"/>
  <c r="J38" i="81"/>
  <c r="J34" i="81"/>
  <c r="J33" i="81"/>
  <c r="N17" i="81"/>
  <c r="N16" i="81"/>
  <c r="N15" i="81"/>
  <c r="N14" i="81"/>
  <c r="N13" i="81"/>
  <c r="J13" i="81"/>
  <c r="J15" i="81"/>
  <c r="J16" i="81"/>
  <c r="J17" i="81"/>
  <c r="J14" i="81"/>
  <c r="P21" i="81" l="1"/>
  <c r="L6" i="1" s="1"/>
  <c r="D46" i="81"/>
  <c r="D47" i="81" s="1"/>
  <c r="C46" i="81"/>
  <c r="C47" i="81" s="1"/>
  <c r="C44" i="81"/>
  <c r="D44" i="81"/>
  <c r="D36" i="81"/>
  <c r="C36" i="81"/>
  <c r="N27" i="83"/>
  <c r="N26" i="83"/>
  <c r="N25" i="83"/>
  <c r="N32" i="81" l="1"/>
  <c r="C88" i="9"/>
  <c r="N2" i="81"/>
  <c r="Y7" i="1"/>
  <c r="W7" i="1"/>
  <c r="J7" i="1"/>
  <c r="I7" i="1"/>
  <c r="H7" i="1"/>
  <c r="N7" i="1"/>
  <c r="Q72" i="85" l="1"/>
  <c r="Q59" i="85"/>
  <c r="K59" i="85"/>
  <c r="P74" i="85" s="1"/>
  <c r="F59" i="85"/>
  <c r="Q58" i="85"/>
  <c r="Q51" i="85"/>
  <c r="J50" i="85"/>
  <c r="J51" i="85" s="1"/>
  <c r="J49" i="85"/>
  <c r="M47" i="85"/>
  <c r="D46" i="85"/>
  <c r="F34" i="85"/>
  <c r="F62" i="85" s="1"/>
  <c r="F33" i="85"/>
  <c r="F61" i="85" s="1"/>
  <c r="F31" i="85"/>
  <c r="F23" i="85"/>
  <c r="D24" i="85" s="1"/>
  <c r="D23" i="85"/>
  <c r="D22" i="85"/>
  <c r="F21" i="85"/>
  <c r="M20" i="85"/>
  <c r="F20" i="85"/>
  <c r="M19" i="85"/>
  <c r="F18" i="85"/>
  <c r="M17" i="85"/>
  <c r="F17" i="85"/>
  <c r="F15" i="85"/>
  <c r="AM7" i="1"/>
  <c r="AL7" i="1"/>
  <c r="B59" i="1"/>
  <c r="J49" i="15"/>
  <c r="G44" i="43"/>
  <c r="L8" i="84"/>
  <c r="Y6" i="1"/>
  <c r="E17" i="84"/>
  <c r="L10" i="84"/>
  <c r="L11" i="84"/>
  <c r="L12" i="84"/>
  <c r="L13" i="84"/>
  <c r="L14" i="84"/>
  <c r="L9" i="84"/>
  <c r="K14" i="84"/>
  <c r="K13" i="84"/>
  <c r="K12" i="84"/>
  <c r="K11" i="84"/>
  <c r="K10" i="84"/>
  <c r="F10" i="84"/>
  <c r="F11" i="84"/>
  <c r="F12" i="84"/>
  <c r="F13" i="84"/>
  <c r="F15" i="84" s="1"/>
  <c r="F14" i="84"/>
  <c r="F9" i="84"/>
  <c r="C15" i="84"/>
  <c r="N6" i="1"/>
  <c r="N19" i="1"/>
  <c r="A3" i="3"/>
  <c r="C68" i="81" l="1"/>
  <c r="C14" i="74"/>
  <c r="P61" i="85"/>
  <c r="H14" i="81"/>
  <c r="D20" i="81"/>
  <c r="D19" i="81"/>
  <c r="F19" i="6" s="1"/>
  <c r="I18" i="81"/>
  <c r="I19" i="81" s="1"/>
  <c r="H17" i="81"/>
  <c r="H16" i="81"/>
  <c r="H15" i="81"/>
  <c r="K15" i="81" s="1"/>
  <c r="H13" i="81"/>
  <c r="H19" i="81" s="1"/>
  <c r="L15" i="81" s="1"/>
  <c r="M15" i="81" s="1"/>
  <c r="D14" i="83"/>
  <c r="C14" i="83"/>
  <c r="L33" i="83"/>
  <c r="K33" i="83"/>
  <c r="J33" i="83"/>
  <c r="K32" i="83"/>
  <c r="K30" i="83"/>
  <c r="K28" i="83"/>
  <c r="I32" i="83"/>
  <c r="J31" i="83"/>
  <c r="J29" i="83"/>
  <c r="H33" i="83"/>
  <c r="D40" i="83"/>
  <c r="C40" i="83"/>
  <c r="D23" i="83"/>
  <c r="C23" i="83"/>
  <c r="H26" i="80"/>
  <c r="L14" i="81" l="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45" i="81" s="1"/>
  <c r="E38" i="81"/>
  <c r="E35" i="81"/>
  <c r="E34" i="81"/>
  <c r="E33" i="81"/>
  <c r="E36" i="81" s="1"/>
  <c r="E47" i="81" s="1"/>
  <c r="D17" i="81"/>
  <c r="B42" i="81"/>
  <c r="B41" i="81"/>
  <c r="B40" i="81"/>
  <c r="B39" i="81"/>
  <c r="B38" i="81"/>
  <c r="B35" i="81"/>
  <c r="B34" i="81"/>
  <c r="B33" i="81"/>
  <c r="B26" i="81"/>
  <c r="D3" i="4"/>
  <c r="G14" i="73"/>
  <c r="F14" i="73"/>
  <c r="E14" i="73"/>
  <c r="B44" i="81" l="1"/>
  <c r="B36" i="81"/>
  <c r="B46" i="81"/>
  <c r="K26" i="8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B67" i="71"/>
  <c r="N67" i="71" s="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C40" i="71" s="1"/>
  <c r="N39" i="71"/>
  <c r="X39" i="71" s="1"/>
  <c r="Q38" i="71"/>
  <c r="AB38" i="71" s="1"/>
  <c r="P38" i="71"/>
  <c r="AA30" i="71" s="1"/>
  <c r="O38" i="71"/>
  <c r="N38" i="71"/>
  <c r="Q37" i="71"/>
  <c r="AB37" i="71" s="1"/>
  <c r="P37" i="71"/>
  <c r="O37" i="71"/>
  <c r="N37" i="71"/>
  <c r="B38" i="71" s="1"/>
  <c r="B39" i="71" s="1"/>
  <c r="B40" i="71" s="1"/>
  <c r="S40"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Y30" i="71" s="1"/>
  <c r="Z30" i="71" s="1"/>
  <c r="N33" i="71"/>
  <c r="D33" i="71"/>
  <c r="Q32" i="71"/>
  <c r="AB32" i="71"/>
  <c r="P32" i="71"/>
  <c r="O32" i="71"/>
  <c r="N32" i="71"/>
  <c r="Q31" i="71"/>
  <c r="P31" i="71"/>
  <c r="O31" i="71"/>
  <c r="N31" i="71"/>
  <c r="Q30" i="71"/>
  <c r="P30" i="71"/>
  <c r="E31" i="71" s="1"/>
  <c r="E32" i="71" s="1"/>
  <c r="U32" i="71" s="1"/>
  <c r="O30" i="71"/>
  <c r="N30" i="71"/>
  <c r="Q29" i="71"/>
  <c r="F30" i="71" s="1"/>
  <c r="P29" i="71"/>
  <c r="O29" i="71"/>
  <c r="N29" i="71"/>
  <c r="D29" i="71"/>
  <c r="O28" i="71"/>
  <c r="N28" i="71"/>
  <c r="B30" i="71"/>
  <c r="B31" i="71" s="1"/>
  <c r="B32" i="71" s="1"/>
  <c r="S32" i="71" s="1"/>
  <c r="E30" i="71"/>
  <c r="B34" i="71"/>
  <c r="B35" i="71" s="1"/>
  <c r="B36" i="71" s="1"/>
  <c r="S36" i="71" s="1"/>
  <c r="E38" i="71"/>
  <c r="E39" i="71" s="1"/>
  <c r="E40" i="71" s="1"/>
  <c r="U40" i="71" s="1"/>
  <c r="N68" i="71"/>
  <c r="E34" i="71"/>
  <c r="E35" i="71" s="1"/>
  <c r="E36" i="71" s="1"/>
  <c r="U36" i="71" s="1"/>
  <c r="C30" i="71"/>
  <c r="D30" i="71" s="1"/>
  <c r="Y29" i="71"/>
  <c r="Z29" i="71" s="1"/>
  <c r="AA35" i="71"/>
  <c r="C38" i="71"/>
  <c r="D38" i="71" s="1"/>
  <c r="X38" i="71"/>
  <c r="C28" i="71"/>
  <c r="C27" i="71" s="1"/>
  <c r="Y25" i="71"/>
  <c r="Z25" i="71" s="1"/>
  <c r="B28" i="71"/>
  <c r="B27" i="71" s="1"/>
  <c r="B26" i="71" s="1"/>
  <c r="X26" i="71"/>
  <c r="C31" i="71"/>
  <c r="C39" i="71"/>
  <c r="D39" i="71" s="1"/>
  <c r="C43" i="71"/>
  <c r="C44" i="71" s="1"/>
  <c r="P28" i="71"/>
  <c r="E28" i="71" s="1"/>
  <c r="E55" i="71"/>
  <c r="E56" i="71" s="1"/>
  <c r="U56" i="71"/>
  <c r="E67" i="71"/>
  <c r="Q28" i="71"/>
  <c r="AB25" i="71" s="1"/>
  <c r="C59" i="71"/>
  <c r="D58" i="71"/>
  <c r="B66" i="71"/>
  <c r="N65" i="71" s="1"/>
  <c r="Q67" i="71"/>
  <c r="D68" i="71"/>
  <c r="Q68" i="71"/>
  <c r="C71" i="71"/>
  <c r="E71" i="71"/>
  <c r="E70" i="71" s="1"/>
  <c r="D72" i="71"/>
  <c r="E75" i="71"/>
  <c r="E74" i="71" s="1"/>
  <c r="C79" i="71"/>
  <c r="D79" i="71" s="1"/>
  <c r="E79" i="71"/>
  <c r="E78" i="71" s="1"/>
  <c r="D80" i="71"/>
  <c r="C83" i="71"/>
  <c r="D83" i="71" s="1"/>
  <c r="C87" i="71"/>
  <c r="C86" i="71" s="1"/>
  <c r="D86" i="71" s="1"/>
  <c r="T28" i="71"/>
  <c r="F28" i="71"/>
  <c r="F27" i="71" s="1"/>
  <c r="F26" i="71" s="1"/>
  <c r="AB27" i="71"/>
  <c r="AA28" i="71"/>
  <c r="D28" i="71"/>
  <c r="U28" i="71" s="1"/>
  <c r="C82" i="71"/>
  <c r="D82" i="71"/>
  <c r="N66" i="71"/>
  <c r="C78" i="71"/>
  <c r="D78" i="71" s="1"/>
  <c r="D71" i="71"/>
  <c r="C70" i="71"/>
  <c r="D70" i="71" s="1"/>
  <c r="C60" i="71"/>
  <c r="D59" i="71"/>
  <c r="P67" i="71"/>
  <c r="E66" i="71"/>
  <c r="P65" i="71" s="1"/>
  <c r="D43" i="71"/>
  <c r="C32" i="71"/>
  <c r="T32" i="71" s="1"/>
  <c r="D31"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42" i="43" s="1"/>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F35" i="35" s="1"/>
  <c r="B97" i="35"/>
  <c r="B77" i="35"/>
  <c r="B75" i="35"/>
  <c r="J24" i="35" s="1"/>
  <c r="AC24" i="35"/>
  <c r="B73" i="35"/>
  <c r="J23" i="35" s="1"/>
  <c r="AC23" i="35" s="1"/>
  <c r="B57" i="35"/>
  <c r="J11" i="35" s="1"/>
  <c r="W11" i="35" s="1"/>
  <c r="B61" i="35"/>
  <c r="B59" i="35"/>
  <c r="F12" i="35" s="1"/>
  <c r="B131" i="34"/>
  <c r="B129" i="34"/>
  <c r="B127" i="34"/>
  <c r="F45" i="34" s="1"/>
  <c r="S45" i="34" s="1"/>
  <c r="B99" i="34"/>
  <c r="H32" i="34" s="1"/>
  <c r="B97" i="34"/>
  <c r="B95" i="34"/>
  <c r="H30" i="34" s="1"/>
  <c r="B93" i="34"/>
  <c r="J29" i="34" s="1"/>
  <c r="B75" i="34"/>
  <c r="J14" i="34" s="1"/>
  <c r="W14" i="34" s="1"/>
  <c r="B73" i="34"/>
  <c r="B71" i="34"/>
  <c r="B130" i="33"/>
  <c r="B128" i="33"/>
  <c r="B126" i="33"/>
  <c r="B98" i="33"/>
  <c r="B96" i="33"/>
  <c r="B94" i="33"/>
  <c r="H29" i="33" s="1"/>
  <c r="B74" i="33"/>
  <c r="B72" i="33"/>
  <c r="H13" i="33" s="1"/>
  <c r="U13" i="33" s="1"/>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H46" i="21" s="1"/>
  <c r="B128" i="21"/>
  <c r="B126" i="21"/>
  <c r="J44" i="21" s="1"/>
  <c r="AC44" i="21" s="1"/>
  <c r="B98" i="21"/>
  <c r="H31" i="21" s="1"/>
  <c r="B96" i="21"/>
  <c r="B94" i="21"/>
  <c r="J29" i="21"/>
  <c r="AC29" i="21" s="1"/>
  <c r="B92" i="21"/>
  <c r="B90" i="21"/>
  <c r="H27" i="21" s="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H36" i="39"/>
  <c r="AB36" i="39"/>
  <c r="J35" i="39"/>
  <c r="AC35" i="39" s="1"/>
  <c r="F35" i="39"/>
  <c r="AA35" i="39"/>
  <c r="J36" i="39"/>
  <c r="AC36" i="39" s="1"/>
  <c r="U9" i="39"/>
  <c r="W25" i="37"/>
  <c r="U30" i="37"/>
  <c r="W31" i="37"/>
  <c r="F39" i="37"/>
  <c r="S39" i="37" s="1"/>
  <c r="F29" i="36"/>
  <c r="AA29" i="36" s="1"/>
  <c r="F16" i="36"/>
  <c r="AA16" i="36" s="1"/>
  <c r="W28" i="36"/>
  <c r="U31" i="36"/>
  <c r="J33" i="36"/>
  <c r="AC33" i="36" s="1"/>
  <c r="H22" i="35"/>
  <c r="AB22" i="35"/>
  <c r="AC27" i="35"/>
  <c r="W28" i="35"/>
  <c r="W22" i="35"/>
  <c r="S31" i="35"/>
  <c r="U34" i="35"/>
  <c r="F36" i="34"/>
  <c r="J35" i="34"/>
  <c r="H39" i="33"/>
  <c r="AB39" i="33"/>
  <c r="F26" i="33"/>
  <c r="AA26" i="33" s="1"/>
  <c r="U35" i="33"/>
  <c r="S40" i="33"/>
  <c r="W33" i="33"/>
  <c r="W39" i="33"/>
  <c r="H39" i="37"/>
  <c r="AB39" i="37"/>
  <c r="S27" i="35"/>
  <c r="F11" i="40"/>
  <c r="AA11" i="40"/>
  <c r="H11" i="40"/>
  <c r="AB11" i="40" s="1"/>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S44" i="39"/>
  <c r="J34" i="36"/>
  <c r="W34" i="36" s="1"/>
  <c r="U30" i="36"/>
  <c r="J30" i="35"/>
  <c r="W30" i="35" s="1"/>
  <c r="H30" i="35"/>
  <c r="AB30" i="35" s="1"/>
  <c r="F22" i="35"/>
  <c r="AA22" i="35" s="1"/>
  <c r="H10" i="35"/>
  <c r="U10" i="35" s="1"/>
  <c r="AA33" i="36"/>
  <c r="W30" i="36"/>
  <c r="H16" i="36"/>
  <c r="AB16" i="36" s="1"/>
  <c r="J29" i="36"/>
  <c r="AC29" i="36" s="1"/>
  <c r="F12" i="36"/>
  <c r="S12" i="36" s="1"/>
  <c r="F24" i="36"/>
  <c r="AA24" i="36"/>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c r="J15" i="33"/>
  <c r="AC15" i="33" s="1"/>
  <c r="F11" i="33"/>
  <c r="AA11" i="33" s="1"/>
  <c r="S26" i="33"/>
  <c r="U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c r="F44" i="21"/>
  <c r="AA44" i="21" s="1"/>
  <c r="U46" i="21"/>
  <c r="J46" i="21"/>
  <c r="F46" i="21"/>
  <c r="AA46" i="21" s="1"/>
  <c r="E119" i="21"/>
  <c r="F119" i="21" s="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27" i="33"/>
  <c r="AA27" i="33" s="1"/>
  <c r="J13" i="33"/>
  <c r="F13" i="33"/>
  <c r="S13" i="33"/>
  <c r="J29" i="33"/>
  <c r="U29" i="33"/>
  <c r="F29" i="33"/>
  <c r="S29" i="33" s="1"/>
  <c r="J31" i="33"/>
  <c r="W31" i="33" s="1"/>
  <c r="H31" i="33"/>
  <c r="F31" i="33"/>
  <c r="H45" i="33"/>
  <c r="U45" i="33" s="1"/>
  <c r="J45" i="33"/>
  <c r="W45" i="33" s="1"/>
  <c r="F45" i="33"/>
  <c r="AA45" i="33"/>
  <c r="F14" i="34"/>
  <c r="S14" i="34"/>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F29" i="34"/>
  <c r="S29" i="34"/>
  <c r="H29" i="34"/>
  <c r="AB29" i="34" s="1"/>
  <c r="J31" i="34"/>
  <c r="AC31" i="34"/>
  <c r="H31" i="34"/>
  <c r="F31" i="34"/>
  <c r="S31" i="34" s="1"/>
  <c r="H45" i="34"/>
  <c r="U45" i="34" s="1"/>
  <c r="J45" i="34"/>
  <c r="W45" i="34"/>
  <c r="H47" i="34"/>
  <c r="U47" i="34"/>
  <c r="F47" i="34"/>
  <c r="S47" i="34" s="1"/>
  <c r="J47" i="34"/>
  <c r="AC47" i="34"/>
  <c r="F13" i="35"/>
  <c r="J13" i="35"/>
  <c r="AC13" i="35" s="1"/>
  <c r="H13" i="35"/>
  <c r="U13" i="35" s="1"/>
  <c r="J25" i="35"/>
  <c r="W25" i="35"/>
  <c r="F25" i="35"/>
  <c r="S25" i="35" s="1"/>
  <c r="H25" i="35"/>
  <c r="AB25" i="35" s="1"/>
  <c r="J35" i="35"/>
  <c r="AC35" i="35" s="1"/>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U46" i="33"/>
  <c r="AA14" i="33"/>
  <c r="J36" i="37"/>
  <c r="AC36" i="37"/>
  <c r="J10" i="36"/>
  <c r="AC10" i="36" s="1"/>
  <c r="AB26" i="33"/>
  <c r="AB30" i="21"/>
  <c r="AA14" i="37"/>
  <c r="W31" i="34"/>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9" i="3"/>
  <c r="BA379" i="3"/>
  <c r="AZ379" i="3" s="1"/>
  <c r="BL380" i="3"/>
  <c r="G381" i="3"/>
  <c r="BA383" i="3"/>
  <c r="AZ383" i="3" s="1"/>
  <c r="BL384" i="3"/>
  <c r="AZ384" i="3" s="1"/>
  <c r="G385" i="3"/>
  <c r="BA387" i="3"/>
  <c r="BL388" i="3"/>
  <c r="G389" i="3"/>
  <c r="BA391" i="3"/>
  <c r="AZ391" i="3" s="1"/>
  <c r="BL392" i="3"/>
  <c r="G393" i="3"/>
  <c r="BO5" i="3"/>
  <c r="BM5" i="3"/>
  <c r="BJ5" i="3"/>
  <c r="BH5" i="3"/>
  <c r="BF5" i="3"/>
  <c r="BD5" i="3"/>
  <c r="AZ341" i="3"/>
  <c r="AC5" i="3"/>
  <c r="AZ496" i="3"/>
  <c r="G548" i="3"/>
  <c r="G538" i="3"/>
  <c r="G520" i="3"/>
  <c r="G502" i="3"/>
  <c r="BS5" i="3"/>
  <c r="BP5" i="3"/>
  <c r="BN5" i="3"/>
  <c r="BK5" i="3"/>
  <c r="BI5" i="3"/>
  <c r="BG5" i="3"/>
  <c r="BE5" i="3"/>
  <c r="G17" i="3"/>
  <c r="BA17" i="3"/>
  <c r="BT5" i="3"/>
  <c r="BA15" i="3"/>
  <c r="BR5" i="3"/>
  <c r="AZ380" i="3"/>
  <c r="AZ392" i="3"/>
  <c r="AZ509" i="3"/>
  <c r="G509" i="3"/>
  <c r="BL493" i="3"/>
  <c r="AZ493" i="3"/>
  <c r="U36" i="40"/>
  <c r="F83" i="43"/>
  <c r="H85" i="43" s="1"/>
  <c r="F50" i="43"/>
  <c r="H54" i="43" s="1"/>
  <c r="F72" i="43"/>
  <c r="H75" i="43" s="1"/>
  <c r="U17" i="39"/>
  <c r="S14" i="35"/>
  <c r="U43" i="21"/>
  <c r="U35" i="21"/>
  <c r="AC35" i="21"/>
  <c r="G10" i="1"/>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Z412" i="3"/>
  <c r="AZ433" i="3"/>
  <c r="W12" i="33"/>
  <c r="AC12" i="33"/>
  <c r="AA32" i="36"/>
  <c r="S32" i="36"/>
  <c r="AZ437" i="3"/>
  <c r="BL14" i="3"/>
  <c r="U30" i="33"/>
  <c r="AC13" i="34"/>
  <c r="AA47" i="34"/>
  <c r="W28" i="37"/>
  <c r="S19" i="39"/>
  <c r="F12" i="33"/>
  <c r="H12" i="39"/>
  <c r="AB12" i="39" s="1"/>
  <c r="F39" i="40"/>
  <c r="AA39" i="40" s="1"/>
  <c r="AZ224" i="3"/>
  <c r="AZ286" i="3"/>
  <c r="AZ173" i="3"/>
  <c r="AZ181" i="3"/>
  <c r="B12" i="1"/>
  <c r="E12" i="1" s="1"/>
  <c r="B10" i="1"/>
  <c r="E10" i="1" s="1"/>
  <c r="K12" i="1"/>
  <c r="M12" i="1" s="1"/>
  <c r="S13" i="1"/>
  <c r="AR13" i="1" s="1"/>
  <c r="R13" i="1"/>
  <c r="J51" i="67"/>
  <c r="C42" i="1"/>
  <c r="C24" i="12" s="1"/>
  <c r="AC34" i="33"/>
  <c r="AA34" i="33"/>
  <c r="B41" i="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S37" i="21"/>
  <c r="AA23" i="21"/>
  <c r="AB15" i="21"/>
  <c r="J23" i="21"/>
  <c r="AC23" i="21" s="1"/>
  <c r="F85" i="21"/>
  <c r="G85" i="21" s="1"/>
  <c r="H23" i="21"/>
  <c r="AB23" i="21" s="1"/>
  <c r="AP7" i="1"/>
  <c r="AB45" i="21"/>
  <c r="AB9" i="21"/>
  <c r="U9" i="21"/>
  <c r="AA32" i="21"/>
  <c r="S32" i="21"/>
  <c r="AB32" i="21"/>
  <c r="U32" i="21"/>
  <c r="U32" i="39"/>
  <c r="AC32" i="39"/>
  <c r="W32" i="39"/>
  <c r="AC23" i="37"/>
  <c r="J63" i="37"/>
  <c r="K63" i="37" s="1"/>
  <c r="L63" i="37" s="1"/>
  <c r="M63" i="37" s="1"/>
  <c r="J11" i="37"/>
  <c r="AC11" i="37" s="1"/>
  <c r="J11" i="34"/>
  <c r="W11" i="34" s="1"/>
  <c r="AB36" i="33"/>
  <c r="AC27" i="33"/>
  <c r="W25" i="33"/>
  <c r="AC25" i="33"/>
  <c r="AB19"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42" i="67"/>
  <c r="F37" i="67"/>
  <c r="M22" i="67"/>
  <c r="E11" i="76"/>
  <c r="M6" i="67"/>
  <c r="F6" i="73"/>
  <c r="F4" i="73"/>
  <c r="E12" i="76"/>
  <c r="B11" i="76"/>
  <c r="E13" i="76"/>
  <c r="AO13" i="1"/>
  <c r="E10" i="76"/>
  <c r="F9" i="67"/>
  <c r="F13" i="67"/>
  <c r="F7" i="73"/>
  <c r="F38" i="67"/>
  <c r="F7" i="67"/>
  <c r="F36" i="67"/>
  <c r="M28" i="67"/>
  <c r="F8" i="67"/>
  <c r="E7" i="76"/>
  <c r="F6" i="67"/>
  <c r="B10" i="76"/>
  <c r="M26" i="67"/>
  <c r="C76" i="67"/>
  <c r="J15" i="67"/>
  <c r="E2" i="69"/>
  <c r="M29" i="67"/>
  <c r="F16" i="67"/>
  <c r="M8" i="67"/>
  <c r="D6" i="73"/>
  <c r="F5" i="73"/>
  <c r="E8" i="76"/>
  <c r="B8" i="76"/>
  <c r="F26" i="67"/>
  <c r="F40" i="67"/>
  <c r="F3" i="73"/>
  <c r="E2" i="68"/>
  <c r="L48" i="67"/>
  <c r="B9" i="76"/>
  <c r="F43" i="67"/>
  <c r="M23" i="67"/>
  <c r="B7" i="76"/>
  <c r="M9" i="67"/>
  <c r="B13" i="76"/>
  <c r="M24" i="67"/>
  <c r="E9" i="76"/>
  <c r="L47" i="67"/>
  <c r="F20" i="31"/>
  <c r="G13" i="3" l="1"/>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AZ124" i="3"/>
  <c r="S29" i="35"/>
  <c r="AA29" i="35"/>
  <c r="BL585" i="3"/>
  <c r="AB33" i="33"/>
  <c r="U33" i="33"/>
  <c r="AC40" i="33"/>
  <c r="W40" i="33"/>
  <c r="J37" i="39"/>
  <c r="F37" i="39"/>
  <c r="AA38" i="34"/>
  <c r="S38" i="34"/>
  <c r="BA551" i="3"/>
  <c r="AZ551" i="3" s="1"/>
  <c r="BA550" i="3"/>
  <c r="BL548" i="3"/>
  <c r="U23" i="21"/>
  <c r="AC15" i="37"/>
  <c r="AC11" i="39"/>
  <c r="AZ345" i="3"/>
  <c r="AZ372" i="3"/>
  <c r="AZ337" i="3"/>
  <c r="AZ192" i="3"/>
  <c r="AZ376" i="3"/>
  <c r="AZ324" i="3"/>
  <c r="AZ309" i="3"/>
  <c r="AZ549" i="3"/>
  <c r="AC12" i="37"/>
  <c r="U14" i="40"/>
  <c r="AZ515" i="3"/>
  <c r="AZ569" i="3"/>
  <c r="AZ571" i="3"/>
  <c r="AZ579" i="3"/>
  <c r="AZ516" i="3"/>
  <c r="AZ524" i="3"/>
  <c r="AA35" i="34"/>
  <c r="S35" i="34"/>
  <c r="H23" i="36"/>
  <c r="J23" i="36"/>
  <c r="H31" i="39"/>
  <c r="J31" i="39"/>
  <c r="AC9" i="21"/>
  <c r="D6" i="52"/>
  <c r="AB27" i="33"/>
  <c r="AA23" i="37"/>
  <c r="AZ387" i="3"/>
  <c r="AZ366" i="3"/>
  <c r="AZ338" i="3"/>
  <c r="AZ371" i="3"/>
  <c r="AZ305" i="3"/>
  <c r="AZ15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AZ15" i="3"/>
  <c r="F29" i="6"/>
  <c r="AZ318" i="3"/>
  <c r="AZ364" i="3"/>
  <c r="AZ329" i="3"/>
  <c r="AZ304" i="3"/>
  <c r="AZ203"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AZ418" i="3"/>
  <c r="BL16" i="3"/>
  <c r="AZ16" i="3" s="1"/>
  <c r="AZ402" i="3"/>
  <c r="BL404" i="3"/>
  <c r="BL405" i="3"/>
  <c r="AZ414" i="3"/>
  <c r="AZ415" i="3"/>
  <c r="AZ270" i="3"/>
  <c r="AZ400" i="3"/>
  <c r="BL401" i="3"/>
  <c r="BA407" i="3"/>
  <c r="AZ407" i="3" s="1"/>
  <c r="AZ413" i="3"/>
  <c r="AZ444" i="3"/>
  <c r="AZ462" i="3"/>
  <c r="AZ125" i="3"/>
  <c r="W8" i="40"/>
  <c r="H23" i="35"/>
  <c r="G551" i="3"/>
  <c r="BL550" i="3"/>
  <c r="G542" i="3"/>
  <c r="BL398" i="3"/>
  <c r="AZ398" i="3" s="1"/>
  <c r="BL406" i="3"/>
  <c r="AZ406" i="3" s="1"/>
  <c r="G421" i="3"/>
  <c r="G440" i="3"/>
  <c r="BL441" i="3"/>
  <c r="BL442" i="3"/>
  <c r="BL444" i="3"/>
  <c r="G447" i="3"/>
  <c r="BL448" i="3"/>
  <c r="AZ448" i="3" s="1"/>
  <c r="G451" i="3"/>
  <c r="BA454" i="3"/>
  <c r="BA457" i="3"/>
  <c r="AZ457" i="3" s="1"/>
  <c r="BA459" i="3"/>
  <c r="AZ459" i="3" s="1"/>
  <c r="BA460" i="3"/>
  <c r="AZ460" i="3" s="1"/>
  <c r="BA461" i="3"/>
  <c r="AZ461" i="3" s="1"/>
  <c r="BL464" i="3"/>
  <c r="BL466" i="3"/>
  <c r="AZ466" i="3" s="1"/>
  <c r="G469" i="3"/>
  <c r="BL476" i="3"/>
  <c r="AZ476" i="3" s="1"/>
  <c r="BL477" i="3"/>
  <c r="BL478" i="3"/>
  <c r="BL480" i="3"/>
  <c r="AZ480" i="3" s="1"/>
  <c r="BA483" i="3"/>
  <c r="BL483" i="3"/>
  <c r="AZ483" i="3" s="1"/>
  <c r="BA486" i="3"/>
  <c r="BL489" i="3"/>
  <c r="BL491" i="3"/>
  <c r="BL492" i="3"/>
  <c r="BA315" i="3"/>
  <c r="AZ315" i="3" s="1"/>
  <c r="BA333" i="3"/>
  <c r="BL346" i="3"/>
  <c r="AZ346" i="3" s="1"/>
  <c r="AZ217" i="3"/>
  <c r="AZ228" i="3"/>
  <c r="BL265" i="3"/>
  <c r="AZ265" i="3" s="1"/>
  <c r="BA273" i="3"/>
  <c r="BA278" i="3"/>
  <c r="AZ278" i="3" s="1"/>
  <c r="BA280" i="3"/>
  <c r="AZ280" i="3" s="1"/>
  <c r="BL283" i="3"/>
  <c r="AZ283" i="3" s="1"/>
  <c r="BL284" i="3"/>
  <c r="G288" i="3"/>
  <c r="BL292" i="3"/>
  <c r="BA294" i="3"/>
  <c r="BL295" i="3"/>
  <c r="BA298" i="3"/>
  <c r="AZ298" i="3" s="1"/>
  <c r="BL301" i="3"/>
  <c r="AZ301" i="3" s="1"/>
  <c r="BL302" i="3"/>
  <c r="BA114" i="3"/>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BA272" i="3"/>
  <c r="AZ272" i="3" s="1"/>
  <c r="BL275" i="3"/>
  <c r="AZ275" i="3" s="1"/>
  <c r="G277" i="3"/>
  <c r="G280" i="3"/>
  <c r="G282" i="3"/>
  <c r="BL285" i="3"/>
  <c r="BL287" i="3"/>
  <c r="BA290" i="3"/>
  <c r="G297" i="3"/>
  <c r="BL299" i="3"/>
  <c r="G300" i="3"/>
  <c r="BL113" i="3"/>
  <c r="BL115" i="3"/>
  <c r="AZ115" i="3" s="1"/>
  <c r="BL122" i="3"/>
  <c r="G398" i="3"/>
  <c r="G399" i="3"/>
  <c r="BL400" i="3"/>
  <c r="BL408" i="3"/>
  <c r="BL411" i="3"/>
  <c r="BL413" i="3"/>
  <c r="G415" i="3"/>
  <c r="G416" i="3"/>
  <c r="BL417" i="3"/>
  <c r="BL418" i="3"/>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AZ477" i="3" s="1"/>
  <c r="BA478" i="3"/>
  <c r="AZ478" i="3" s="1"/>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AZ49" i="3" s="1"/>
  <c r="BA51" i="3"/>
  <c r="G55" i="3"/>
  <c r="BL56" i="3"/>
  <c r="BA58" i="3"/>
  <c r="BL59" i="3"/>
  <c r="AZ59" i="3" s="1"/>
  <c r="BL60" i="3"/>
  <c r="BA61" i="3"/>
  <c r="AZ61" i="3" s="1"/>
  <c r="BA68" i="3"/>
  <c r="BA73" i="3"/>
  <c r="BA80" i="3"/>
  <c r="BL84" i="3"/>
  <c r="BA109" i="3"/>
  <c r="AB21" i="37"/>
  <c r="U21" i="37"/>
  <c r="T40" i="71"/>
  <c r="D40" i="71"/>
  <c r="D50" i="71"/>
  <c r="C51" i="71"/>
  <c r="BA124" i="3"/>
  <c r="BA126" i="3"/>
  <c r="AZ126" i="3" s="1"/>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BA204" i="3"/>
  <c r="AZ204" i="3" s="1"/>
  <c r="BA18" i="3"/>
  <c r="AZ18" i="3" s="1"/>
  <c r="BL21" i="3"/>
  <c r="G23" i="3"/>
  <c r="G29" i="3"/>
  <c r="BL29" i="3"/>
  <c r="G33" i="3"/>
  <c r="G34" i="3"/>
  <c r="BA37" i="3"/>
  <c r="G39" i="3"/>
  <c r="BL39" i="3"/>
  <c r="G43" i="3"/>
  <c r="G44" i="3"/>
  <c r="BA45" i="3"/>
  <c r="AZ45" i="3" s="1"/>
  <c r="BA46" i="3"/>
  <c r="AZ46" i="3" s="1"/>
  <c r="BL49" i="3"/>
  <c r="BL50" i="3"/>
  <c r="AZ50" i="3" s="1"/>
  <c r="BL51" i="3"/>
  <c r="G53" i="3"/>
  <c r="BL53" i="3"/>
  <c r="BA56" i="3"/>
  <c r="BA57" i="3"/>
  <c r="BL58" i="3"/>
  <c r="G60" i="3"/>
  <c r="BA60" i="3"/>
  <c r="BA63" i="3"/>
  <c r="AZ63" i="3" s="1"/>
  <c r="BA66" i="3"/>
  <c r="AZ66" i="3" s="1"/>
  <c r="BA71" i="3"/>
  <c r="BL77" i="3"/>
  <c r="AZ77" i="3" s="1"/>
  <c r="BA79" i="3"/>
  <c r="AZ79" i="3" s="1"/>
  <c r="BL86" i="3"/>
  <c r="AZ86" i="3" s="1"/>
  <c r="BA91" i="3"/>
  <c r="AZ91" i="3" s="1"/>
  <c r="BA98" i="3"/>
  <c r="BA100" i="3"/>
  <c r="AZ100" i="3" s="1"/>
  <c r="BA102" i="3"/>
  <c r="AZ102" i="3" s="1"/>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AZ87" i="3" s="1"/>
  <c r="BA89" i="3"/>
  <c r="BL93" i="3"/>
  <c r="BL94" i="3"/>
  <c r="AZ94" i="3" s="1"/>
  <c r="BL101" i="3"/>
  <c r="BL102" i="3"/>
  <c r="G104" i="3"/>
  <c r="G105" i="3"/>
  <c r="BL106" i="3"/>
  <c r="AZ106" i="3" s="1"/>
  <c r="BA108" i="3"/>
  <c r="W21" i="21"/>
  <c r="D67" i="71"/>
  <c r="C66" i="71"/>
  <c r="O67" i="71"/>
  <c r="BA118" i="3"/>
  <c r="BL118" i="3"/>
  <c r="BA122" i="3"/>
  <c r="AZ122" i="3" s="1"/>
  <c r="BL125" i="3"/>
  <c r="BL126" i="3"/>
  <c r="G130" i="3"/>
  <c r="BA144" i="3"/>
  <c r="AZ144" i="3" s="1"/>
  <c r="G152" i="3"/>
  <c r="BA153" i="3"/>
  <c r="BL155" i="3"/>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BL197" i="3"/>
  <c r="G198" i="3"/>
  <c r="BL199" i="3"/>
  <c r="AZ199" i="3" s="1"/>
  <c r="BA200" i="3"/>
  <c r="AZ200" i="3" s="1"/>
  <c r="BA202" i="3"/>
  <c r="BL207" i="3"/>
  <c r="AZ207" i="3" s="1"/>
  <c r="BL18" i="3"/>
  <c r="G19" i="3"/>
  <c r="BL19" i="3"/>
  <c r="AZ19" i="3" s="1"/>
  <c r="BA20" i="3"/>
  <c r="AZ20" i="3" s="1"/>
  <c r="BL25" i="3"/>
  <c r="BL27" i="3"/>
  <c r="AZ27" i="3" s="1"/>
  <c r="BA28" i="3"/>
  <c r="AZ28" i="3" s="1"/>
  <c r="BA31" i="3"/>
  <c r="AZ31" i="3" s="1"/>
  <c r="BA32" i="3"/>
  <c r="BA38" i="3"/>
  <c r="AZ62" i="3"/>
  <c r="AZ64" i="3"/>
  <c r="BA69" i="3"/>
  <c r="AZ69" i="3" s="1"/>
  <c r="AZ103" i="3"/>
  <c r="D44" i="71"/>
  <c r="T44" i="71"/>
  <c r="C64" i="71"/>
  <c r="D63" i="71"/>
  <c r="V24" i="71"/>
  <c r="E23" i="71"/>
  <c r="E22" i="71" s="1"/>
  <c r="E21" i="71" s="1"/>
  <c r="E20"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BL92" i="3"/>
  <c r="G101" i="3"/>
  <c r="BA101" i="3"/>
  <c r="AZ101" i="3" s="1"/>
  <c r="G108" i="3"/>
  <c r="G109" i="3"/>
  <c r="BL112" i="3"/>
  <c r="U25" i="40"/>
  <c r="S21" i="34"/>
  <c r="B68" i="43"/>
  <c r="B88" i="43"/>
  <c r="D32" i="71"/>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D9" i="68"/>
  <c r="C36" i="68"/>
  <c r="L47" i="85"/>
  <c r="F37" i="85"/>
  <c r="D7" i="73"/>
  <c r="F40" i="15"/>
  <c r="M22" i="15"/>
  <c r="M26" i="85"/>
  <c r="M22" i="85"/>
  <c r="D5" i="73"/>
  <c r="F6" i="15"/>
  <c r="F16" i="15"/>
  <c r="M6" i="15"/>
  <c r="M24" i="85"/>
  <c r="M8" i="15"/>
  <c r="M29" i="15"/>
  <c r="F26" i="85"/>
  <c r="M23" i="15"/>
  <c r="F43" i="85"/>
  <c r="M28" i="85"/>
  <c r="M8" i="85"/>
  <c r="F38" i="85"/>
  <c r="F13" i="85"/>
  <c r="F38" i="15"/>
  <c r="M29" i="85"/>
  <c r="F8" i="85"/>
  <c r="M23" i="85"/>
  <c r="M6" i="85"/>
  <c r="M26" i="15"/>
  <c r="C16" i="67"/>
  <c r="D3" i="73"/>
  <c r="F7" i="85"/>
  <c r="F16" i="85"/>
  <c r="M24" i="15"/>
  <c r="F37" i="15"/>
  <c r="F8" i="15"/>
  <c r="F9" i="85"/>
  <c r="F9" i="15"/>
  <c r="D4" i="73"/>
  <c r="F36" i="15"/>
  <c r="F13" i="15"/>
  <c r="L47" i="15"/>
  <c r="L48" i="85"/>
  <c r="C76" i="15"/>
  <c r="F42" i="85"/>
  <c r="M27" i="85"/>
  <c r="F42" i="15"/>
  <c r="C76" i="85"/>
  <c r="F26" i="15"/>
  <c r="M28" i="15"/>
  <c r="F36" i="85"/>
  <c r="J15" i="85"/>
  <c r="M9" i="85"/>
  <c r="F43" i="15"/>
  <c r="F7" i="15"/>
  <c r="M9" i="15"/>
  <c r="F6" i="85"/>
  <c r="J15" i="15"/>
  <c r="L48" i="15"/>
  <c r="F40" i="85"/>
  <c r="D19" i="12"/>
  <c r="E11" i="6" l="1"/>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AC7" i="37"/>
  <c r="W7" i="37"/>
  <c r="AB7" i="36"/>
  <c r="T36" i="36" s="1"/>
  <c r="G36" i="36" s="1"/>
  <c r="U7" i="36"/>
  <c r="F7" i="33"/>
  <c r="E58" i="21"/>
  <c r="AC7" i="36"/>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8" i="1"/>
  <c r="AE12" i="1"/>
  <c r="AE10" i="1"/>
  <c r="F41" i="67"/>
  <c r="F28" i="12"/>
  <c r="C16" i="15"/>
  <c r="G1" i="73"/>
  <c r="C13" i="12"/>
  <c r="C16" i="85"/>
  <c r="E16" i="6" l="1"/>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40" i="3"/>
  <c r="AY580" i="3"/>
  <c r="M18" i="9"/>
  <c r="B118" i="9" s="1"/>
  <c r="B1" i="74" s="1"/>
  <c r="C17" i="4"/>
  <c r="B4" i="52" s="1"/>
  <c r="B43" i="72"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AE6" i="1"/>
  <c r="AE7" i="1"/>
  <c r="M27" i="15"/>
  <c r="C47" i="68" l="1"/>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C19" i="11" s="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C17" i="71"/>
  <c r="D18"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4" i="6"/>
  <c r="M19" i="9"/>
  <c r="C118" i="9" s="1"/>
  <c r="B2" i="74"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15"/>
  <c r="C17" i="15"/>
  <c r="C17" i="67"/>
  <c r="D14" i="12"/>
  <c r="F41" i="85"/>
  <c r="C14" i="67"/>
  <c r="D20" i="12"/>
  <c r="C17" i="85"/>
  <c r="D10" i="69" l="1"/>
  <c r="D10" i="68"/>
  <c r="C60" i="15"/>
  <c r="D5" i="6"/>
  <c r="D6" i="6"/>
  <c r="D25" i="6"/>
  <c r="L16" i="1"/>
  <c r="C60" i="85"/>
  <c r="F69" i="15"/>
  <c r="F69" i="85"/>
  <c r="J29" i="85"/>
  <c r="D17" i="12"/>
  <c r="C17" i="12" s="1"/>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25" i="11"/>
  <c r="C24" i="11"/>
  <c r="C44" i="68"/>
  <c r="D41" i="68" s="1"/>
  <c r="C26" i="69"/>
  <c r="D22" i="69" s="1"/>
  <c r="C23" i="11"/>
  <c r="C26" i="11"/>
  <c r="D22" i="11" s="1"/>
  <c r="C44" i="11"/>
  <c r="D41" i="11" s="1"/>
  <c r="C26" i="68"/>
  <c r="D22" i="68" s="1"/>
  <c r="F41" i="68"/>
  <c r="C44" i="69"/>
  <c r="D41" i="69" s="1"/>
  <c r="C16" i="71"/>
  <c r="D17" i="7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1" i="12"/>
  <c r="E6" i="76"/>
  <c r="C14" i="85"/>
  <c r="C14" i="15"/>
  <c r="B6" i="76"/>
  <c r="R23" i="6" l="1"/>
  <c r="R10" i="1" s="1"/>
  <c r="R25" i="6"/>
  <c r="R12" i="1" s="1"/>
  <c r="E2" i="70"/>
  <c r="D16" i="6"/>
  <c r="R21" i="6"/>
  <c r="R8" i="1" s="1"/>
  <c r="R20" i="6"/>
  <c r="R7" i="1" s="1"/>
  <c r="D27" i="6"/>
  <c r="D31" i="6" s="1"/>
  <c r="C15" i="12"/>
  <c r="C12" i="12"/>
  <c r="C8" i="68"/>
  <c r="C5" i="68" s="1"/>
  <c r="F34" i="9" s="1"/>
  <c r="C15" i="85"/>
  <c r="C18" i="85"/>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I5" i="6"/>
  <c r="C23" i="68"/>
  <c r="C19" i="85"/>
  <c r="C20" i="85"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6" i="85" l="1"/>
  <c r="C23" i="85"/>
  <c r="C30" i="12"/>
  <c r="C28" i="12" s="1"/>
  <c r="C32" i="12" s="1"/>
  <c r="B2"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3" i="12"/>
  <c r="M21" i="67"/>
  <c r="M21" i="15"/>
  <c r="F35" i="67"/>
  <c r="F35" i="15"/>
  <c r="M21" i="85"/>
  <c r="F35" i="85"/>
  <c r="C29" i="85" l="1"/>
  <c r="C57" i="85" s="1"/>
  <c r="C64" i="85" s="1"/>
  <c r="F63" i="85"/>
  <c r="C62" i="85" s="1"/>
  <c r="C59" i="85" s="1"/>
  <c r="C34" i="85"/>
  <c r="C31" i="85" s="1"/>
  <c r="J20" i="85"/>
  <c r="J17" i="85"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36" i="85" l="1"/>
  <c r="J59" i="85"/>
  <c r="J60" i="85" s="1"/>
  <c r="Q48" i="85" s="1"/>
  <c r="J14" i="85"/>
  <c r="J13" i="85" s="1"/>
  <c r="J23" i="85" s="1"/>
  <c r="Q49" i="85"/>
  <c r="C13" i="85"/>
  <c r="C37" i="85" s="1"/>
  <c r="C30" i="85" s="1"/>
  <c r="C39" i="85" s="1"/>
  <c r="Q69" i="85" s="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L51" i="85"/>
  <c r="C20" i="9"/>
  <c r="D35" i="9"/>
  <c r="L46" i="85" l="1"/>
  <c r="J22" i="85"/>
  <c r="J16" i="85" s="1"/>
  <c r="J25" i="85" s="1"/>
  <c r="C103" i="9"/>
  <c r="C75" i="85"/>
  <c r="C80" i="85" s="1"/>
  <c r="C79" i="85" s="1"/>
  <c r="Q70" i="85"/>
  <c r="Q68" i="85" s="1"/>
  <c r="C56" i="85"/>
  <c r="C65" i="85" s="1"/>
  <c r="C58" i="85" s="1"/>
  <c r="C67" i="85" s="1"/>
  <c r="C68" i="85" s="1"/>
  <c r="C71" i="85" s="1"/>
  <c r="C40" i="85"/>
  <c r="C43" i="85" s="1"/>
  <c r="Q67" i="85"/>
  <c r="C56"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34" i="9"/>
  <c r="C83" i="85" l="1"/>
  <c r="C82" i="85" s="1"/>
  <c r="Q47" i="85"/>
  <c r="Q53" i="85" s="1"/>
  <c r="C46" i="85"/>
  <c r="Q56" i="85"/>
  <c r="Q62" i="85" s="1"/>
  <c r="Q65" i="85"/>
  <c r="Q75" i="85" s="1"/>
  <c r="B2" i="85"/>
  <c r="B3" i="85" s="1"/>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9"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D6" i="71"/>
  <c r="C5" i="71"/>
  <c r="D5" i="71" s="1"/>
  <c r="M24" i="43" s="1"/>
  <c r="C42" i="40"/>
  <c r="C43" i="40"/>
  <c r="E47" i="40"/>
  <c r="F47" i="40" s="1"/>
  <c r="E46" i="40"/>
  <c r="F46" i="40" s="1"/>
  <c r="I47" i="40"/>
  <c r="J47" i="40" s="1"/>
  <c r="D20" i="9"/>
  <c r="D45" i="9" l="1"/>
  <c r="D14" i="74"/>
  <c r="G21" i="9"/>
  <c r="C32"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F35" i="9" l="1"/>
  <c r="C35" i="9"/>
  <c r="C34" i="9" s="1"/>
  <c r="F118" i="9" l="1"/>
  <c r="F4" i="52" s="1"/>
  <c r="B51" i="72" s="1"/>
  <c r="H118" i="9"/>
  <c r="I118" i="9" s="1"/>
  <c r="D118" i="9"/>
  <c r="D4" i="52" s="1"/>
  <c r="B47" i="72" s="1"/>
  <c r="D119" i="9" l="1"/>
  <c r="D5" i="52" s="1"/>
  <c r="B49" i="72" s="1"/>
  <c r="C105" i="9"/>
  <c r="H102" i="9"/>
  <c r="I4" i="52"/>
  <c r="C104" i="9"/>
  <c r="H119" i="9"/>
  <c r="H5" i="52" s="1"/>
  <c r="G118" i="9"/>
  <c r="G4" i="52" s="1"/>
  <c r="B52" i="72" s="1"/>
  <c r="H4" i="52"/>
  <c r="H101" i="9"/>
  <c r="F119" i="9"/>
  <c r="F5" i="52" s="1"/>
  <c r="B53" i="72" s="1"/>
  <c r="E14" i="74" l="1"/>
  <c r="F14" i="74"/>
  <c r="B5" i="74"/>
  <c r="D5" i="74" s="1"/>
  <c r="D7" i="53"/>
  <c r="B21" i="72" s="1"/>
  <c r="E118" i="9"/>
  <c r="E4" i="52" s="1"/>
  <c r="B48" i="72" s="1"/>
  <c r="M48" i="9"/>
  <c r="M49" i="9" s="1"/>
  <c r="G14" i="74" s="1"/>
  <c r="D5" i="53"/>
  <c r="H107" i="9"/>
  <c r="B6" i="74" l="1"/>
  <c r="D6" i="74" s="1"/>
  <c r="C5" i="74"/>
  <c r="D13" i="53"/>
  <c r="H108" i="9"/>
  <c r="D122" i="9"/>
  <c r="B20" i="72"/>
  <c r="D6" i="53"/>
  <c r="B22" i="72" s="1"/>
  <c r="L67" i="9" l="1"/>
  <c r="M67" i="9" s="1"/>
  <c r="L64" i="9"/>
  <c r="M64" i="9" s="1"/>
  <c r="L66" i="9"/>
  <c r="M66" i="9" s="1"/>
  <c r="L65" i="9"/>
  <c r="M65" i="9" s="1"/>
  <c r="L68" i="9"/>
  <c r="M68" i="9" s="1"/>
  <c r="L63" i="9"/>
  <c r="M63" i="9" s="1"/>
  <c r="D59" i="9"/>
  <c r="M55" i="9" s="1"/>
  <c r="D8" i="52"/>
  <c r="D123" i="9"/>
  <c r="D9" i="52" s="1"/>
  <c r="C6" i="74"/>
  <c r="D15" i="53"/>
  <c r="B31" i="72" s="1"/>
  <c r="B30" i="72"/>
  <c r="D14" i="53"/>
  <c r="B32" i="72" s="1"/>
  <c r="M69" i="9" l="1"/>
  <c r="N69" i="9" s="1"/>
  <c r="C64" i="9" l="1"/>
  <c r="C63" i="9" s="1"/>
  <c r="C67" i="9" s="1"/>
  <c r="C68" i="9" s="1"/>
  <c r="D54" i="9" s="1"/>
  <c r="C72" i="9"/>
  <c r="C85" i="9"/>
  <c r="C93" i="9"/>
  <c r="C86" i="9" s="1"/>
  <c r="D53" i="9"/>
  <c r="D48" i="9" s="1"/>
  <c r="M52" i="9" s="1"/>
  <c r="D55" i="9"/>
  <c r="M53" i="9" s="1"/>
  <c r="C78" i="9"/>
  <c r="C73" i="9" s="1"/>
  <c r="D52" i="9"/>
  <c r="C95" i="9" l="1"/>
  <c r="C79" i="9"/>
  <c r="C80" i="9" l="1"/>
  <c r="E80" i="9" s="1"/>
  <c r="E81" i="9" s="1"/>
  <c r="C81" i="9"/>
  <c r="C96" i="9"/>
  <c r="E96" i="9" s="1"/>
  <c r="E97" i="9" s="1"/>
  <c r="C97" i="9" l="1"/>
  <c r="D58" i="9" s="1"/>
  <c r="D56" i="9" s="1"/>
  <c r="M54" i="9" s="1"/>
  <c r="N57" i="9" s="1"/>
  <c r="N59" i="9" s="1"/>
  <c r="P57" i="9" l="1"/>
  <c r="N58" i="9"/>
  <c r="I14" i="74"/>
  <c r="N60" i="9"/>
  <c r="N61" i="9"/>
  <c r="B8" i="74"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79E8004-3AA4-4E77-990A-08A45F1683C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005538F-D9C3-4FDA-8255-7FA2D126544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84DFE387-1EE0-4C16-9D8F-033146F5F8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393AC11E-3D01-43D0-AFB2-B95B86311A48}">
      <text>
        <r>
          <rPr>
            <sz val="11"/>
            <color indexed="81"/>
            <rFont val="宋体"/>
            <family val="3"/>
            <charset val="134"/>
          </rPr>
          <t>在建项目均选择“是”</t>
        </r>
      </text>
    </comment>
    <comment ref="F59" authorId="1" shapeId="0" xr:uid="{46F4E828-6756-46D5-B357-57C42A9FC62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BA460F9-9418-4DB8-8A02-9EB6B7FFB135}">
      <text>
        <r>
          <rPr>
            <sz val="10"/>
            <color indexed="81"/>
            <rFont val="宋体"/>
            <family val="3"/>
            <charset val="134"/>
          </rPr>
          <t xml:space="preserve">在建
</t>
        </r>
      </text>
    </comment>
    <comment ref="N59" authorId="0" shapeId="0" xr:uid="{FC8B2CC0-4934-4C77-8C54-0ECF4040BD56}">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<sst xmlns="http://schemas.openxmlformats.org/spreadsheetml/2006/main" count="8806" uniqueCount="3715">
  <si>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</si>
  <si>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</si>
  <si>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</si>
  <si>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</si>
  <si>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</si>
  <si>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</si>
  <si>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</si>
  <si>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</si>
  <si>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</si>
  <si>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</si>
  <si>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</si>
  <si>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</si>
  <si>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</si>
  <si>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</si>
  <si>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</si>
  <si>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</si>
  <si>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</si>
  <si>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</si>
  <si>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</si>
  <si>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</si>
  <si>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</si>
  <si>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</si>
  <si>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</si>
  <si>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</si>
  <si>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</si>
  <si>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</si>
  <si>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</si>
  <si>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</si>
  <si>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</si>
  <si>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</si>
  <si>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</si>
  <si>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</si>
  <si>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</si>
  <si>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</si>
  <si>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</si>
  <si>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</si>
  <si>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</si>
  <si>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</si>
  <si>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</si>
  <si>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</si>
  <si>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</si>
  <si>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</si>
  <si>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</si>
  <si>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</si>
  <si>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</si>
  <si>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</si>
  <si>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</si>
  <si>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</si>
  <si>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</si>
  <si>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</si>
  <si>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</si>
  <si>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</si>
  <si>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</si>
  <si>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</si>
  <si>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</si>
  <si>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</si>
  <si>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</si>
  <si>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</si>
  <si>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</si>
  <si>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</si>
  <si>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</si>
  <si>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</si>
  <si>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</si>
  <si>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</si>
  <si>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</si>
  <si>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</si>
  <si>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</si>
  <si>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</si>
  <si>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</si>
  <si>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</si>
  <si>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</si>
  <si>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</si>
  <si>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</si>
  <si>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</si>
  <si>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</si>
  <si>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</si>
  <si>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</si>
  <si>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</si>
  <si>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</si>
  <si>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</si>
  <si>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</si>
  <si>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</si>
  <si>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</si>
  <si>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</si>
  <si>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</si>
  <si>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</si>
  <si>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</si>
  <si>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</si>
  <si>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</si>
  <si>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</si>
  <si>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</si>
  <si>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</si>
  <si>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</si>
  <si>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</si>
  <si>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</si>
  <si>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</si>
  <si>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</si>
  <si>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</si>
  <si>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</si>
  <si>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</si>
  <si>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</si>
  <si>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</si>
  <si>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</si>
  <si>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</si>
  <si>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</si>
  <si>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</si>
  <si>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</si>
  <si>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</si>
  <si>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</si>
  <si>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</si>
  <si>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</si>
  <si>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</si>
  <si>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</si>
  <si>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</si>
  <si>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</si>
  <si>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</si>
  <si>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</si>
  <si>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</si>
  <si>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</si>
  <si>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</si>
  <si>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</si>
  <si>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</si>
  <si>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</si>
  <si>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</si>
  <si>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</si>
  <si>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</si>
  <si>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</si>
  <si>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</si>
  <si>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</si>
  <si>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</si>
  <si>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</si>
  <si>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</si>
  <si>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</si>
  <si>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</si>
  <si>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</si>
  <si>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</si>
  <si>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</si>
  <si>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</si>
  <si>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</si>
  <si>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</si>
  <si>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</si>
  <si>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</si>
  <si>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</si>
  <si>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</si>
  <si>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</si>
  <si>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</si>
  <si>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</si>
  <si>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</si>
  <si>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</si>
  <si>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</si>
  <si>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</si>
  <si>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</si>
  <si>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</si>
  <si>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</si>
  <si>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</si>
  <si>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</si>
  <si>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</si>
  <si>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</si>
  <si>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</si>
  <si>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</si>
  <si>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</si>
  <si>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</si>
  <si>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</si>
  <si>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</si>
  <si>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</si>
  <si>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</si>
  <si>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</si>
  <si>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</si>
  <si>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</si>
  <si>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</si>
  <si>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</si>
  <si>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</si>
  <si>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</si>
  <si>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</si>
  <si>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</si>
  <si>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</si>
  <si>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</si>
  <si>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</si>
  <si>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</si>
  <si>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</si>
  <si>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</si>
  <si>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</si>
  <si>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</si>
  <si>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</si>
  <si>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</si>
  <si>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</si>
  <si>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</si>
  <si>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</si>
  <si>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</si>
  <si>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</si>
  <si>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</si>
  <si>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</si>
  <si>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</si>
  <si>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</si>
  <si>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</si>
  <si>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</si>
  <si>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</si>
  <si>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</si>
  <si>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</si>
  <si>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</si>
  <si>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</si>
  <si>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</si>
  <si>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</si>
  <si>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</si>
  <si>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</si>
  <si>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</si>
  <si>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</si>
  <si>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</si>
  <si>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</si>
  <si>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</si>
  <si>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</si>
  <si>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</si>
  <si>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</si>
  <si>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</si>
  <si>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</si>
  <si>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</si>
  <si>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</si>
  <si>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</si>
  <si>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</si>
  <si>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</si>
  <si>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</si>
  <si>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</si>
  <si>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</si>
  <si>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</si>
  <si>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</si>
  <si>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</si>
  <si>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</si>
  <si>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</si>
  <si>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</si>
  <si>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</si>
  <si>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</si>
  <si>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</si>
  <si>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</si>
  <si>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</si>
  <si>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</si>
  <si>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</si>
  <si>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</si>
  <si>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</si>
  <si>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</si>
  <si>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</si>
  <si>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</si>
  <si>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</si>
  <si>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</si>
  <si>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</si>
  <si>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</si>
  <si>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</si>
  <si>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</si>
  <si>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</si>
  <si>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</si>
  <si>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</si>
  <si>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</si>
  <si>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</si>
  <si>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</si>
  <si>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</si>
  <si>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</si>
  <si>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</si>
  <si>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</si>
  <si>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</si>
  <si>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</si>
  <si>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</si>
  <si>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</si>
  <si>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</si>
  <si>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</si>
  <si>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</si>
  <si>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</si>
  <si>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</si>
  <si>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</si>
  <si>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</si>
  <si>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</si>
  <si>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</si>
  <si>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</si>
  <si>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</si>
  <si>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</si>
  <si>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</si>
  <si>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</si>
  <si>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</si>
  <si>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</si>
  <si>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</si>
  <si>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</si>
  <si>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</si>
  <si>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</si>
  <si>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</si>
  <si>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</si>
  <si>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</si>
  <si>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</si>
  <si>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</si>
  <si>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</si>
  <si>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</si>
  <si>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</si>
  <si>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</si>
  <si>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</si>
  <si>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</si>
  <si>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</si>
  <si>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</si>
  <si>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</si>
  <si>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</si>
  <si>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</si>
  <si>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</si>
  <si>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</si>
  <si>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</si>
  <si>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</si>
  <si>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</si>
  <si>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</si>
  <si>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</si>
  <si>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</si>
  <si>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</si>
  <si>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</si>
  <si>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</si>
  <si>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</si>
  <si>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</si>
  <si>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</si>
  <si>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</si>
  <si>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</si>
  <si>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</si>
  <si>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</si>
  <si>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</si>
  <si>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</si>
  <si>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</si>
  <si>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</si>
  <si>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</si>
  <si>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</si>
  <si>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</si>
  <si>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</si>
  <si>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</si>
  <si>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</si>
  <si>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</si>
  <si>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</si>
  <si>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</si>
  <si>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</si>
  <si>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</si>
  <si>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</si>
  <si>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</si>
  <si>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</si>
  <si>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</si>
  <si>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</si>
  <si>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</si>
  <si>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</si>
  <si>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</si>
  <si>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</si>
  <si>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</si>
  <si>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</si>
  <si>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</si>
  <si>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</si>
  <si>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</si>
  <si>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</si>
  <si>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</si>
  <si>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</si>
  <si>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</si>
  <si>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</si>
  <si>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</si>
  <si>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</si>
  <si>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</si>
  <si>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</si>
  <si>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</si>
  <si>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</si>
  <si>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</si>
  <si>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</si>
  <si>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</si>
  <si>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</si>
  <si>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</si>
  <si>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</si>
  <si>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</si>
  <si>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</si>
  <si>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</si>
  <si>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</si>
  <si>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</si>
  <si>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</si>
  <si>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</si>
  <si>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</si>
  <si>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</si>
  <si>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</si>
  <si>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</si>
  <si>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</si>
  <si>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</si>
  <si>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</si>
  <si>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</si>
  <si>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</si>
  <si>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</si>
  <si>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</si>
  <si>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</si>
  <si>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</si>
  <si>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</si>
  <si>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</si>
  <si>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</si>
  <si>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</si>
  <si>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</si>
  <si>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</si>
  <si>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</si>
  <si>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</si>
  <si>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</si>
  <si>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</si>
  <si>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</si>
  <si>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</si>
  <si>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</si>
  <si>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</si>
  <si>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</si>
  <si>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</si>
  <si>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</si>
  <si>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</si>
  <si>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</si>
  <si>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</si>
  <si>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</si>
  <si>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</si>
  <si>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</si>
  <si>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</si>
  <si>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</si>
  <si>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</si>
  <si>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</si>
  <si>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</si>
  <si>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</si>
  <si>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</si>
  <si>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</si>
  <si>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</si>
  <si>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</si>
  <si>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</si>
  <si>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</si>
  <si>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</si>
  <si>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</si>
  <si>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</si>
  <si>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</si>
  <si>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</si>
  <si>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</si>
  <si>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</si>
  <si>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</si>
  <si>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</si>
  <si>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</si>
  <si>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</si>
  <si>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</si>
  <si>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</si>
  <si>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</si>
  <si>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</si>
  <si>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</si>
  <si>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</si>
  <si>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</si>
  <si>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</si>
  <si>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</si>
  <si>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</si>
  <si>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</si>
  <si>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</si>
  <si>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</si>
  <si>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</si>
  <si>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</si>
  <si>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</si>
  <si>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</si>
  <si>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</si>
  <si>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</si>
  <si>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</si>
  <si>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</si>
  <si>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</si>
  <si>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</si>
  <si>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</si>
  <si>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</si>
  <si>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</si>
  <si>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</si>
  <si>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</si>
  <si>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</si>
  <si>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</si>
  <si>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</si>
  <si>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</si>
  <si>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</si>
  <si>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</si>
  <si>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</si>
  <si>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</si>
  <si>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</si>
  <si>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</si>
  <si>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</si>
  <si>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</si>
  <si>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</si>
  <si>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</si>
  <si>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</si>
  <si>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</si>
  <si>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</si>
  <si>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</si>
  <si>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</si>
  <si>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</si>
  <si>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</si>
  <si>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</si>
  <si>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</si>
  <si>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</si>
  <si>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</si>
  <si>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</si>
  <si>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</si>
  <si>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</si>
  <si>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</si>
  <si>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</si>
  <si>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</si>
  <si>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</si>
  <si>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</si>
  <si>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</si>
  <si>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</si>
  <si>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</si>
  <si>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</si>
  <si>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</si>
  <si>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</si>
  <si>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</si>
  <si>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</si>
  <si>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</si>
  <si>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</si>
  <si>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</si>
  <si>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</si>
  <si>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</si>
  <si>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</si>
  <si>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</si>
  <si>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</si>
  <si>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</si>
  <si>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</si>
  <si>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</si>
  <si>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</si>
  <si>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</si>
  <si>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</si>
  <si>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</si>
  <si>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</si>
  <si>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</si>
  <si>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</si>
  <si>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</si>
  <si>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</si>
  <si>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</si>
  <si>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</si>
  <si>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</si>
  <si>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</si>
  <si>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</si>
  <si>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</si>
  <si>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</si>
  <si>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</si>
  <si>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</si>
  <si>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</si>
  <si>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</si>
  <si>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</si>
  <si>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</si>
  <si>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</si>
  <si>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</si>
  <si>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</si>
  <si>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</si>
  <si>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</si>
  <si>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</si>
  <si>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</si>
  <si>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</si>
  <si>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</si>
  <si>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</si>
  <si>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</si>
  <si>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</si>
  <si>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</si>
  <si>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</si>
  <si>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</si>
  <si>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</si>
  <si>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</si>
  <si>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</si>
  <si>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</si>
  <si>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</si>
  <si>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</si>
  <si>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</si>
  <si>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</si>
  <si>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</si>
  <si>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</si>
  <si>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</si>
  <si>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</si>
  <si>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</si>
  <si>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</si>
  <si>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</si>
  <si>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</si>
  <si>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</si>
  <si>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</si>
  <si>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</si>
  <si>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</si>
  <si>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</si>
  <si>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</si>
  <si>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</si>
  <si>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</si>
  <si>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</si>
  <si>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</si>
  <si>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</si>
  <si>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</si>
  <si>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</si>
  <si>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</si>
  <si>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</si>
  <si>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</si>
  <si>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</si>
  <si>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</si>
  <si>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</si>
  <si>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</si>
  <si>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</si>
  <si>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</si>
  <si>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</si>
  <si>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</si>
  <si>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</si>
  <si>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</si>
  <si>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</si>
  <si>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</si>
  <si>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</si>
  <si>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</si>
  <si>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</si>
  <si>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</si>
  <si>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</si>
  <si>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</si>
  <si>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</si>
  <si>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</si>
  <si>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</si>
  <si>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</si>
  <si>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</si>
  <si>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</si>
  <si>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</si>
  <si>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</si>
  <si>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</si>
  <si>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</si>
  <si>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</si>
  <si>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</si>
  <si>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</si>
  <si>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</si>
  <si>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</si>
  <si>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</si>
  <si>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</si>
  <si>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</si>
  <si>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</si>
  <si>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</si>
  <si>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</si>
  <si>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</si>
  <si>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</si>
  <si>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</si>
  <si>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</si>
  <si>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</si>
  <si>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</si>
  <si>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</si>
  <si>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</si>
  <si>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</si>
  <si>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</si>
  <si>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</si>
  <si>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</si>
  <si>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</si>
  <si>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</si>
  <si>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</si>
  <si>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</si>
  <si>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</si>
  <si>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</si>
  <si>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</si>
  <si>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</si>
  <si>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</si>
  <si>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</si>
  <si>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</si>
  <si>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</si>
  <si>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</si>
  <si>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</si>
  <si>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</si>
  <si>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</si>
  <si>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</si>
  <si>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</si>
  <si>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</si>
  <si>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</si>
  <si>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</si>
  <si>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</si>
  <si>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</si>
  <si>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</si>
  <si>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</si>
  <si>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</si>
  <si>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</si>
  <si>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</si>
  <si>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</si>
  <si>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</si>
  <si>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</si>
  <si>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</si>
  <si>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</si>
  <si>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</si>
  <si>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</si>
  <si>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</si>
  <si>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</si>
  <si>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</si>
  <si>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</si>
  <si>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</si>
  <si>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</si>
  <si>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</si>
  <si>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</si>
  <si>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</si>
  <si>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</si>
  <si>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</si>
  <si>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</si>
  <si>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</si>
  <si>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</si>
  <si>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</si>
  <si>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</si>
  <si>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</si>
  <si>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</si>
  <si>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</si>
  <si>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</si>
  <si>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</si>
  <si>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</si>
  <si>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</si>
  <si>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</si>
  <si>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</si>
  <si>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</si>
  <si>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</si>
  <si>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</si>
  <si>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</si>
  <si>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</si>
  <si>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</si>
  <si>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</si>
  <si>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</si>
  <si>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</si>
  <si>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</si>
  <si>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</si>
  <si>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</si>
  <si>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</si>
  <si>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</si>
  <si>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</si>
  <si>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</si>
  <si>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</si>
  <si>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</si>
  <si>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</si>
  <si>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</si>
  <si>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</si>
  <si>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</si>
  <si>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</si>
  <si>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</si>
  <si>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</si>
  <si>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</si>
  <si>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</si>
  <si>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</si>
  <si>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</si>
  <si>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</si>
  <si>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</si>
  <si>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</si>
  <si>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</si>
  <si>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</si>
  <si>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</si>
  <si>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</si>
  <si>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</si>
  <si>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</si>
  <si>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</si>
  <si>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</si>
  <si>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</si>
  <si>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</si>
  <si>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</si>
  <si>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</si>
  <si>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</si>
  <si>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</si>
  <si>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</si>
  <si>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</si>
  <si>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</si>
  <si>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</si>
  <si>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</si>
  <si>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</si>
  <si>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</si>
  <si>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</si>
  <si>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</si>
  <si>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</si>
  <si>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</si>
  <si>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</si>
  <si>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</si>
  <si>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</si>
  <si>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</si>
  <si>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</si>
  <si>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</si>
  <si>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</si>
  <si>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</si>
  <si>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</si>
  <si>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</si>
  <si>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</si>
  <si>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</si>
  <si>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</si>
  <si>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</si>
  <si>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</si>
  <si>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</si>
  <si>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</si>
  <si>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</si>
  <si>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</si>
  <si>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</si>
  <si>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</si>
  <si>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</si>
  <si>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</si>
  <si>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</si>
  <si>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</si>
  <si>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</si>
  <si>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</si>
  <si>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</si>
  <si>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</si>
  <si>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</si>
  <si>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</si>
  <si>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</si>
  <si>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</si>
  <si>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</si>
  <si>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</si>
  <si>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</si>
  <si>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</si>
  <si>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</si>
  <si>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</si>
  <si>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</si>
  <si>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</si>
  <si>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</si>
  <si>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</si>
  <si>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</si>
  <si>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</si>
  <si>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</si>
  <si>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</si>
  <si>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</si>
  <si>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</si>
  <si>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</si>
  <si>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</si>
  <si>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</si>
  <si>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</si>
  <si>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</si>
  <si>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</si>
  <si>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</si>
  <si>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</si>
  <si>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</si>
  <si>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</si>
  <si>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</si>
  <si>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</si>
  <si>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</si>
  <si>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</si>
  <si>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</si>
  <si>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</si>
  <si>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</si>
  <si>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</si>
  <si>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</si>
  <si>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</si>
  <si>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</si>
  <si>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</si>
  <si>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</si>
  <si>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</si>
  <si>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</si>
  <si>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</si>
  <si>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</si>
  <si>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</si>
  <si>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</si>
  <si>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</si>
  <si>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</si>
  <si>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</si>
  <si>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</si>
  <si>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</si>
  <si>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</si>
  <si>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</si>
  <si>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</si>
  <si>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</si>
  <si>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</si>
  <si>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</si>
  <si>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</si>
  <si>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</si>
  <si>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</si>
  <si>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</si>
  <si>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</si>
  <si>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</si>
  <si>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</si>
  <si>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</si>
  <si>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</si>
  <si>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</si>
  <si>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</si>
  <si>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</si>
  <si>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</si>
  <si>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</si>
  <si>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</si>
  <si>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</si>
  <si>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</si>
  <si>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</si>
  <si>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</si>
  <si>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</si>
  <si>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</si>
  <si>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</si>
  <si>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</si>
  <si>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</si>
  <si>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</si>
  <si>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</si>
  <si>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</si>
  <si>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</si>
  <si>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</si>
  <si>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</si>
  <si>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</si>
  <si>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</si>
  <si>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</si>
  <si>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</si>
  <si>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</si>
  <si>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</si>
  <si>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</si>
  <si>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</si>
  <si>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</si>
  <si>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</si>
  <si>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</si>
  <si>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</si>
  <si>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</si>
  <si>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</si>
  <si>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</si>
  <si>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</si>
  <si>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</si>
  <si>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</si>
  <si>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</si>
  <si>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</si>
  <si>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</si>
  <si>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</si>
  <si>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</si>
  <si>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</si>
  <si>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</si>
  <si>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</si>
  <si>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</si>
  <si>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</si>
  <si>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</si>
  <si>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</si>
  <si>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</si>
  <si>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</si>
  <si>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</si>
  <si>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</si>
  <si>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</si>
  <si>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</si>
  <si>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</si>
  <si>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</si>
  <si>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</si>
  <si>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</si>
  <si>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</si>
  <si>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</si>
  <si>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</si>
  <si>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</si>
  <si>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</si>
  <si>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</si>
  <si>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</si>
  <si>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</si>
  <si>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</si>
  <si>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</si>
  <si>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</si>
  <si>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</si>
  <si>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</si>
  <si>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</si>
  <si>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</si>
  <si>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</si>
  <si>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</si>
  <si>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</si>
  <si>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</si>
  <si>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</si>
  <si>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</si>
  <si>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</si>
  <si>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</si>
  <si>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</si>
  <si>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</si>
  <si>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</si>
  <si>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</si>
  <si>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</si>
  <si>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</si>
  <si>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</si>
  <si>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</si>
  <si>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</si>
  <si>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</si>
  <si>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</si>
  <si>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</si>
  <si>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</si>
  <si>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</si>
  <si>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</si>
  <si>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</si>
  <si>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</si>
  <si>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</si>
  <si>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</si>
  <si>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</si>
  <si>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</si>
  <si>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</si>
  <si>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</si>
  <si>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</si>
  <si>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</si>
  <si>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</si>
  <si>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</si>
  <si>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</si>
  <si>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</si>
  <si>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</si>
  <si>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</si>
  <si>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</si>
  <si>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</si>
  <si>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</si>
  <si>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</si>
  <si>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</si>
  <si>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</si>
  <si>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</si>
  <si>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</si>
  <si>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</si>
  <si>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</si>
  <si>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</si>
  <si>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</si>
  <si>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</si>
  <si>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</si>
  <si>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</si>
  <si>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</si>
  <si>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</si>
  <si>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</si>
  <si>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</si>
  <si>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</si>
  <si>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</si>
  <si>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</si>
  <si>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</si>
  <si>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</si>
  <si>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</si>
  <si>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</si>
  <si>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</si>
  <si>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</si>
  <si>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</si>
  <si>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</si>
  <si>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</si>
  <si>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</si>
  <si>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</si>
  <si>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</si>
  <si>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</si>
  <si>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</si>
  <si>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</si>
  <si>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</si>
  <si>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</si>
  <si>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</si>
  <si>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</si>
  <si>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</si>
  <si>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</si>
  <si>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</si>
  <si>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</si>
  <si>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</si>
  <si>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</si>
  <si>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</si>
  <si>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</si>
  <si>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</si>
  <si>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</si>
  <si>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</si>
  <si>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</si>
  <si>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</si>
  <si>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</si>
  <si>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</si>
  <si>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</si>
  <si>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</si>
  <si>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</si>
  <si>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</si>
  <si>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</si>
  <si>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</si>
  <si>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</si>
  <si>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</si>
  <si>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</si>
  <si>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</si>
  <si>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</si>
  <si>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</si>
  <si>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</si>
  <si>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</si>
  <si>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</si>
  <si>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</si>
  <si>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</si>
  <si>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</si>
  <si>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</si>
  <si>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</si>
  <si>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</si>
  <si>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</si>
  <si>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</si>
  <si>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</si>
  <si>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</si>
  <si>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</si>
  <si>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</si>
  <si>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</si>
  <si>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</si>
  <si>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</si>
  <si>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</si>
  <si>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</si>
  <si>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</si>
  <si>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</si>
  <si>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</si>
  <si>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</si>
  <si>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</si>
  <si>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</si>
  <si>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</si>
  <si>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</si>
  <si>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</si>
  <si>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</si>
  <si>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</si>
  <si>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</si>
  <si>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</si>
  <si>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</si>
  <si>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</si>
  <si>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</si>
  <si>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</si>
  <si>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</si>
  <si>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</si>
  <si>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</si>
  <si>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</si>
  <si>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</si>
  <si>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</si>
  <si>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</si>
  <si>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</si>
  <si>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</si>
  <si>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</si>
  <si>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</si>
  <si>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</si>
  <si>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</si>
  <si>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</si>
  <si>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</si>
  <si>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</si>
  <si>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</si>
  <si>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</si>
  <si>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</si>
  <si>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</si>
  <si>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</si>
  <si>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</si>
  <si>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</si>
  <si>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</si>
  <si>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</si>
  <si>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</si>
  <si>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</si>
  <si>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</si>
  <si>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</si>
  <si>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</si>
  <si>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</si>
  <si>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</si>
  <si>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</si>
  <si>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</si>
  <si>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</si>
  <si>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</si>
  <si>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</si>
  <si>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</si>
  <si>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</si>
  <si>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</si>
  <si>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</si>
  <si>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</si>
  <si>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</si>
  <si>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</si>
  <si>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</si>
  <si>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</si>
  <si>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</si>
  <si>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</si>
  <si>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</si>
  <si>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</si>
  <si>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</si>
  <si>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</si>
  <si>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</si>
  <si>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</si>
  <si>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</si>
  <si>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</si>
  <si>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</si>
  <si>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</si>
  <si>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</si>
  <si>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</si>
  <si>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</si>
  <si>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</si>
  <si>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</si>
  <si>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</si>
  <si>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</si>
  <si>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</si>
  <si>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</si>
  <si>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</si>
  <si>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</si>
  <si>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</si>
  <si>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</si>
  <si>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</si>
  <si>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</si>
  <si>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</si>
  <si>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</si>
  <si>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</si>
  <si>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</si>
  <si>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</si>
  <si>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</si>
  <si>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</si>
  <si>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</si>
  <si>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</si>
  <si>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</si>
  <si>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</si>
  <si>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</si>
  <si>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</si>
  <si>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</si>
  <si>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</si>
  <si>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</si>
  <si>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</si>
  <si>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</si>
  <si>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</si>
  <si>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</si>
  <si>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</si>
  <si>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</si>
  <si>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</si>
  <si>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</si>
  <si>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</si>
  <si>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</si>
  <si>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</si>
  <si>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</si>
  <si>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</si>
  <si>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</si>
  <si>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</si>
  <si>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</si>
  <si>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</si>
  <si>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</si>
  <si>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</si>
  <si>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</si>
  <si>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</si>
  <si>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</si>
  <si>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</si>
  <si>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</si>
  <si>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</si>
  <si>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</si>
  <si>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</si>
  <si>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</si>
  <si>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</si>
  <si>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</si>
  <si>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</si>
  <si>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</si>
  <si>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</si>
  <si>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</si>
  <si>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</si>
  <si>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</si>
  <si>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</si>
  <si>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</si>
  <si>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</si>
  <si>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</si>
  <si>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</si>
  <si>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</si>
  <si>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</si>
  <si>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</si>
  <si>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</si>
  <si>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</si>
  <si>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</si>
  <si>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</si>
  <si>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</si>
  <si>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</si>
  <si>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</si>
  <si>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</si>
  <si>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</si>
  <si>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</si>
  <si>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</si>
  <si>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</si>
  <si>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</si>
  <si>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</si>
  <si>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</si>
  <si>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</si>
  <si>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</si>
  <si>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</si>
  <si>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</si>
  <si>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</si>
  <si>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</si>
  <si>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</si>
  <si>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</si>
  <si>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</si>
  <si>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</si>
  <si>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</si>
  <si>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</si>
  <si>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</si>
  <si>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</si>
  <si>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</si>
  <si>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</si>
  <si>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</si>
  <si>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</si>
  <si>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</si>
  <si>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</si>
  <si>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</si>
  <si>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</si>
  <si>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</si>
  <si>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</si>
  <si>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</si>
  <si>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</si>
  <si>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</si>
  <si>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</si>
  <si>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</si>
  <si>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</si>
  <si>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</si>
  <si>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</si>
  <si>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</si>
  <si>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</si>
  <si>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</si>
  <si>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</si>
  <si>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</si>
  <si>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</si>
  <si>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</si>
  <si>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</si>
  <si>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</si>
  <si>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</si>
  <si>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</si>
  <si>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</si>
  <si>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</si>
  <si>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</si>
  <si>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</si>
  <si>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</si>
  <si>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</si>
  <si>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</si>
  <si>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</si>
  <si>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</si>
  <si>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</si>
  <si>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</si>
  <si>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</si>
  <si>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</si>
  <si>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</si>
  <si>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</si>
  <si>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</si>
  <si>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</si>
  <si>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</si>
  <si>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</si>
  <si>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</si>
  <si>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</si>
  <si>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</si>
  <si>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</si>
  <si>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</si>
  <si>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</si>
  <si>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</si>
  <si>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</si>
  <si>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</si>
  <si>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</si>
  <si>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</si>
  <si>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</si>
  <si>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</si>
  <si>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</si>
  <si>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</si>
  <si>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</si>
  <si>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</si>
  <si>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</si>
  <si>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</si>
  <si>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</si>
  <si>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</si>
  <si>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</si>
  <si>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</si>
  <si>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</si>
  <si>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</si>
  <si>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</si>
  <si>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</si>
  <si>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</si>
  <si>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</si>
  <si>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</si>
  <si>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</si>
  <si>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</si>
  <si>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</si>
  <si>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</si>
  <si>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</si>
  <si>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</si>
  <si>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</si>
  <si>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</si>
  <si>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</si>
  <si>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</si>
  <si>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</si>
  <si>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</si>
  <si>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</si>
  <si>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</si>
  <si>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</si>
  <si>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</si>
  <si>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</si>
  <si>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</si>
  <si>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</si>
  <si>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</si>
  <si>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</si>
  <si>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</si>
  <si>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</si>
  <si>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</si>
  <si>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</si>
  <si>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</si>
  <si>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</si>
  <si>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</si>
  <si>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</si>
  <si>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</si>
  <si>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</si>
  <si>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</si>
  <si>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</si>
  <si>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</si>
  <si>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</si>
  <si>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</si>
  <si>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</si>
  <si>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</si>
  <si>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</si>
  <si>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</si>
  <si>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</si>
  <si>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</si>
  <si>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</si>
  <si>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</si>
  <si>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</si>
  <si>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</si>
  <si>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</si>
  <si>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</si>
  <si>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</si>
  <si>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</si>
  <si>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</si>
  <si>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</si>
  <si>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</si>
  <si>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</si>
  <si>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</si>
  <si>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</si>
  <si>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</si>
  <si>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</si>
  <si>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</si>
  <si>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</si>
  <si>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</si>
  <si>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</si>
  <si>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</si>
  <si>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</si>
  <si>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</si>
  <si>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</si>
  <si>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</si>
  <si>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</si>
  <si>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</si>
  <si>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</si>
  <si>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</si>
  <si>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</si>
  <si>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</si>
  <si>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</si>
  <si>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</si>
  <si>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</si>
  <si>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</si>
  <si>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</si>
  <si>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</si>
  <si>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</si>
  <si>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</si>
  <si>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</si>
  <si>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</si>
  <si>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</si>
  <si>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</si>
  <si>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</si>
  <si>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</si>
  <si>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</si>
  <si>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</si>
  <si>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</si>
  <si>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</si>
  <si>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</si>
  <si>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</si>
  <si>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</si>
  <si>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</si>
  <si>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</si>
  <si>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</si>
  <si>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</si>
  <si>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</si>
  <si>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</si>
  <si>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</si>
  <si>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</si>
  <si>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</si>
  <si>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</si>
  <si>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</si>
  <si>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</si>
  <si>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</si>
  <si>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</si>
  <si>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</si>
  <si>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</si>
  <si>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</si>
  <si>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</si>
  <si>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</si>
  <si>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</si>
  <si>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</si>
  <si>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</si>
  <si>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</si>
  <si>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</si>
  <si>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</si>
  <si>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</si>
  <si>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</si>
  <si>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</si>
  <si>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</si>
  <si>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</si>
  <si>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</si>
  <si>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</si>
  <si>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</si>
  <si>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</si>
  <si>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</si>
  <si>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</si>
  <si>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</si>
  <si>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</si>
  <si>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</si>
  <si>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</si>
  <si>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</si>
  <si>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</si>
  <si>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</si>
  <si>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</si>
  <si>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</si>
  <si>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</si>
  <si>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</si>
  <si>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</si>
  <si>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</si>
  <si>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</si>
  <si>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</si>
  <si>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</si>
  <si>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</si>
  <si>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</si>
  <si>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</si>
  <si>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</si>
  <si>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</si>
  <si>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</si>
  <si>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</si>
  <si>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</si>
  <si>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</si>
  <si>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</si>
  <si>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</si>
  <si>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</si>
  <si>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</si>
  <si>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</si>
  <si>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</si>
  <si>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</si>
  <si>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</si>
  <si>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</si>
  <si>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</si>
  <si>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</si>
  <si>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</si>
  <si>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</si>
  <si>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</si>
  <si>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</si>
  <si>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</si>
  <si>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</si>
  <si>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</si>
  <si>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</si>
  <si>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</si>
  <si>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</si>
  <si>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</si>
  <si>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</si>
  <si>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</si>
  <si>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</si>
  <si>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</si>
  <si>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</si>
  <si>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</si>
  <si>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</si>
  <si>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</si>
  <si>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</si>
  <si>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</si>
  <si>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</si>
  <si>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</si>
  <si>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</si>
  <si>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</si>
  <si>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</si>
  <si>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</si>
  <si>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</si>
  <si>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</si>
  <si>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</si>
  <si>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</si>
  <si>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</si>
  <si>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</si>
  <si>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</si>
  <si>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</si>
  <si>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</si>
  <si>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</si>
  <si>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</si>
  <si>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</si>
  <si>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</si>
  <si>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</si>
  <si>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</si>
  <si>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</si>
  <si>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</si>
  <si>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</si>
  <si>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</si>
  <si>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</si>
  <si>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</si>
  <si>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</si>
  <si>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</si>
  <si>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</si>
  <si>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</si>
  <si>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</si>
  <si>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</si>
  <si>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</si>
  <si>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</si>
  <si>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</si>
  <si>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</si>
  <si>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</si>
  <si>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</si>
  <si>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</si>
  <si>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</si>
  <si>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</si>
  <si>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</si>
  <si>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</si>
  <si>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</si>
  <si>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</si>
  <si>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</si>
  <si>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</si>
  <si>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</si>
  <si>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</si>
  <si>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</si>
  <si>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</si>
  <si>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</si>
  <si>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</si>
  <si>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</si>
  <si>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</si>
  <si>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</si>
  <si>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</si>
  <si>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</si>
  <si>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</si>
  <si>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</si>
  <si>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</si>
  <si>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</si>
  <si>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</si>
  <si>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</si>
  <si>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</si>
  <si>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</si>
  <si>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</si>
  <si>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</si>
  <si>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</si>
  <si>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</si>
  <si>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</si>
  <si>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</si>
  <si>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</si>
  <si>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</si>
  <si>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</si>
  <si>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</si>
  <si>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</si>
  <si>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</si>
  <si>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</si>
  <si>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</si>
  <si>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</si>
  <si>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</si>
  <si>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</si>
  <si>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</si>
  <si>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</si>
  <si>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</si>
  <si>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</si>
  <si>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</si>
  <si>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</si>
  <si>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</si>
  <si>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</si>
  <si>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</si>
  <si>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</si>
  <si>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</si>
  <si>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</si>
  <si>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</si>
  <si>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</si>
  <si>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</si>
  <si>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</si>
  <si>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</si>
  <si>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</si>
  <si>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</si>
  <si>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</si>
  <si>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</si>
  <si>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</si>
  <si>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</si>
  <si>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</si>
  <si>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</si>
  <si>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</si>
  <si>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</si>
  <si>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</si>
  <si>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</si>
  <si>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</si>
  <si>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</si>
  <si>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</si>
  <si>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</si>
  <si>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</si>
  <si>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</si>
  <si>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</si>
  <si>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</si>
  <si>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</si>
  <si>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</si>
  <si>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</si>
  <si>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</si>
  <si>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</si>
  <si>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</si>
  <si>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</si>
  <si>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</si>
  <si>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</si>
  <si>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</si>
  <si>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</si>
  <si>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</si>
  <si>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</si>
  <si>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</si>
  <si>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</si>
  <si>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</si>
  <si>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</si>
  <si>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</si>
  <si>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</si>
  <si>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</si>
  <si>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</si>
  <si>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</si>
  <si>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</si>
  <si>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</si>
  <si>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</si>
  <si>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</si>
  <si>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</si>
  <si>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</si>
  <si>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</si>
  <si>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</si>
  <si>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</si>
  <si>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</si>
  <si>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</si>
  <si>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</si>
  <si>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</si>
  <si>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</si>
  <si>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</si>
  <si>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</si>
  <si>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</si>
  <si>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</si>
  <si>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</si>
  <si>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</si>
  <si>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</si>
  <si>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</si>
  <si>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</si>
  <si>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</si>
  <si>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</si>
  <si>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</si>
  <si>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</si>
  <si>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</si>
  <si>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</si>
  <si>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</si>
  <si>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</si>
  <si>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</si>
  <si>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</si>
  <si>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</si>
  <si>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</si>
  <si>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</si>
  <si>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</si>
  <si>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</si>
  <si>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</si>
  <si>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</si>
  <si>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</si>
  <si>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</si>
  <si>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</si>
  <si>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</si>
  <si>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</si>
  <si>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</si>
  <si>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</si>
  <si>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</si>
  <si>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</si>
  <si>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</si>
  <si>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</si>
  <si>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</si>
  <si>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</si>
  <si>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</si>
  <si>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</si>
  <si>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</si>
  <si>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</si>
  <si>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</si>
  <si>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</si>
  <si>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</si>
  <si>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</si>
  <si>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</si>
  <si>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</si>
  <si>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</si>
  <si>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</si>
  <si>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</si>
  <si>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</si>
  <si>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</si>
  <si>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</si>
  <si>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</si>
  <si>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</si>
  <si>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</si>
  <si>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</si>
  <si>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</si>
  <si>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</si>
  <si>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</si>
  <si>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</si>
  <si>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</si>
  <si>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</si>
  <si>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</si>
  <si>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</si>
  <si>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</si>
  <si>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</si>
  <si>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</si>
  <si>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</si>
  <si>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</si>
  <si>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</si>
  <si>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</si>
  <si>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</si>
  <si>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</si>
  <si>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</si>
  <si>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</si>
  <si>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</si>
  <si>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</si>
  <si>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</si>
  <si>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</si>
  <si>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</si>
  <si>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</si>
  <si>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</si>
  <si>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</si>
  <si>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</si>
  <si>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</si>
  <si>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</si>
  <si>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</si>
  <si>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</si>
  <si>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</si>
  <si>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</si>
  <si>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</si>
  <si>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</si>
  <si>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</si>
  <si>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</si>
  <si>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</si>
  <si>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</si>
  <si>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</si>
  <si>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</si>
  <si>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</si>
  <si>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</si>
  <si>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</si>
  <si>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</si>
  <si>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</si>
  <si>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</si>
  <si>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</si>
  <si>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</si>
  <si>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</si>
  <si>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</si>
  <si>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</si>
  <si>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</si>
  <si>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</si>
  <si>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</si>
  <si>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</si>
  <si>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</si>
  <si>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</si>
  <si>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</si>
  <si>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</si>
  <si>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</si>
  <si>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</si>
  <si>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</si>
  <si>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</si>
  <si>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</si>
  <si>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</si>
  <si>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</si>
  <si>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</si>
  <si>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</si>
  <si>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</si>
  <si>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</si>
  <si>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</si>
  <si>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</si>
  <si>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</si>
  <si>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</si>
  <si>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</si>
  <si>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</si>
  <si>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</si>
  <si>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</si>
  <si>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</si>
  <si>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</si>
  <si>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</si>
  <si>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</si>
  <si>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</si>
  <si>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</si>
  <si>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</si>
  <si>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</si>
  <si>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</si>
  <si>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</si>
  <si>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</si>
  <si>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</si>
  <si>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</si>
  <si>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</si>
  <si>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</si>
  <si>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</si>
  <si>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</si>
  <si>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</si>
  <si>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</si>
  <si>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</si>
  <si>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</si>
  <si>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</si>
  <si>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</si>
  <si>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</si>
  <si>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</si>
  <si>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</si>
  <si>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</si>
  <si>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</si>
  <si>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</si>
  <si>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</si>
  <si>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</si>
  <si>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</si>
  <si>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</si>
  <si>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</si>
  <si>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</si>
  <si>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</si>
  <si>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</si>
  <si>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</si>
  <si>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</si>
  <si>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</si>
  <si>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</si>
  <si>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</si>
  <si>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</si>
  <si>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</si>
  <si>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</si>
  <si>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</si>
  <si>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</si>
  <si>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</si>
  <si>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</si>
  <si>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</si>
  <si>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</si>
  <si>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</si>
  <si>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</si>
  <si>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</si>
  <si>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</si>
  <si>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</si>
  <si>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</si>
  <si>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</si>
  <si>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</si>
  <si>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</si>
  <si>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</si>
  <si>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</si>
  <si>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</si>
  <si>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</si>
  <si>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</si>
  <si>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</si>
  <si>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</si>
  <si>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</si>
  <si>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</si>
  <si>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</si>
  <si>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</si>
  <si>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</si>
  <si>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</si>
  <si>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</si>
  <si>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</si>
  <si>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</si>
  <si>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</si>
  <si>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</si>
  <si>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</si>
  <si>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</si>
  <si>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</si>
  <si>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</si>
  <si>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</si>
  <si>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</si>
  <si>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</si>
  <si>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</si>
  <si>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</si>
  <si>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</si>
  <si>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</si>
  <si>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</si>
  <si>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</si>
  <si>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</si>
  <si>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</si>
  <si>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</si>
  <si>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</si>
  <si>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</si>
  <si>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</si>
  <si>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</si>
  <si>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</si>
  <si>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</si>
  <si>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</si>
  <si>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</si>
  <si>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</si>
  <si>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</si>
  <si>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</si>
  <si>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</si>
  <si>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</si>
  <si>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</si>
  <si>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</si>
  <si>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</si>
  <si>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</si>
  <si>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</si>
  <si>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</si>
  <si>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</si>
  <si>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</si>
  <si>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</si>
  <si>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</si>
  <si>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</si>
  <si>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</si>
  <si>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</si>
  <si>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</si>
  <si>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</si>
  <si>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</si>
  <si>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</si>
  <si>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</si>
  <si>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</si>
  <si>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</si>
  <si>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</si>
  <si>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</si>
  <si>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</si>
  <si>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</si>
  <si>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</si>
  <si>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</si>
  <si>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</si>
  <si>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</si>
  <si>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</si>
  <si>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</si>
  <si>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</si>
  <si>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</si>
  <si>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</si>
  <si>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</si>
  <si>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</si>
  <si>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</si>
  <si>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</si>
  <si>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</si>
  <si>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</si>
  <si>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</si>
  <si>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</si>
  <si>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</si>
  <si>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</si>
  <si>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</si>
  <si>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</si>
  <si>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</si>
  <si>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</si>
  <si>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</si>
  <si>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</si>
  <si>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</si>
  <si>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</si>
  <si>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</si>
  <si>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</si>
  <si>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</si>
  <si>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</si>
  <si>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</si>
  <si>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</si>
  <si>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</si>
  <si>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</si>
  <si>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</si>
  <si>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</si>
  <si>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</si>
  <si>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</si>
  <si>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</si>
  <si>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</si>
  <si>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</si>
  <si>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</si>
  <si>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</si>
  <si>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</si>
  <si>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</si>
  <si>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</si>
  <si>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</si>
  <si>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</si>
  <si>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</si>
  <si>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</si>
  <si>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</si>
  <si>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</si>
  <si>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</si>
  <si>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</si>
  <si>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</si>
  <si>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</si>
  <si>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</si>
  <si>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</si>
  <si>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</si>
  <si>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</si>
  <si>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</si>
  <si>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</si>
  <si>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</si>
  <si>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</si>
  <si>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</si>
  <si>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</si>
  <si>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</si>
  <si>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</si>
  <si>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</si>
  <si>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</si>
  <si>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</si>
  <si>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</si>
  <si>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</si>
  <si>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</si>
  <si>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</si>
  <si>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</si>
  <si>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</si>
  <si>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</si>
  <si>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</si>
  <si>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</si>
  <si>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</si>
  <si>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</si>
  <si>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</si>
  <si>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</si>
  <si>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</si>
  <si>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</si>
  <si>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</si>
  <si>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</si>
  <si>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</si>
  <si>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</si>
  <si>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</si>
  <si>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</si>
  <si>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</si>
  <si>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</si>
  <si>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</si>
  <si>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</si>
  <si>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</si>
  <si>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</si>
  <si>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</si>
  <si>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</si>
  <si>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</si>
  <si>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</si>
  <si>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</si>
  <si>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</si>
  <si>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</si>
  <si>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</si>
  <si>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</si>
  <si>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</si>
  <si>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</si>
  <si>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</si>
  <si>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</si>
  <si>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</si>
  <si>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</si>
  <si>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</si>
  <si>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</si>
  <si>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</si>
  <si>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</si>
  <si>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</si>
  <si>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</si>
  <si>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</si>
  <si>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</si>
  <si>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</si>
  <si>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</si>
  <si>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</si>
  <si>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</si>
  <si>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</si>
  <si>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</si>
  <si>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</si>
  <si>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</si>
  <si>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</si>
  <si>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</si>
  <si>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</si>
  <si>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</si>
  <si>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</si>
  <si>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</si>
  <si>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</si>
  <si>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</si>
  <si>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</si>
  <si>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</si>
  <si>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</si>
  <si>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</si>
  <si>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</si>
  <si>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</si>
  <si>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</si>
  <si>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</si>
  <si>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</si>
  <si>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</si>
  <si>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</si>
  <si>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</si>
  <si>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</si>
  <si>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</si>
  <si>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</si>
  <si>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</si>
  <si>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</si>
  <si>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</si>
  <si>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</si>
  <si>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</si>
  <si>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</si>
  <si>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</si>
  <si>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</si>
  <si>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</si>
  <si>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</si>
  <si>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</si>
  <si>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</si>
  <si>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</si>
  <si>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</si>
  <si>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</si>
  <si>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</si>
  <si>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</si>
  <si>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</si>
  <si>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</si>
  <si>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</si>
  <si>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</si>
  <si>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</si>
  <si>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</si>
  <si>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</si>
  <si>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</si>
  <si>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</si>
  <si>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</si>
  <si>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</si>
  <si>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</si>
  <si>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</si>
  <si>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</si>
  <si>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</si>
  <si>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</si>
  <si>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</si>
  <si>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</si>
  <si>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</si>
  <si>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</si>
  <si>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</si>
  <si>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</si>
  <si>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</si>
  <si>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</si>
  <si>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</si>
  <si>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</si>
  <si>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</si>
  <si>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</si>
  <si>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</si>
  <si>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</si>
  <si>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</si>
  <si>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</si>
  <si>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</si>
  <si>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</si>
  <si>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</si>
  <si>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</si>
  <si>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</si>
  <si>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</si>
  <si>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</si>
  <si>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</si>
  <si>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</si>
  <si>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</si>
  <si>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</si>
  <si>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</si>
  <si>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</si>
  <si>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</si>
  <si>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</si>
  <si>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</si>
  <si>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</si>
  <si>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</si>
  <si>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</si>
  <si>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</si>
  <si>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</si>
  <si>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</si>
  <si>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</si>
  <si>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</si>
  <si>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</si>
  <si>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</si>
  <si>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</si>
  <si>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</si>
  <si>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</si>
  <si>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</si>
  <si>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</si>
  <si>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</si>
  <si>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</si>
  <si>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</si>
  <si>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</si>
  <si>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</si>
  <si>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</si>
  <si>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</si>
  <si>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</si>
  <si>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</si>
  <si>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</si>
  <si>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</si>
  <si>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</si>
  <si>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</si>
  <si>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</si>
  <si>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</si>
  <si>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</si>
  <si>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</si>
  <si>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</si>
  <si>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</si>
  <si>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</si>
  <si>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</si>
  <si>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</si>
  <si>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</si>
  <si>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</si>
  <si>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</si>
  <si>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</si>
  <si>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</si>
  <si>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</si>
  <si>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</si>
  <si>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</si>
  <si>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</si>
  <si>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</si>
  <si>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</si>
  <si>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</si>
  <si>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</si>
  <si>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</si>
  <si>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</si>
  <si>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</si>
  <si>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</si>
  <si>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</si>
  <si>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</si>
  <si>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</si>
  <si>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</si>
  <si>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</si>
  <si>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</si>
  <si>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</si>
  <si>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</si>
  <si>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</si>
  <si>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</si>
  <si>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</si>
  <si>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</si>
  <si>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</si>
  <si>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</si>
  <si>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</si>
  <si>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</si>
  <si>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</si>
  <si>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</si>
  <si>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</si>
  <si>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</si>
  <si>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</si>
  <si>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</si>
  <si>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</si>
  <si>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</si>
  <si>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</si>
  <si>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</si>
  <si>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</si>
  <si>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</si>
  <si>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</si>
  <si>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</si>
  <si>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</si>
  <si>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</si>
  <si>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</si>
  <si>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</si>
  <si>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</si>
  <si>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</si>
  <si>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</si>
  <si>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</si>
  <si>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</si>
  <si>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</si>
  <si>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</si>
  <si>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</si>
  <si>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</si>
  <si>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</si>
  <si>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</si>
  <si>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</si>
  <si>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</si>
  <si>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</si>
  <si>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</si>
  <si>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</si>
  <si>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</si>
  <si>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</si>
  <si>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</si>
  <si>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</si>
  <si>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</si>
  <si>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</si>
  <si>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</si>
  <si>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</si>
  <si>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</si>
  <si>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</si>
  <si>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</si>
  <si>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</si>
  <si>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</si>
  <si>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</si>
  <si>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</si>
  <si>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</si>
  <si>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</si>
  <si>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</si>
  <si>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</si>
  <si>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</si>
  <si>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</si>
  <si>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</si>
  <si>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</si>
  <si>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</si>
  <si>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</si>
  <si>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</si>
  <si>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</si>
  <si>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</si>
  <si>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</si>
  <si>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</si>
  <si>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</si>
  <si>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</si>
  <si>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</si>
  <si>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</si>
  <si>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</si>
  <si>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</si>
  <si>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</si>
  <si>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</si>
  <si>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</si>
  <si>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</si>
  <si>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</si>
  <si>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</si>
  <si>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</si>
  <si>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</si>
  <si>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</si>
  <si>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</si>
  <si>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</si>
  <si>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</si>
  <si>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</si>
  <si>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</si>
  <si>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</si>
  <si>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</si>
  <si>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</si>
  <si>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</si>
  <si>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</si>
  <si>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</si>
  <si>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</si>
  <si>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</si>
  <si>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</si>
  <si>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</si>
  <si>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</si>
  <si>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</si>
  <si>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</si>
  <si>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</si>
  <si>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</si>
  <si>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</si>
  <si>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</si>
  <si>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</si>
  <si>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</si>
  <si>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</si>
  <si>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</si>
  <si>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</si>
  <si>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</si>
  <si>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</si>
  <si>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</si>
  <si>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</si>
  <si>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</si>
  <si>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</si>
  <si>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</si>
  <si>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</si>
  <si>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</si>
  <si>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</si>
  <si>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</si>
  <si>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</si>
  <si>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</si>
  <si>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</si>
  <si>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</si>
  <si>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</si>
  <si>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</si>
  <si>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</si>
  <si>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</si>
  <si>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</si>
  <si>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</si>
  <si>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</si>
  <si>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</si>
  <si>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</si>
  <si>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</si>
  <si>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</si>
  <si>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</si>
  <si>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</si>
  <si>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</si>
  <si>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</si>
  <si>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</si>
  <si>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</si>
  <si>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</si>
  <si>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</si>
  <si>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</si>
  <si>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</si>
  <si>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</si>
  <si>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</si>
  <si>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</si>
  <si>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</si>
  <si>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</si>
  <si>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</si>
  <si>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</si>
  <si>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</si>
  <si>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</si>
  <si>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</si>
  <si>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</si>
  <si>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</si>
  <si>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</si>
  <si>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</si>
  <si>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</si>
  <si>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</si>
  <si>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</si>
  <si>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</si>
  <si>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</si>
  <si>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</si>
  <si>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</si>
  <si>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</si>
  <si>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</si>
  <si>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</si>
  <si>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</si>
  <si>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</si>
  <si>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</si>
  <si>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</si>
  <si>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</si>
  <si>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</si>
  <si>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</si>
  <si>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</si>
  <si>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</si>
  <si>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</si>
  <si>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</si>
  <si>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</si>
  <si>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</si>
  <si>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</si>
  <si>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</si>
  <si>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</si>
  <si>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</si>
  <si>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</si>
  <si>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</si>
  <si>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</si>
  <si>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</si>
  <si>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</si>
  <si>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</si>
  <si>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</si>
  <si>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</si>
  <si>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</si>
  <si>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</si>
  <si>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</si>
  <si>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</si>
  <si>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</si>
  <si>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</si>
  <si>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</si>
  <si>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</si>
  <si>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</si>
  <si>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</si>
  <si>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</si>
  <si>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</si>
  <si>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</si>
  <si>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</si>
  <si>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</si>
  <si>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</si>
  <si>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</si>
  <si>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</si>
  <si>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</si>
  <si>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</si>
  <si>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</si>
  <si>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</si>
  <si>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</si>
  <si>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</si>
  <si>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</si>
  <si>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</si>
  <si>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</si>
  <si>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</si>
  <si>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</si>
  <si>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</si>
  <si>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</si>
  <si>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</si>
  <si>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</si>
  <si>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</si>
  <si>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</si>
  <si>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</si>
  <si>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</si>
  <si>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</si>
  <si>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</si>
  <si>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</si>
  <si>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</si>
  <si>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</si>
  <si>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</si>
  <si>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</si>
  <si>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</si>
  <si>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</si>
  <si>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</si>
  <si>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</si>
  <si>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</si>
  <si>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</si>
  <si>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</si>
  <si>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</si>
  <si>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</si>
  <si>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</si>
  <si>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</si>
  <si>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</si>
  <si>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</si>
  <si>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</si>
  <si>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</si>
  <si>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</si>
  <si>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</si>
  <si>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</si>
  <si>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</si>
  <si>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</si>
  <si>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</si>
  <si>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</si>
  <si>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</si>
  <si>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</si>
  <si>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</si>
  <si>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</si>
  <si>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</si>
  <si>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</si>
  <si>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</si>
  <si>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</si>
  <si>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</si>
  <si>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</si>
  <si>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</si>
  <si>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</si>
  <si>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</si>
  <si>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</si>
  <si>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</si>
  <si>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</si>
  <si>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</si>
  <si>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</si>
  <si>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</si>
  <si>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</si>
  <si>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</si>
  <si>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</si>
  <si>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</si>
  <si>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</si>
  <si>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</si>
  <si>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</si>
  <si>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</si>
  <si>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</si>
  <si>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</si>
  <si>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</si>
  <si>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</si>
  <si>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</si>
  <si>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</si>
  <si>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</si>
  <si>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</si>
  <si>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</si>
  <si>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</si>
  <si>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</si>
  <si>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</si>
  <si>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</si>
  <si>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</si>
  <si>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</si>
  <si>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</si>
  <si>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</si>
  <si>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</si>
  <si>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</si>
  <si>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</si>
  <si>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</si>
  <si>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</si>
  <si>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</si>
  <si>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</si>
  <si>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</si>
  <si>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</si>
  <si>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</si>
  <si>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</si>
  <si>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</si>
  <si>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</si>
  <si>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</si>
  <si>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</si>
  <si>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</si>
  <si>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</si>
  <si>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</si>
  <si>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</si>
  <si>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</si>
  <si>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</si>
  <si>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</si>
  <si>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</si>
  <si>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</si>
  <si>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</si>
  <si>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</si>
  <si>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</si>
  <si>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</si>
  <si>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</si>
  <si>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</si>
  <si>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</si>
  <si>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</si>
  <si>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</si>
  <si>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</si>
  <si>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</si>
  <si>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</si>
  <si>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</si>
  <si>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</si>
  <si>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</si>
  <si>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</si>
  <si>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</si>
  <si>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</si>
  <si>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</si>
  <si>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</si>
  <si>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</si>
  <si>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</si>
  <si>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</si>
  <si>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</si>
  <si>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</si>
  <si>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</si>
  <si>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</si>
  <si>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</si>
  <si>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</si>
  <si>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</si>
  <si>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</si>
  <si>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</si>
  <si>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</si>
  <si>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</si>
  <si>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</si>
  <si>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</si>
  <si>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</si>
  <si>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</si>
  <si>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</si>
  <si>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</si>
  <si>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</si>
  <si>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</si>
  <si>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</si>
  <si>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</si>
  <si>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</si>
  <si>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</si>
  <si>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</si>
  <si>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</si>
  <si>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</si>
  <si>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</si>
  <si>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</si>
  <si>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</si>
  <si>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</si>
  <si>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</si>
  <si>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</si>
  <si>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</si>
  <si>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</si>
  <si>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</si>
  <si>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</si>
  <si>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</si>
  <si>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</si>
  <si>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</si>
  <si>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</si>
  <si>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</si>
  <si>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</si>
  <si>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</si>
  <si>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</si>
  <si>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</si>
  <si>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</si>
  <si>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</si>
  <si>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</si>
  <si>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</si>
  <si>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</si>
  <si>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</si>
  <si>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</si>
  <si>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</si>
  <si>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</si>
  <si>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</si>
  <si>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</si>
  <si>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</si>
  <si>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</si>
  <si>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</si>
  <si>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</si>
  <si>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</si>
  <si>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</si>
  <si>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</si>
  <si>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</si>
  <si>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</si>
  <si>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</si>
  <si>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</si>
  <si>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</si>
  <si>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</si>
  <si>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</si>
  <si>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</si>
  <si>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</si>
  <si>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</si>
  <si>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</si>
  <si>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</si>
  <si>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</si>
  <si>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</si>
  <si>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</si>
  <si>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</si>
  <si>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</si>
  <si>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</si>
  <si>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</si>
  <si>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</si>
  <si>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</si>
  <si>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</si>
  <si>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</si>
  <si>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</si>
  <si>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</si>
  <si>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</si>
  <si>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</si>
  <si>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</si>
  <si>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</si>
  <si>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</si>
  <si>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</si>
  <si>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</si>
  <si>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</si>
  <si>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</si>
  <si>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</si>
  <si>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</si>
  <si>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</si>
  <si>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</si>
  <si>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</si>
  <si>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</si>
  <si>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</si>
  <si>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</si>
  <si>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</si>
  <si>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</si>
  <si>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</si>
  <si>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</si>
  <si>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</si>
  <si>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</si>
  <si>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</si>
  <si>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</si>
  <si>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</si>
  <si>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</si>
  <si>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</si>
  <si>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</si>
  <si>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</si>
  <si>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</si>
  <si>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</si>
  <si>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</si>
  <si>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</si>
  <si>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</si>
  <si>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</si>
  <si>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</si>
  <si>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</si>
  <si>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</si>
  <si>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</si>
  <si>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</si>
  <si>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</si>
  <si>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</si>
  <si>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</si>
  <si>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</si>
  <si>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</si>
  <si>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</si>
  <si>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</si>
  <si>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</si>
  <si>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</si>
  <si>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</si>
  <si>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</si>
  <si>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</si>
  <si>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</si>
  <si>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</si>
  <si>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</si>
  <si>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</si>
  <si>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</si>
  <si>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</si>
  <si>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</si>
  <si>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</si>
  <si>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</si>
  <si>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</si>
  <si>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</si>
  <si>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</si>
  <si>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</si>
  <si>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</si>
  <si>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</si>
  <si>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</si>
  <si>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</si>
  <si>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</si>
  <si>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</si>
  <si>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</si>
  <si>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</si>
  <si>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</si>
  <si>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</si>
  <si>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</si>
  <si>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</si>
  <si>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</si>
  <si>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</si>
  <si>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</si>
  <si>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</si>
  <si>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</si>
  <si>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</si>
  <si>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</si>
  <si>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</si>
  <si>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</si>
  <si>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</si>
  <si>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</si>
  <si>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</si>
  <si>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</si>
  <si>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</si>
  <si>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</si>
  <si>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</si>
  <si>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</si>
  <si>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</si>
  <si>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</si>
  <si>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</si>
  <si>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</si>
  <si>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</si>
  <si>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</si>
  <si>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</si>
  <si>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</si>
  <si>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</si>
  <si>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</si>
  <si>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</si>
  <si>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</si>
  <si>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</si>
  <si>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</si>
  <si>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</si>
  <si>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</si>
  <si>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</si>
  <si>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</si>
  <si>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</si>
  <si>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</si>
  <si>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</si>
  <si>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</si>
  <si>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</si>
  <si>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</si>
  <si>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</si>
  <si>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</si>
  <si>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</si>
  <si>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</si>
  <si>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</si>
  <si>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</si>
  <si>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</si>
  <si>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</si>
  <si>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</si>
  <si>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</si>
  <si>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</si>
  <si>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</si>
  <si>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</si>
  <si>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</si>
  <si>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</si>
  <si>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</si>
  <si>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</si>
  <si>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</si>
  <si>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</si>
  <si>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</si>
  <si>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</si>
  <si>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</si>
  <si>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</si>
  <si>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</si>
  <si>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</si>
  <si>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</si>
  <si>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</si>
  <si>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</si>
  <si>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</si>
  <si>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</si>
  <si>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</si>
  <si>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</si>
  <si>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</si>
  <si>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</si>
  <si>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</si>
  <si>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</si>
  <si>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</si>
  <si>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</si>
  <si>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</si>
  <si>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</si>
  <si>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</si>
  <si>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</si>
  <si>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</si>
  <si>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</si>
  <si>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</si>
  <si>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</si>
  <si>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</si>
  <si>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</si>
  <si>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</si>
  <si>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</si>
  <si>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</si>
  <si>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</si>
  <si>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</si>
  <si>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</si>
  <si>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</si>
  <si>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</si>
  <si>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</si>
  <si>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</si>
  <si>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</si>
  <si>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</si>
  <si>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</si>
  <si>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</si>
  <si>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</si>
  <si>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</si>
  <si>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</si>
  <si>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</si>
  <si>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</si>
  <si>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</si>
  <si>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</si>
  <si>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</si>
  <si>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</si>
  <si>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</si>
  <si>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</si>
  <si>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</si>
  <si>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</si>
  <si>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</si>
  <si>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</si>
  <si>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</si>
  <si>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</si>
  <si>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</si>
  <si>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</si>
  <si>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</si>
  <si>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</si>
  <si>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</si>
  <si>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</si>
  <si>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</si>
  <si>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</si>
  <si>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</si>
  <si>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</si>
  <si>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</si>
  <si>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</si>
  <si>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</si>
  <si>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</si>
  <si>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</si>
  <si>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</si>
  <si>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</si>
  <si>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</si>
  <si>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</si>
  <si>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</si>
  <si>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</si>
  <si>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</si>
  <si>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</si>
  <si>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</si>
  <si>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</si>
  <si>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</si>
  <si>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</si>
  <si>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</si>
  <si>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</si>
  <si>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</si>
  <si>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</si>
  <si>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</si>
  <si>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</si>
  <si>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</si>
  <si>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</si>
  <si>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</si>
  <si>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</si>
  <si>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</si>
  <si>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</si>
  <si>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</si>
  <si>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</si>
  <si>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</si>
  <si>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</si>
  <si>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</si>
  <si>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</si>
  <si>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</si>
  <si>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</si>
  <si>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</si>
  <si>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</si>
  <si>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</si>
  <si>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</si>
  <si>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</si>
  <si>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</si>
  <si>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</si>
  <si>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</si>
  <si>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</si>
  <si>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</si>
  <si>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</si>
  <si>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</si>
  <si>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</si>
  <si>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</si>
  <si>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</si>
  <si>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</si>
  <si>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</si>
  <si>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</si>
  <si>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</si>
  <si>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</si>
  <si>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</si>
  <si>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</si>
  <si>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</si>
  <si>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</si>
  <si>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</si>
  <si>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</si>
  <si>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</si>
  <si>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</si>
  <si>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</si>
  <si>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</si>
  <si>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</si>
  <si>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</si>
  <si>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</si>
  <si>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</si>
  <si>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</si>
  <si>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</si>
  <si>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</si>
  <si>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</si>
  <si>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</si>
  <si>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</si>
  <si>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</si>
  <si>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</si>
  <si>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</si>
  <si>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</si>
  <si>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</si>
  <si>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</si>
  <si>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</si>
  <si>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</si>
  <si>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</si>
  <si>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</si>
  <si>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</si>
  <si>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</si>
  <si>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</si>
  <si>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</si>
  <si>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</si>
  <si>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</si>
  <si>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</si>
  <si>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</si>
  <si>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</si>
  <si>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</si>
  <si>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</si>
  <si>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</si>
  <si>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</si>
  <si>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</si>
  <si>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</si>
  <si>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</si>
  <si>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</si>
  <si>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</si>
  <si>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</si>
  <si>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</si>
  <si>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</si>
  <si>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</si>
  <si>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</si>
  <si>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</si>
  <si>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</si>
  <si>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</si>
  <si>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</si>
  <si>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</si>
  <si>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</si>
  <si>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</si>
  <si>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</si>
  <si>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</si>
  <si>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</si>
  <si>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</si>
  <si>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</si>
  <si>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</si>
  <si>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</si>
  <si>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</si>
  <si>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</si>
  <si>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</si>
  <si>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</si>
  <si>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</si>
  <si>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</si>
  <si>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</si>
  <si>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</si>
  <si>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</si>
  <si>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</si>
  <si>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</si>
  <si>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</si>
  <si>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</si>
  <si>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</si>
  <si>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</si>
  <si>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</si>
  <si>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</si>
  <si>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</si>
  <si>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</si>
  <si>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</si>
  <si>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</si>
  <si>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</si>
  <si>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</si>
  <si>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</si>
  <si>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</si>
  <si>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</si>
  <si>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</si>
  <si>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</si>
  <si>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</si>
  <si>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</si>
  <si>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</si>
  <si>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</si>
  <si>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</si>
  <si>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</si>
  <si>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</si>
  <si>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</si>
  <si>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</si>
  <si>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</si>
  <si>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</si>
  <si>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</si>
  <si>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</si>
  <si>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</si>
  <si>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</si>
  <si>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</si>
  <si>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</si>
  <si>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</si>
  <si>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</si>
  <si>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</si>
  <si>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</si>
  <si>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</si>
  <si>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</si>
  <si>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</si>
  <si>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</si>
  <si>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</si>
  <si>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</si>
  <si>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</si>
  <si>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</si>
  <si>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</si>
  <si>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</si>
  <si>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</si>
  <si>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</si>
  <si>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</si>
  <si>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</si>
  <si>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</si>
  <si>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</si>
  <si>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</si>
  <si>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</si>
  <si>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</si>
  <si>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</si>
  <si>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</si>
  <si>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</si>
  <si>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</si>
  <si>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</si>
  <si>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</si>
  <si>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</si>
  <si>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</si>
  <si>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</si>
  <si>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</si>
  <si>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</si>
  <si>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</si>
  <si>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</si>
  <si>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</si>
  <si>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</si>
  <si>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</si>
  <si>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</si>
  <si>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</si>
  <si>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</si>
  <si>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</si>
  <si>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</si>
  <si>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</si>
  <si>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</si>
  <si>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</si>
  <si>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</si>
  <si>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</si>
  <si>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</si>
  <si>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</si>
  <si>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</si>
  <si>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</si>
  <si>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</si>
  <si>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</si>
  <si>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</si>
  <si>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</si>
  <si>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</si>
  <si>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</si>
  <si>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</si>
  <si>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</si>
  <si>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</si>
  <si>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</si>
  <si>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</si>
  <si>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</si>
  <si>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</si>
  <si>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</si>
  <si>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</si>
  <si>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</si>
  <si>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</si>
  <si>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</si>
  <si>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</si>
  <si>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</si>
  <si>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</si>
  <si>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</si>
  <si>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</si>
  <si>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</si>
  <si>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</si>
  <si>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</si>
  <si>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</si>
  <si>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</si>
  <si>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</si>
  <si>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</si>
  <si>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</si>
  <si>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</si>
  <si>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</si>
  <si>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</si>
  <si>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</si>
  <si>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</si>
  <si>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</si>
  <si>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</si>
  <si>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</si>
  <si>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</si>
  <si>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</si>
  <si>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</si>
  <si>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</si>
  <si>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</si>
  <si>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</si>
  <si>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</si>
  <si>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</si>
  <si>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</si>
  <si>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</si>
  <si>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</si>
  <si>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</si>
  <si>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</si>
  <si>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</si>
  <si>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</si>
  <si>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</si>
  <si>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</si>
  <si>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</si>
  <si>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</si>
  <si>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</si>
  <si>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</si>
  <si>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</si>
  <si>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</si>
  <si>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</si>
  <si>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</si>
  <si>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</si>
  <si>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</si>
  <si>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</si>
  <si>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</si>
  <si>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</si>
  <si>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</si>
  <si>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</si>
  <si>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</si>
  <si>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</si>
  <si>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</si>
  <si>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</si>
  <si>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</si>
  <si>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</si>
  <si>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</si>
  <si>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</si>
  <si>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</si>
  <si>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</si>
  <si>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</si>
  <si>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</si>
  <si>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</si>
  <si>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</si>
  <si>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</si>
  <si>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</si>
  <si>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</si>
  <si>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</si>
  <si>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</si>
  <si>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</si>
  <si>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</si>
  <si>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</si>
  <si>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</si>
  <si>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</si>
  <si>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</si>
  <si>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</si>
  <si>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</si>
  <si>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</si>
  <si>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</si>
  <si>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</si>
  <si>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</si>
  <si>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</si>
  <si>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</si>
  <si>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</si>
  <si>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</si>
  <si>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</si>
  <si>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</si>
  <si>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</si>
  <si>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</si>
  <si>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</si>
  <si>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</si>
  <si>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</si>
  <si>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</si>
  <si>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</si>
  <si>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</si>
  <si>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</si>
  <si>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</si>
  <si>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</si>
  <si>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</si>
  <si>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</si>
  <si>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</si>
  <si>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</si>
  <si>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</si>
  <si>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</si>
  <si>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</si>
  <si>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</si>
  <si>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</si>
  <si>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</si>
  <si>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</si>
  <si>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</si>
  <si>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</si>
  <si>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</si>
  <si>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</si>
  <si>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</si>
  <si>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</si>
  <si>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</si>
  <si>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</si>
  <si>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</si>
  <si>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</si>
  <si>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</si>
  <si>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</si>
  <si>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</si>
  <si>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</si>
  <si>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</si>
  <si>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</si>
  <si>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</si>
  <si>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</si>
  <si>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</si>
  <si>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</si>
  <si>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</si>
  <si>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</si>
  <si>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</si>
  <si>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</si>
  <si>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</si>
  <si>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</si>
  <si>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</si>
  <si>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</si>
  <si>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</si>
  <si>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</si>
  <si>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</si>
  <si>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</si>
  <si>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</si>
  <si>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</si>
  <si>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</si>
  <si>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</si>
  <si>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</si>
  <si>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</si>
  <si>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</si>
  <si>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</si>
  <si>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</si>
  <si>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</si>
  <si>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</si>
  <si>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</si>
  <si>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</si>
  <si>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</si>
  <si>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</si>
  <si>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</si>
  <si>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</si>
  <si>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</si>
  <si>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</si>
  <si>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</si>
  <si>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</si>
  <si>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</si>
  <si>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</si>
  <si>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</si>
  <si>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</si>
  <si>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</si>
  <si>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</si>
  <si>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</si>
  <si>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</si>
  <si>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</si>
  <si>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</si>
  <si>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</si>
  <si>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</si>
  <si>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</si>
  <si>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</si>
  <si>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</si>
  <si>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</si>
  <si>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</si>
  <si>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</si>
  <si>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</si>
  <si>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</si>
  <si>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</si>
  <si>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</si>
  <si>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</si>
  <si>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</si>
  <si>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</si>
  <si>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</si>
  <si>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</si>
  <si>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</si>
  <si>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</si>
  <si>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</si>
  <si>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</si>
  <si>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</si>
  <si>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</si>
  <si>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</si>
  <si>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</si>
  <si>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</si>
  <si>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</si>
  <si>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</si>
  <si>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</si>
  <si>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</si>
  <si>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</si>
  <si>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</si>
  <si>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</si>
  <si>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</si>
  <si>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</si>
  <si>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</si>
  <si>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</si>
  <si>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</si>
  <si>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</si>
  <si>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</si>
  <si>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</si>
  <si>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</si>
  <si>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</si>
  <si>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</si>
  <si>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</si>
  <si>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</si>
  <si>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</si>
  <si>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</si>
  <si>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</si>
  <si>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</si>
  <si>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</si>
  <si>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</si>
  <si>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</si>
  <si>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</si>
  <si>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</si>
  <si>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</si>
  <si>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</si>
  <si>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</si>
  <si>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</si>
  <si>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</si>
  <si>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</si>
  <si>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</si>
  <si>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</si>
  <si>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</si>
  <si>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</si>
  <si>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</si>
  <si>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</si>
  <si>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</si>
  <si>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</si>
  <si>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</si>
  <si>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</si>
  <si>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</si>
  <si>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</si>
  <si>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</si>
  <si>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</si>
  <si>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</si>
  <si>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</si>
  <si>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</si>
  <si>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</si>
  <si>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</si>
  <si>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</si>
  <si>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</si>
  <si>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</si>
  <si>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</si>
  <si>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</si>
  <si>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</si>
  <si>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</si>
  <si>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</si>
  <si>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</si>
  <si>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</si>
  <si>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</si>
  <si>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</si>
  <si>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</si>
  <si>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</si>
  <si>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</si>
  <si>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</si>
  <si>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</si>
  <si>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</si>
  <si>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</si>
  <si>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</si>
  <si>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</si>
  <si>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</si>
  <si>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</si>
  <si>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</si>
  <si>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</si>
  <si>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</si>
  <si>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</si>
  <si>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</si>
  <si>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</si>
  <si>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</si>
  <si>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</si>
  <si>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</si>
  <si>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</si>
  <si>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</si>
  <si>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</si>
  <si>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</si>
  <si>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</si>
  <si>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</si>
  <si>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</si>
  <si>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</si>
  <si>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</si>
  <si>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</si>
  <si>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</si>
  <si>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</si>
  <si>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</si>
  <si>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</si>
  <si>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</si>
  <si>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</si>
  <si>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</si>
  <si>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</si>
  <si>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</si>
  <si>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建筑面积</t>
    <phoneticPr fontId="134" type="noConversion"/>
  </si>
  <si>
    <t>地上主体面积</t>
    <phoneticPr fontId="134" type="noConversion"/>
  </si>
  <si>
    <t>地下面积</t>
    <phoneticPr fontId="134" type="noConversion"/>
  </si>
  <si>
    <t>屋面附属用房面积</t>
    <phoneticPr fontId="134" type="noConversion"/>
  </si>
  <si>
    <t>层次</t>
    <phoneticPr fontId="134" type="noConversion"/>
  </si>
  <si>
    <t>附属用房</t>
    <phoneticPr fontId="134" type="noConversion"/>
  </si>
  <si>
    <r>
      <t>6</t>
    </r>
    <r>
      <rPr>
        <sz val="11"/>
        <color theme="1"/>
        <rFont val="宋体"/>
        <family val="3"/>
        <charset val="134"/>
        <scheme val="minor"/>
      </rPr>
      <t>#乘用车油泥模型车间</t>
    </r>
    <phoneticPr fontId="134" type="noConversion"/>
  </si>
  <si>
    <r>
      <t>7</t>
    </r>
    <r>
      <rPr>
        <sz val="11"/>
        <color theme="1"/>
        <rFont val="宋体"/>
        <family val="3"/>
        <charset val="134"/>
        <scheme val="minor"/>
      </rPr>
      <t>#动力电池综合车间</t>
    </r>
    <phoneticPr fontId="134" type="noConversion"/>
  </si>
  <si>
    <t>3#地下车库</t>
    <phoneticPr fontId="134" type="noConversion"/>
  </si>
  <si>
    <r>
      <t>8</t>
    </r>
    <r>
      <rPr>
        <sz val="11"/>
        <color theme="1"/>
        <rFont val="宋体"/>
        <family val="3"/>
        <charset val="134"/>
        <scheme val="minor"/>
      </rPr>
      <t>#楼改装车间、变速箱车间</t>
    </r>
    <phoneticPr fontId="134" type="noConversion"/>
  </si>
  <si>
    <t>9# 楼乘用车油泥模型车间</t>
    <phoneticPr fontId="134" type="noConversion"/>
  </si>
  <si>
    <t>10#楼发动机组装车间</t>
    <phoneticPr fontId="134" type="noConversion"/>
  </si>
  <si>
    <t>人防室外出入口</t>
    <phoneticPr fontId="134" type="noConversion"/>
  </si>
  <si>
    <t>2#地下车库</t>
    <phoneticPr fontId="134" type="noConversion"/>
  </si>
  <si>
    <t>人防工程建筑面积明晰表</t>
    <phoneticPr fontId="134" type="noConversion"/>
  </si>
  <si>
    <t>防护单元一</t>
    <phoneticPr fontId="134" type="noConversion"/>
  </si>
  <si>
    <t>防护单元二</t>
    <phoneticPr fontId="134" type="noConversion"/>
  </si>
  <si>
    <r>
      <t>8</t>
    </r>
    <r>
      <rPr>
        <sz val="11"/>
        <color theme="1"/>
        <rFont val="宋体"/>
        <family val="3"/>
        <charset val="134"/>
        <scheme val="minor"/>
      </rPr>
      <t>#楼改装车间、变速箱车间等5项</t>
    </r>
    <phoneticPr fontId="134" type="noConversion"/>
  </si>
  <si>
    <t>土地证</t>
    <phoneticPr fontId="134" type="noConversion"/>
  </si>
  <si>
    <t>证号</t>
    <phoneticPr fontId="134" type="noConversion"/>
  </si>
  <si>
    <t>权利人</t>
    <phoneticPr fontId="134" type="noConversion"/>
  </si>
  <si>
    <t>共有情况</t>
    <phoneticPr fontId="134" type="noConversion"/>
  </si>
  <si>
    <t>权利类型</t>
    <phoneticPr fontId="134" type="noConversion"/>
  </si>
  <si>
    <t>权利性质</t>
    <phoneticPr fontId="134" type="noConversion"/>
  </si>
  <si>
    <t>面积</t>
    <phoneticPr fontId="134" type="noConversion"/>
  </si>
  <si>
    <t>使用期限</t>
    <phoneticPr fontId="134" type="noConversion"/>
  </si>
  <si>
    <r>
      <t>京（2</t>
    </r>
    <r>
      <rPr>
        <sz val="11"/>
        <color theme="1"/>
        <rFont val="宋体"/>
        <family val="3"/>
        <charset val="134"/>
        <scheme val="minor"/>
      </rPr>
      <t>018）开不动产权第0000024号</t>
    </r>
    <phoneticPr fontId="134" type="noConversion"/>
  </si>
  <si>
    <t>阿尔特企业管理（北京）有限公司</t>
    <phoneticPr fontId="134" type="noConversion"/>
  </si>
  <si>
    <t>单独所有</t>
    <phoneticPr fontId="134" type="noConversion"/>
  </si>
  <si>
    <t>北京经济技术开发区河西区X18-1M2地块</t>
    <phoneticPr fontId="134" type="noConversion"/>
  </si>
  <si>
    <t>坐落</t>
    <phoneticPr fontId="134" type="noConversion"/>
  </si>
  <si>
    <t>出让</t>
    <phoneticPr fontId="134" type="noConversion"/>
  </si>
  <si>
    <t>国有建设用地使用权</t>
    <phoneticPr fontId="134" type="noConversion"/>
  </si>
  <si>
    <t>工业用地</t>
    <phoneticPr fontId="134" type="noConversion"/>
  </si>
  <si>
    <t>京（2021）开不动产权第0016542号</t>
    <phoneticPr fontId="134"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</si>
  <si>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4" type="noConversion"/>
  </si>
  <si>
    <t>国有建设用地使用权/房屋所有权</t>
    <phoneticPr fontId="134" type="noConversion"/>
  </si>
  <si>
    <t>工业用地/试验厂房、油泥模型车间</t>
    <phoneticPr fontId="134" type="noConversion"/>
  </si>
  <si>
    <t>31860/48377.23</t>
    <phoneticPr fontId="134" type="noConversion"/>
  </si>
  <si>
    <t>结构</t>
    <phoneticPr fontId="134" type="noConversion"/>
  </si>
  <si>
    <t>钢筋混凝土结构</t>
    <phoneticPr fontId="134" type="noConversion"/>
  </si>
  <si>
    <t>专有建筑面积</t>
    <phoneticPr fontId="134" type="noConversion"/>
  </si>
  <si>
    <t>房屋总层数</t>
    <phoneticPr fontId="134" type="noConversion"/>
  </si>
  <si>
    <t>所在层</t>
    <phoneticPr fontId="134" type="noConversion"/>
  </si>
  <si>
    <r>
      <t>-</t>
    </r>
    <r>
      <rPr>
        <sz val="11"/>
        <color theme="1"/>
        <rFont val="宋体"/>
        <family val="3"/>
        <charset val="134"/>
        <scheme val="minor"/>
      </rPr>
      <t>2-10</t>
    </r>
    <phoneticPr fontId="134" type="noConversion"/>
  </si>
  <si>
    <t>一、二期不动产权证</t>
    <phoneticPr fontId="134" type="noConversion"/>
  </si>
  <si>
    <t>三、四期竣工多测合一报告</t>
    <phoneticPr fontId="134" type="noConversion"/>
  </si>
  <si>
    <t>地上</t>
    <phoneticPr fontId="134" type="noConversion"/>
  </si>
  <si>
    <t>地下</t>
    <phoneticPr fontId="134" type="noConversion"/>
  </si>
  <si>
    <t>现状楼号</t>
    <phoneticPr fontId="134" type="noConversion"/>
  </si>
  <si>
    <t>人防</t>
    <phoneticPr fontId="134" type="noConversion"/>
  </si>
  <si>
    <t>总面积</t>
    <phoneticPr fontId="134" type="noConversion"/>
  </si>
  <si>
    <t>11、8、7、1、2</t>
    <phoneticPr fontId="134" type="noConversion"/>
  </si>
  <si>
    <t>一二期实测面积</t>
    <phoneticPr fontId="134" type="noConversion"/>
  </si>
  <si>
    <t>一二期证+三四期实测总面积</t>
    <phoneticPr fontId="134" type="noConversion"/>
  </si>
  <si>
    <t>一、二期实测面积</t>
    <phoneticPr fontId="134" type="noConversion"/>
  </si>
  <si>
    <t>竣工面积</t>
    <phoneticPr fontId="134" type="noConversion"/>
  </si>
  <si>
    <t>规划面积</t>
    <phoneticPr fontId="134" type="noConversion"/>
  </si>
  <si>
    <t>二期规划许可证</t>
    <phoneticPr fontId="134" type="noConversion"/>
  </si>
  <si>
    <t>2#楼</t>
    <phoneticPr fontId="134" type="noConversion"/>
  </si>
  <si>
    <t>3#楼</t>
  </si>
  <si>
    <t>4#楼</t>
  </si>
  <si>
    <t>5#楼</t>
  </si>
  <si>
    <t>地下车库</t>
    <phoneticPr fontId="134" type="noConversion"/>
  </si>
  <si>
    <t>地下2-地上3层</t>
    <phoneticPr fontId="134" type="noConversion"/>
  </si>
  <si>
    <t>地下2层</t>
    <phoneticPr fontId="134" type="noConversion"/>
  </si>
  <si>
    <r>
      <t>地下2</t>
    </r>
    <r>
      <rPr>
        <sz val="11"/>
        <color theme="1"/>
        <rFont val="宋体"/>
        <family val="3"/>
        <charset val="134"/>
        <scheme val="minor"/>
      </rPr>
      <t>-地上7层</t>
    </r>
    <phoneticPr fontId="134" type="noConversion"/>
  </si>
  <si>
    <t>地下2-地上5层</t>
    <phoneticPr fontId="134" type="noConversion"/>
  </si>
  <si>
    <t>高层厂房</t>
    <phoneticPr fontId="134" type="noConversion"/>
  </si>
  <si>
    <t>楼号</t>
    <phoneticPr fontId="134" type="noConversion"/>
  </si>
  <si>
    <t>功能</t>
    <phoneticPr fontId="134" type="noConversion"/>
  </si>
  <si>
    <t>地上建筑面积</t>
    <phoneticPr fontId="134" type="noConversion"/>
  </si>
  <si>
    <t>地下建筑面积</t>
    <phoneticPr fontId="134" type="noConversion"/>
  </si>
  <si>
    <t>楼层</t>
    <phoneticPr fontId="134" type="noConversion"/>
  </si>
  <si>
    <t>建筑高度</t>
    <phoneticPr fontId="134" type="noConversion"/>
  </si>
  <si>
    <t>建筑性质</t>
    <phoneticPr fontId="134" type="noConversion"/>
  </si>
  <si>
    <t>一期规划证</t>
    <phoneticPr fontId="134" type="noConversion"/>
  </si>
  <si>
    <r>
      <t>1</t>
    </r>
    <r>
      <rPr>
        <sz val="11"/>
        <color theme="1"/>
        <rFont val="宋体"/>
        <family val="3"/>
        <charset val="134"/>
        <scheme val="minor"/>
      </rPr>
      <t>#楼</t>
    </r>
    <phoneticPr fontId="134" type="noConversion"/>
  </si>
  <si>
    <t>阿尔特大楼</t>
    <phoneticPr fontId="134" type="noConversion"/>
  </si>
  <si>
    <t>地下2-地上10层</t>
    <phoneticPr fontId="134" type="noConversion"/>
  </si>
  <si>
    <t>试验厂房及连廊</t>
    <phoneticPr fontId="134" type="noConversion"/>
  </si>
  <si>
    <t>乘用车油泥模型车间</t>
    <phoneticPr fontId="134" type="noConversion"/>
  </si>
  <si>
    <t>卡、货车油泥模型车间</t>
    <phoneticPr fontId="134" type="noConversion"/>
  </si>
  <si>
    <t>1#地下车库</t>
    <phoneticPr fontId="134" type="noConversion"/>
  </si>
  <si>
    <t>三期规划许可证</t>
    <phoneticPr fontId="134" type="noConversion"/>
  </si>
  <si>
    <t>8#楼</t>
    <phoneticPr fontId="134" type="noConversion"/>
  </si>
  <si>
    <t>9#楼</t>
  </si>
  <si>
    <t>10#楼</t>
  </si>
  <si>
    <t>其他</t>
    <phoneticPr fontId="134" type="noConversion"/>
  </si>
  <si>
    <r>
      <t>2</t>
    </r>
    <r>
      <rPr>
        <sz val="11"/>
        <color theme="1"/>
        <rFont val="宋体"/>
        <family val="3"/>
        <charset val="134"/>
        <scheme val="minor"/>
      </rPr>
      <t>#地下车库</t>
    </r>
    <phoneticPr fontId="134" type="noConversion"/>
  </si>
  <si>
    <t>改装车间、变速箱车间</t>
    <phoneticPr fontId="134" type="noConversion"/>
  </si>
  <si>
    <t>发动机组装车间</t>
    <phoneticPr fontId="134" type="noConversion"/>
  </si>
  <si>
    <t>人防室外出入口</t>
    <phoneticPr fontId="134" type="noConversion"/>
  </si>
  <si>
    <t>地下2-地上9层</t>
    <phoneticPr fontId="134" type="noConversion"/>
  </si>
  <si>
    <t>地下2-地上1层</t>
    <phoneticPr fontId="134" type="noConversion"/>
  </si>
  <si>
    <t>四期规划许可证</t>
    <phoneticPr fontId="134" type="noConversion"/>
  </si>
  <si>
    <t>6#楼</t>
    <phoneticPr fontId="134" type="noConversion"/>
  </si>
  <si>
    <t>7#楼</t>
    <phoneticPr fontId="134" type="noConversion"/>
  </si>
  <si>
    <t>动力电池综合车间</t>
    <phoneticPr fontId="134" type="noConversion"/>
  </si>
  <si>
    <t>基础埋深</t>
    <phoneticPr fontId="134"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</si>
  <si>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</si>
  <si>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</si>
  <si>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</si>
  <si>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</si>
  <si>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</si>
  <si>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</si>
  <si>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</si>
  <si>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</si>
  <si>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</si>
  <si>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</si>
  <si>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</si>
  <si>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</si>
  <si>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</si>
  <si>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</si>
  <si>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</si>
  <si>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</si>
  <si>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</si>
  <si>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</si>
  <si>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</si>
  <si>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4" type="noConversion"/>
  </si>
  <si>
    <t>地下车库及设备用房</t>
    <phoneticPr fontId="134" type="noConversion"/>
  </si>
  <si>
    <t>11#楼</t>
  </si>
  <si>
    <t>地下车库</t>
    <phoneticPr fontId="134" type="noConversion"/>
  </si>
  <si>
    <t>建筑面积合计</t>
    <phoneticPr fontId="134" type="noConversion"/>
  </si>
  <si>
    <r>
      <t>地库-</t>
    </r>
    <r>
      <rPr>
        <sz val="11"/>
        <color theme="1"/>
        <rFont val="宋体"/>
        <family val="3"/>
        <charset val="134"/>
        <scheme val="minor"/>
      </rPr>
      <t>9.90，局部-12.30</t>
    </r>
    <phoneticPr fontId="134" type="noConversion"/>
  </si>
  <si>
    <t>人防工程设计方案指标明细表</t>
    <phoneticPr fontId="134" type="noConversion"/>
  </si>
  <si>
    <t>实测阶段</t>
    <phoneticPr fontId="134" type="noConversion"/>
  </si>
  <si>
    <t>新申报</t>
    <phoneticPr fontId="134" type="noConversion"/>
  </si>
  <si>
    <t>所在建筑楼号及位置</t>
    <phoneticPr fontId="134" type="noConversion"/>
  </si>
  <si>
    <t>10#楼地下二层</t>
    <phoneticPr fontId="134" type="noConversion"/>
  </si>
  <si>
    <t>10#楼东侧地库地下二层</t>
    <phoneticPr fontId="134" type="noConversion"/>
  </si>
  <si>
    <t>防护单元编号</t>
    <phoneticPr fontId="134" type="noConversion"/>
  </si>
  <si>
    <t>占时主要出入口编号</t>
    <phoneticPr fontId="134" type="noConversion"/>
  </si>
  <si>
    <t>战时功能</t>
    <phoneticPr fontId="134" type="noConversion"/>
  </si>
  <si>
    <t>平时用途</t>
    <phoneticPr fontId="134" type="noConversion"/>
  </si>
  <si>
    <t>抗力等级</t>
    <phoneticPr fontId="134" type="noConversion"/>
  </si>
  <si>
    <t>人防工程建筑面积（㎡）</t>
    <phoneticPr fontId="134" type="noConversion"/>
  </si>
  <si>
    <t>人防工程地上建筑面积</t>
    <phoneticPr fontId="134" type="noConversion"/>
  </si>
  <si>
    <t>人防管理用房建筑面积</t>
    <phoneticPr fontId="134" type="noConversion"/>
  </si>
  <si>
    <t>地上其他部分建筑面积</t>
    <phoneticPr fontId="134" type="noConversion"/>
  </si>
  <si>
    <t>人防工程地下建筑面积</t>
    <phoneticPr fontId="134" type="noConversion"/>
  </si>
  <si>
    <t>人防防护区建筑面积</t>
    <phoneticPr fontId="134" type="noConversion"/>
  </si>
  <si>
    <t>地下其他部分建筑面积</t>
    <phoneticPr fontId="134" type="noConversion"/>
  </si>
  <si>
    <t>二等人员掩蔽所</t>
    <phoneticPr fontId="134" type="noConversion"/>
  </si>
  <si>
    <t>汽车库</t>
    <phoneticPr fontId="134" type="noConversion"/>
  </si>
  <si>
    <t>甲六</t>
    <phoneticPr fontId="134" type="noConversion"/>
  </si>
  <si>
    <t>——</t>
    <phoneticPr fontId="134" type="noConversion"/>
  </si>
  <si>
    <t>合计</t>
    <phoneticPr fontId="134" type="noConversion"/>
  </si>
  <si>
    <t>高层厂房</t>
    <phoneticPr fontId="134" type="noConversion"/>
  </si>
  <si>
    <t>备注</t>
    <phoneticPr fontId="134" type="noConversion"/>
  </si>
  <si>
    <t>已经报规项目</t>
    <phoneticPr fontId="134" type="noConversion"/>
  </si>
  <si>
    <t>本次报规项目</t>
    <phoneticPr fontId="134" type="noConversion"/>
  </si>
  <si>
    <t>一期规划许可证</t>
    <phoneticPr fontId="134"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</si>
  <si>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4" type="noConversion"/>
  </si>
  <si>
    <r>
      <t>含人防工程3</t>
    </r>
    <r>
      <rPr>
        <sz val="11"/>
        <color theme="1"/>
        <rFont val="宋体"/>
        <family val="3"/>
        <charset val="134"/>
        <scheme val="minor"/>
      </rPr>
      <t>750.3㎡</t>
    </r>
    <phoneticPr fontId="134" type="noConversion"/>
  </si>
  <si>
    <t>四期规划许可证</t>
    <phoneticPr fontId="134" type="noConversion"/>
  </si>
  <si>
    <r>
      <t>1</t>
    </r>
    <r>
      <rPr>
        <sz val="11"/>
        <color theme="1"/>
        <rFont val="宋体"/>
        <family val="3"/>
        <charset val="134"/>
        <scheme val="minor"/>
      </rPr>
      <t>1号楼</t>
    </r>
    <phoneticPr fontId="134" type="noConversion"/>
  </si>
  <si>
    <t>4号楼</t>
    <phoneticPr fontId="134" type="noConversion"/>
  </si>
  <si>
    <t>3号楼</t>
    <phoneticPr fontId="134" type="noConversion"/>
  </si>
  <si>
    <r>
      <t>1</t>
    </r>
    <r>
      <rPr>
        <sz val="11"/>
        <color theme="1"/>
        <rFont val="宋体"/>
        <family val="3"/>
        <charset val="134"/>
        <scheme val="minor"/>
      </rPr>
      <t>0号楼</t>
    </r>
    <phoneticPr fontId="134" type="noConversion"/>
  </si>
  <si>
    <t>5号楼</t>
    <phoneticPr fontId="134" type="noConversion"/>
  </si>
  <si>
    <t>6号楼</t>
    <phoneticPr fontId="134" type="noConversion"/>
  </si>
  <si>
    <t>8号楼</t>
    <phoneticPr fontId="134" type="noConversion"/>
  </si>
  <si>
    <t>7号楼</t>
    <phoneticPr fontId="134" type="noConversion"/>
  </si>
  <si>
    <t>1号楼</t>
    <phoneticPr fontId="134" type="noConversion"/>
  </si>
  <si>
    <t>2号楼</t>
    <phoneticPr fontId="134" type="noConversion"/>
  </si>
  <si>
    <t>一二期规划许可证</t>
    <phoneticPr fontId="134" type="noConversion"/>
  </si>
  <si>
    <t>地上面积</t>
    <phoneticPr fontId="134" type="noConversion"/>
  </si>
  <si>
    <t>地下面积</t>
    <phoneticPr fontId="134" type="noConversion"/>
  </si>
  <si>
    <t>地上地下总计</t>
    <phoneticPr fontId="134" type="noConversion"/>
  </si>
  <si>
    <t>每层面积</t>
    <phoneticPr fontId="134" type="noConversion"/>
  </si>
  <si>
    <t>建安取值</t>
    <phoneticPr fontId="134" type="noConversion"/>
  </si>
  <si>
    <t>面积占比</t>
    <phoneticPr fontId="134" type="noConversion"/>
  </si>
  <si>
    <t>是</t>
  </si>
  <si>
    <t>工业项目</t>
  </si>
  <si>
    <t>现房</t>
  </si>
  <si>
    <t>在建</t>
  </si>
  <si>
    <t>一、二期</t>
    <phoneticPr fontId="3" type="noConversion"/>
  </si>
  <si>
    <t>三、四期</t>
    <phoneticPr fontId="3" type="noConversion"/>
  </si>
  <si>
    <t>地上</t>
  </si>
  <si>
    <t>地下</t>
  </si>
  <si>
    <t>竣工多测合一</t>
    <phoneticPr fontId="3" type="noConversion"/>
  </si>
  <si>
    <t>成新度</t>
  </si>
  <si>
    <t>竣工日期</t>
    <phoneticPr fontId="3" type="noConversion"/>
  </si>
  <si>
    <t>直线</t>
    <phoneticPr fontId="3" type="noConversion"/>
  </si>
  <si>
    <t>出租方</t>
    <phoneticPr fontId="134" type="noConversion"/>
  </si>
  <si>
    <t>承租方</t>
    <phoneticPr fontId="134" type="noConversion"/>
  </si>
  <si>
    <t>阿尔特汽车技术股份有限公司</t>
    <phoneticPr fontId="134" type="noConversion"/>
  </si>
  <si>
    <t>租赁面积</t>
    <phoneticPr fontId="134" type="noConversion"/>
  </si>
  <si>
    <t>位置（房号）</t>
    <phoneticPr fontId="134" type="noConversion"/>
  </si>
  <si>
    <t>层高（米）</t>
    <phoneticPr fontId="134" type="noConversion"/>
  </si>
  <si>
    <t>计租面积（以建筑面积为准）</t>
    <phoneticPr fontId="134" type="noConversion"/>
  </si>
  <si>
    <r>
      <t>计租单价（元/天</t>
    </r>
    <r>
      <rPr>
        <sz val="11"/>
        <color theme="1"/>
        <rFont val="宋体"/>
        <family val="3"/>
        <charset val="134"/>
        <scheme val="minor"/>
      </rPr>
      <t>/平方米）</t>
    </r>
    <phoneticPr fontId="134" type="noConversion"/>
  </si>
  <si>
    <r>
      <t>不含8</t>
    </r>
    <r>
      <rPr>
        <sz val="11"/>
        <color theme="1"/>
        <rFont val="宋体"/>
        <family val="3"/>
        <charset val="134"/>
        <scheme val="minor"/>
      </rPr>
      <t>000㎡的免租面积</t>
    </r>
    <phoneticPr fontId="134" type="noConversion"/>
  </si>
  <si>
    <t>租赁期限</t>
    <phoneticPr fontId="134" type="noConversion"/>
  </si>
  <si>
    <r>
      <t>2</t>
    </r>
    <r>
      <rPr>
        <sz val="11"/>
        <color theme="1"/>
        <rFont val="宋体"/>
        <family val="3"/>
        <charset val="134"/>
        <scheme val="minor"/>
      </rPr>
      <t>020.11.1-2040.10.31</t>
    </r>
    <phoneticPr fontId="134" type="noConversion"/>
  </si>
  <si>
    <r>
      <t>2</t>
    </r>
    <r>
      <rPr>
        <sz val="11"/>
        <color theme="1"/>
        <rFont val="宋体"/>
        <family val="3"/>
        <charset val="134"/>
        <scheme val="minor"/>
      </rPr>
      <t>020.11.1-2021.10.31</t>
    </r>
    <phoneticPr fontId="134" type="noConversion"/>
  </si>
  <si>
    <r>
      <t>2</t>
    </r>
    <r>
      <rPr>
        <sz val="11"/>
        <color theme="1"/>
        <rFont val="宋体"/>
        <family val="3"/>
        <charset val="134"/>
        <scheme val="minor"/>
      </rPr>
      <t>021.11.1-2022.10.31</t>
    </r>
    <phoneticPr fontId="134" type="noConversion"/>
  </si>
  <si>
    <r>
      <t>2</t>
    </r>
    <r>
      <rPr>
        <sz val="11"/>
        <color theme="1"/>
        <rFont val="宋体"/>
        <family val="3"/>
        <charset val="134"/>
        <scheme val="minor"/>
      </rPr>
      <t>022.11.1-2023.10.31</t>
    </r>
    <phoneticPr fontId="134" type="noConversion"/>
  </si>
  <si>
    <t>2023.11.1-2024.10.31</t>
    <phoneticPr fontId="134" type="noConversion"/>
  </si>
  <si>
    <t>2024.11.1-2025.10.31</t>
    <phoneticPr fontId="134" type="noConversion"/>
  </si>
  <si>
    <t>2026.11.1-2027-10.31</t>
    <phoneticPr fontId="134" type="noConversion"/>
  </si>
  <si>
    <t>2025.11.1-2026.10.31</t>
    <phoneticPr fontId="134" type="noConversion"/>
  </si>
  <si>
    <t>2027.11.1-2028.10.31</t>
    <phoneticPr fontId="134" type="noConversion"/>
  </si>
  <si>
    <t>2028.11.1-2029.10.31</t>
    <phoneticPr fontId="134" type="noConversion"/>
  </si>
  <si>
    <t>2029.11.1-2030.10.31</t>
    <phoneticPr fontId="134" type="noConversion"/>
  </si>
  <si>
    <t>年</t>
    <phoneticPr fontId="134" type="noConversion"/>
  </si>
  <si>
    <t>25456294.93</t>
    <phoneticPr fontId="134" type="noConversion"/>
  </si>
  <si>
    <r>
      <t>2</t>
    </r>
    <r>
      <rPr>
        <sz val="11"/>
        <color theme="1"/>
        <rFont val="宋体"/>
        <family val="3"/>
        <charset val="134"/>
        <scheme val="minor"/>
      </rPr>
      <t>6729109.68</t>
    </r>
    <phoneticPr fontId="134" type="noConversion"/>
  </si>
  <si>
    <r>
      <t>2</t>
    </r>
    <r>
      <rPr>
        <sz val="11"/>
        <color theme="1"/>
        <rFont val="宋体"/>
        <family val="3"/>
        <charset val="134"/>
        <scheme val="minor"/>
      </rPr>
      <t>8065565.16</t>
    </r>
    <phoneticPr fontId="134" type="noConversion"/>
  </si>
  <si>
    <r>
      <t>2</t>
    </r>
    <r>
      <rPr>
        <sz val="11"/>
        <color theme="1"/>
        <rFont val="宋体"/>
        <family val="3"/>
        <charset val="134"/>
        <scheme val="minor"/>
      </rPr>
      <t>9468843.42</t>
    </r>
    <phoneticPr fontId="134" type="noConversion"/>
  </si>
  <si>
    <r>
      <t>3</t>
    </r>
    <r>
      <rPr>
        <sz val="11"/>
        <color theme="1"/>
        <rFont val="宋体"/>
        <family val="3"/>
        <charset val="134"/>
        <scheme val="minor"/>
      </rPr>
      <t>0942285.59</t>
    </r>
    <phoneticPr fontId="134" type="noConversion"/>
  </si>
  <si>
    <r>
      <t>3</t>
    </r>
    <r>
      <rPr>
        <sz val="11"/>
        <color theme="1"/>
        <rFont val="宋体"/>
        <family val="3"/>
        <charset val="134"/>
        <scheme val="minor"/>
      </rPr>
      <t>2489399.86</t>
    </r>
    <phoneticPr fontId="134" type="noConversion"/>
  </si>
  <si>
    <t>自第8年开始，租金基数不变，租金递增比例由双方另行协商确定</t>
    <phoneticPr fontId="134" type="noConversion"/>
  </si>
  <si>
    <t>增长率</t>
    <phoneticPr fontId="134" type="noConversion"/>
  </si>
  <si>
    <t>平均租金</t>
    <phoneticPr fontId="134" type="noConversion"/>
  </si>
  <si>
    <r>
      <t>2</t>
    </r>
    <r>
      <rPr>
        <sz val="11"/>
        <color theme="1"/>
        <rFont val="宋体"/>
        <family val="3"/>
        <charset val="134"/>
        <scheme val="minor"/>
      </rPr>
      <t>0年</t>
    </r>
    <phoneticPr fontId="134" type="noConversion"/>
  </si>
  <si>
    <t>宗地容积率</t>
  </si>
  <si>
    <t>较好</t>
  </si>
  <si>
    <t>一般</t>
  </si>
  <si>
    <t>否</t>
  </si>
  <si>
    <t>钢混</t>
  </si>
  <si>
    <t>非生产用房</t>
  </si>
  <si>
    <t>Ⅶ-BDA南</t>
  </si>
  <si>
    <t>好</t>
  </si>
  <si>
    <t>未包含在土地购买价格中</t>
  </si>
  <si>
    <t>主体</t>
    <phoneticPr fontId="134" type="noConversion"/>
  </si>
  <si>
    <t>装修</t>
    <phoneticPr fontId="134" type="noConversion"/>
  </si>
  <si>
    <t>设备</t>
    <phoneticPr fontId="134" type="noConversion"/>
  </si>
  <si>
    <t>车库</t>
    <phoneticPr fontId="7" type="noConversion"/>
  </si>
  <si>
    <t>收益法</t>
  </si>
  <si>
    <t>收益法 车库</t>
  </si>
  <si>
    <t>收益法 车库</t>
    <phoneticPr fontId="16" type="noConversion"/>
  </si>
  <si>
    <t>电梯数量</t>
    <phoneticPr fontId="134" type="noConversion"/>
  </si>
  <si>
    <t>楼号</t>
    <phoneticPr fontId="134" type="noConversion"/>
  </si>
  <si>
    <t>车库数量</t>
    <phoneticPr fontId="134" type="noConversion"/>
  </si>
  <si>
    <t>一二期规划</t>
    <phoneticPr fontId="134" type="noConversion"/>
  </si>
  <si>
    <t>三四期规划</t>
    <phoneticPr fontId="134" type="noConversion"/>
  </si>
  <si>
    <t>土地使用税（年）</t>
    <phoneticPr fontId="134" type="noConversion"/>
  </si>
  <si>
    <t>一二期原值</t>
    <phoneticPr fontId="134" type="noConversion"/>
  </si>
  <si>
    <t>成本法</t>
  </si>
  <si>
    <t>收益法（汇总）</t>
  </si>
  <si>
    <t>总价</t>
  </si>
  <si>
    <t>成本比率</t>
  </si>
  <si>
    <t>情况3</t>
  </si>
  <si>
    <t>正常</t>
  </si>
  <si>
    <t>自行开发建设</t>
  </si>
  <si>
    <t>非个人房产</t>
  </si>
  <si>
    <t>土地原值</t>
    <phoneticPr fontId="134" type="noConversion"/>
  </si>
  <si>
    <t>出让金</t>
    <phoneticPr fontId="134" type="noConversion"/>
  </si>
  <si>
    <t>开发费</t>
    <phoneticPr fontId="134" type="noConversion"/>
  </si>
  <si>
    <t>出让金+开发费</t>
  </si>
  <si>
    <t>企业提供（在右侧录入）</t>
  </si>
  <si>
    <t>已全部缴纳</t>
  </si>
  <si>
    <t>办公</t>
    <phoneticPr fontId="7" type="noConversion"/>
  </si>
  <si>
    <t>车位个数</t>
    <phoneticPr fontId="134" type="noConversion"/>
  </si>
  <si>
    <t>不含人防</t>
    <phoneticPr fontId="134" type="noConversion"/>
  </si>
  <si>
    <t>现状楼号</t>
    <phoneticPr fontId="134"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</si>
  <si>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</si>
  <si>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</si>
  <si>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</si>
  <si>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</si>
  <si>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</si>
  <si>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</si>
  <si>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</si>
  <si>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</si>
  <si>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4" type="noConversion"/>
  </si>
  <si>
    <r>
      <t>8</t>
    </r>
    <r>
      <rPr>
        <sz val="11"/>
        <color theme="1"/>
        <rFont val="宋体"/>
        <family val="3"/>
        <charset val="134"/>
        <scheme val="minor"/>
      </rPr>
      <t>号楼</t>
    </r>
    <phoneticPr fontId="134" type="noConversion"/>
  </si>
  <si>
    <r>
      <t>7</t>
    </r>
    <r>
      <rPr>
        <sz val="11"/>
        <color theme="1"/>
        <rFont val="宋体"/>
        <family val="3"/>
        <charset val="134"/>
        <scheme val="minor"/>
      </rPr>
      <t>号楼</t>
    </r>
    <phoneticPr fontId="134" type="noConversion"/>
  </si>
  <si>
    <t>1号楼</t>
    <phoneticPr fontId="134" type="noConversion"/>
  </si>
  <si>
    <t>2号楼</t>
    <phoneticPr fontId="134" type="noConversion"/>
  </si>
  <si>
    <t>3号楼</t>
    <phoneticPr fontId="134" type="noConversion"/>
  </si>
  <si>
    <t>4号楼</t>
    <phoneticPr fontId="134" type="noConversion"/>
  </si>
  <si>
    <t>5号楼</t>
    <phoneticPr fontId="134" type="noConversion"/>
  </si>
  <si>
    <t>6号楼</t>
    <phoneticPr fontId="134" type="noConversion"/>
  </si>
  <si>
    <r>
      <t>1</t>
    </r>
    <r>
      <rPr>
        <sz val="11"/>
        <color theme="1"/>
        <rFont val="宋体"/>
        <family val="3"/>
        <charset val="134"/>
        <scheme val="minor"/>
      </rPr>
      <t>0号楼</t>
    </r>
    <phoneticPr fontId="134" type="noConversion"/>
  </si>
  <si>
    <t>现状楼号</t>
    <phoneticPr fontId="134" type="noConversion"/>
  </si>
  <si>
    <r>
      <t>1</t>
    </r>
    <r>
      <rPr>
        <sz val="11"/>
        <color theme="1"/>
        <rFont val="宋体"/>
        <family val="3"/>
        <charset val="134"/>
        <scheme val="minor"/>
      </rPr>
      <t>1号楼</t>
    </r>
    <phoneticPr fontId="134" type="noConversion"/>
  </si>
  <si>
    <t>8号楼</t>
    <phoneticPr fontId="134" type="noConversion"/>
  </si>
  <si>
    <t>7号楼</t>
    <phoneticPr fontId="134" type="noConversion"/>
  </si>
  <si>
    <t>规划楼号</t>
    <phoneticPr fontId="134" type="noConversion"/>
  </si>
  <si>
    <t>层高</t>
    <phoneticPr fontId="134" type="noConversion"/>
  </si>
  <si>
    <t>建安取值</t>
    <phoneticPr fontId="134" type="noConversion"/>
  </si>
  <si>
    <t>建安总额</t>
    <phoneticPr fontId="134" type="noConversion"/>
  </si>
  <si>
    <t>地上建安取值</t>
    <phoneticPr fontId="134" type="noConversion"/>
  </si>
  <si>
    <t>地下车库建安取值</t>
    <phoneticPr fontId="134" type="noConversion"/>
  </si>
  <si>
    <t>地上建安平均值</t>
    <phoneticPr fontId="134" type="noConversion"/>
  </si>
  <si>
    <t>租金</t>
    <phoneticPr fontId="134" type="noConversion"/>
  </si>
  <si>
    <r>
      <t>1</t>
    </r>
    <r>
      <rPr>
        <sz val="11"/>
        <color theme="1"/>
        <rFont val="宋体"/>
        <family val="3"/>
        <charset val="134"/>
        <scheme val="minor"/>
      </rPr>
      <t>-5层</t>
    </r>
    <phoneticPr fontId="134" type="noConversion"/>
  </si>
  <si>
    <t>1-5层</t>
    <phoneticPr fontId="134" type="noConversion"/>
  </si>
  <si>
    <t>1层</t>
    <phoneticPr fontId="134" type="noConversion"/>
  </si>
  <si>
    <r>
      <t>2</t>
    </r>
    <r>
      <rPr>
        <sz val="11"/>
        <color theme="1"/>
        <rFont val="宋体"/>
        <family val="3"/>
        <charset val="134"/>
        <scheme val="minor"/>
      </rPr>
      <t>-7层</t>
    </r>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</si>
  <si>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</si>
  <si>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-2层</t>
    </r>
    <phoneticPr fontId="134" type="noConversion"/>
  </si>
  <si>
    <r>
      <t>3</t>
    </r>
    <r>
      <rPr>
        <sz val="11"/>
        <color theme="1"/>
        <rFont val="宋体"/>
        <family val="3"/>
        <charset val="134"/>
        <scheme val="minor"/>
      </rPr>
      <t>-10层</t>
    </r>
    <phoneticPr fontId="134" type="noConversion"/>
  </si>
  <si>
    <t>根据层高分别取租金</t>
    <phoneticPr fontId="134" type="noConversion"/>
  </si>
  <si>
    <t>面积</t>
    <phoneticPr fontId="134" type="noConversion"/>
  </si>
  <si>
    <t>楼层</t>
    <phoneticPr fontId="134" type="noConversion"/>
  </si>
  <si>
    <t>合计租金</t>
    <phoneticPr fontId="134" type="noConversion"/>
  </si>
  <si>
    <t>人防车库</t>
    <phoneticPr fontId="134" type="noConversion"/>
  </si>
  <si>
    <t>押一</t>
  </si>
  <si>
    <t>为四期全部价值</t>
    <phoneticPr fontId="8" type="noConversion"/>
  </si>
  <si>
    <t>三、四期原值</t>
    <phoneticPr fontId="134" type="noConversion"/>
  </si>
  <si>
    <t>地上平均租金</t>
    <phoneticPr fontId="134" type="noConversion"/>
  </si>
  <si>
    <t>由于产权证上无分栋面积，实测报告上只有5栋楼的分层面积，所以建安根据规划许可证和实测的比例分栋取建安，建安的取值面积以规划面积为准</t>
    <phoneticPr fontId="134" type="noConversion"/>
  </si>
  <si>
    <t>不含人防面积</t>
    <phoneticPr fontId="134" type="noConversion"/>
  </si>
  <si>
    <t>三期</t>
    <phoneticPr fontId="134" type="noConversion"/>
  </si>
  <si>
    <t>四期</t>
    <phoneticPr fontId="134" type="noConversion"/>
  </si>
  <si>
    <t>三、四期总计</t>
    <phoneticPr fontId="134" type="noConversion"/>
  </si>
  <si>
    <t>原值合计</t>
    <phoneticPr fontId="134" type="noConversion"/>
  </si>
  <si>
    <t>三、四期不含人防车库</t>
    <phoneticPr fontId="134" type="noConversion"/>
  </si>
  <si>
    <t>单层面积</t>
    <phoneticPr fontId="134" type="noConversion"/>
  </si>
  <si>
    <r>
      <t>1层</t>
    </r>
    <r>
      <rPr>
        <sz val="11"/>
        <color theme="1"/>
        <rFont val="宋体"/>
        <family val="3"/>
        <charset val="134"/>
        <scheme val="minor"/>
      </rPr>
      <t>8.3米</t>
    </r>
    <phoneticPr fontId="134" type="noConversion"/>
  </si>
  <si>
    <r>
      <t>2</t>
    </r>
    <r>
      <rPr>
        <sz val="11"/>
        <color theme="1"/>
        <rFont val="宋体"/>
        <family val="3"/>
        <charset val="134"/>
        <scheme val="minor"/>
      </rPr>
      <t>-7层6米</t>
    </r>
    <phoneticPr fontId="134" type="noConversion"/>
  </si>
  <si>
    <r>
      <t>1</t>
    </r>
    <r>
      <rPr>
        <sz val="11"/>
        <color theme="1"/>
        <rFont val="宋体"/>
        <family val="3"/>
        <charset val="134"/>
        <scheme val="minor"/>
      </rPr>
      <t>-2层6米</t>
    </r>
    <phoneticPr fontId="134" type="noConversion"/>
  </si>
  <si>
    <r>
      <t>3</t>
    </r>
    <r>
      <rPr>
        <sz val="11"/>
        <color theme="1"/>
        <rFont val="宋体"/>
        <family val="3"/>
        <charset val="134"/>
        <scheme val="minor"/>
      </rPr>
      <t>-7层5.8米</t>
    </r>
    <phoneticPr fontId="134" type="noConversion"/>
  </si>
  <si>
    <r>
      <t>3</t>
    </r>
    <r>
      <rPr>
        <sz val="11"/>
        <color theme="1"/>
        <rFont val="宋体"/>
        <family val="3"/>
        <charset val="134"/>
        <scheme val="minor"/>
      </rPr>
      <t>-9层4.5米</t>
    </r>
    <phoneticPr fontId="134" type="noConversion"/>
  </si>
  <si>
    <t>据产权方介绍未缴纳</t>
    <phoneticPr fontId="3" type="noConversion"/>
  </si>
  <si>
    <t>三四期应付未付款项</t>
    <phoneticPr fontId="134" type="noConversion"/>
  </si>
  <si>
    <t>万元</t>
    <phoneticPr fontId="134" type="noConversion"/>
  </si>
  <si>
    <t>按照产权方给的应付未付款项扣减</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</si>
</sst>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5"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5" fillId="0" borderId="1" xfId="0" applyNumberFormat="1" applyFont="1" applyBorder="1">
      <alignment vertical="center"/>
    </xf>
    <xf numFmtId="0" fontId="95" fillId="5" borderId="0" xfId="0" applyFont="1" applyFill="1" applyAlignment="1">
      <alignment vertical="center" wrapText="1"/>
    </xf>
    <xf numFmtId="0" fontId="95" fillId="5" borderId="0" xfId="0" applyFont="1" applyFill="1">
      <alignment vertical="center"/>
    </xf>
    <xf numFmtId="0" fontId="95"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5" fillId="5" borderId="1" xfId="0" applyFont="1" applyFill="1" applyBorder="1">
      <alignment vertical="center"/>
    </xf>
    <xf numFmtId="0" fontId="0" fillId="5" borderId="1" xfId="0" applyFill="1" applyBorder="1">
      <alignment vertical="center"/>
    </xf>
    <xf numFmtId="0" fontId="95" fillId="9" borderId="0" xfId="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95" fillId="0" borderId="0" xfId="0" applyFont="1" applyAlignment="1">
      <alignment vertical="center" wrapText="1"/>
    </xf>
    <xf numFmtId="49" fontId="0" fillId="0" borderId="0" xfId="0" applyNumberFormat="1" applyAlignment="1">
      <alignment vertical="center" wrapText="1"/>
    </xf>
    <xf numFmtId="49" fontId="95"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5" fillId="0" borderId="0" xfId="0" applyNumberFormat="1" applyFont="1">
      <alignment vertical="center"/>
    </xf>
    <xf numFmtId="49" fontId="95"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8" fillId="0" borderId="0" xfId="17" applyNumberFormat="1" applyFont="1" applyAlignment="1">
      <alignment horizontal="left" vertical="center" wrapText="1"/>
    </xf>
    <xf numFmtId="0" fontId="77" fillId="5" borderId="3" xfId="0" applyFont="1" applyFill="1" applyBorder="1" applyAlignment="1" applyProtection="1">
      <alignment horizontal="center" vertical="center" wrapText="1"/>
      <protection locked="0"/>
    </xf>
    <xf numFmtId="2" fontId="44" fillId="0" borderId="23" xfId="0" applyNumberFormat="1" applyFont="1" applyBorder="1" applyAlignment="1" applyProtection="1">
      <alignment horizontal="center" vertical="center"/>
      <protection locked="0"/>
    </xf>
    <xf numFmtId="177" fontId="139"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5" fillId="12" borderId="1" xfId="0" applyFont="1" applyFill="1" applyBorder="1">
      <alignment vertical="center"/>
    </xf>
    <xf numFmtId="0" fontId="270" fillId="0" borderId="0" xfId="0" applyFont="1">
      <alignment vertical="center"/>
    </xf>
    <xf numFmtId="0" fontId="0" fillId="5" borderId="0" xfId="0" applyFill="1" applyAlignment="1">
      <alignment vertical="center" wrapText="1"/>
    </xf>
    <xf numFmtId="0" fontId="98" fillId="5" borderId="0" xfId="17" applyNumberFormat="1" applyFont="1" applyFill="1" applyAlignment="1">
      <alignment horizontal="left" vertical="center" wrapText="1"/>
    </xf>
    <xf numFmtId="0" fontId="95" fillId="0" borderId="5" xfId="0" applyFont="1" applyBorder="1">
      <alignment vertical="center"/>
    </xf>
    <xf numFmtId="0" fontId="0" fillId="0" borderId="5" xfId="0" applyBorder="1">
      <alignment vertical="center"/>
    </xf>
    <xf numFmtId="0" fontId="95" fillId="0" borderId="1" xfId="0" applyFont="1" applyBorder="1" applyAlignment="1">
      <alignment horizontal="center" vertical="center" wrapText="1"/>
    </xf>
    <xf numFmtId="0" fontId="47" fillId="8" borderId="13" xfId="0" applyFont="1" applyFill="1" applyBorder="1">
      <alignment vertical="center"/>
    </xf>
    <xf numFmtId="0" fontId="271" fillId="6" borderId="0" xfId="0" applyFont="1" applyFill="1">
      <alignment vertical="center"/>
    </xf>
    <xf numFmtId="0" fontId="95" fillId="22" borderId="0" xfId="0" applyFont="1" applyFill="1">
      <alignment vertical="center"/>
    </xf>
    <xf numFmtId="0" fontId="0" fillId="22" borderId="0" xfId="0" applyFill="1">
      <alignment vertical="center"/>
    </xf>
    <xf numFmtId="0" fontId="95" fillId="22" borderId="0" xfId="0" applyFont="1" applyFill="1" applyAlignment="1">
      <alignment vertical="center" wrapText="1"/>
    </xf>
    <xf numFmtId="0" fontId="95"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5" fillId="5" borderId="15" xfId="0" applyFont="1" applyFill="1" applyBorder="1">
      <alignment vertical="center"/>
    </xf>
    <xf numFmtId="0" fontId="95"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5" fillId="23" borderId="1" xfId="0" applyFont="1" applyFill="1" applyBorder="1">
      <alignment vertical="center"/>
    </xf>
    <xf numFmtId="0" fontId="0" fillId="23" borderId="1" xfId="0" applyFill="1" applyBorder="1">
      <alignment vertical="center"/>
    </xf>
    <xf numFmtId="0" fontId="95" fillId="23" borderId="1" xfId="0" applyFon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0" fillId="0" borderId="0" xfId="0"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0" fontId="0" fillId="0" borderId="0" xfId="0"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5" fillId="0" borderId="5" xfId="0" applyFont="1" applyBorder="1" applyAlignment="1">
      <alignment horizontal="center" vertical="center" wrapText="1"/>
    </xf>
    <xf numFmtId="0" fontId="95" fillId="0" borderId="3" xfId="0" applyFont="1" applyBorder="1" applyAlignment="1">
      <alignment horizontal="center" vertical="center" wrapText="1"/>
    </xf>
    <xf numFmtId="0" fontId="95" fillId="0" borderId="1" xfId="0" applyFont="1" applyBorder="1" applyAlignment="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0" fillId="0" borderId="54" xfId="0" applyBorder="1" applyAlignment="1">
      <alignment horizontal="center" vertical="center"/>
    </xf>
    <xf numFmtId="0" fontId="0" fillId="0" borderId="1" xfId="0"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0" fillId="0" borderId="0" xfId="0" applyBorder="1">
      <alignment vertical="center"/>
    </xf>
    <xf numFmtId="0" fontId="0" fillId="22" borderId="1" xfId="0" applyFill="1" applyBorder="1" applyAlignment="1">
      <alignment horizontal="center" vertical="center"/>
    </xf>
    <xf numFmtId="196" fontId="0" fillId="0" borderId="0" xfId="0" applyNumberFormat="1">
      <alignment vertical="center"/>
    </xf>
    <xf numFmtId="0" fontId="44" fillId="8" borderId="29" xfId="0" applyFont="1" applyFill="1" applyBorder="1" applyAlignment="1">
      <alignment horizontal="center" vertical="center"/>
    </xf>
    <xf numFmtId="0" fontId="77" fillId="7" borderId="0" xfId="0" applyFont="1" applyFill="1" applyProtection="1">
      <alignment vertical="center"/>
      <protection locked="0"/>
    </xf>
    <xf numFmtId="0" fontId="139" fillId="8" borderId="1"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a16="http://schemas.microsoft.com/office/drawing/2014/main"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a16="http://schemas.microsoft.com/office/drawing/2014/main"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a16="http://schemas.microsoft.com/office/drawing/2014/main"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a16="http://schemas.microsoft.com/office/drawing/2014/main"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a16="http://schemas.microsoft.com/office/drawing/2014/main"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a16="http://schemas.microsoft.com/office/drawing/2014/main"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4-1-0966-P01&#20134;&#24196;-&#27494;&#21733;-&#20809;&#22823;-&#24212;&#20184;&#26410;&#20184;5&#21315;&#19975;\2024-1-0966&#22312;&#24314;&#19977;&#12289;&#22235;&#26399;&#27979;&#31639;&#34920;.xlsx" TargetMode="External"/><Relationship Id="rId1" Type="http://schemas.openxmlformats.org/officeDocument/2006/relationships/externalLinkPath" Target="2024-1-0966&#22312;&#24314;&#19977;&#12289;&#22235;&#26399;&#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41451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估价对象为北京市房地产，为所有。根据《国有土地使用证》[]，估价对象（分摊）出让国有建设用地使用权面积为14991.03平方米，建筑面积为48377.23平方米。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2024年11月11日（评估专业人员实地查勘之日）</v>
      </c>
    </row>
    <row r="13" spans="1:2">
      <c r="A13" s="1117" t="s">
        <v>529</v>
      </c>
      <c r="B13" s="1118"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80062</v>
      </c>
    </row>
    <row r="21" spans="1:2">
      <c r="A21" s="1117" t="s">
        <v>537</v>
      </c>
      <c r="B21" s="1118">
        <f ca="1">'预评函-2'!D7</f>
        <v>16550</v>
      </c>
    </row>
    <row r="22" spans="1:2">
      <c r="A22" s="1117" t="s">
        <v>538</v>
      </c>
      <c r="B22" s="1118" t="str">
        <f ca="1">'预评函-2'!D6</f>
        <v>捌亿零陆拾贰万元整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80062</v>
      </c>
    </row>
    <row r="31" spans="1:2">
      <c r="A31" s="1117" t="s">
        <v>576</v>
      </c>
      <c r="B31" s="1118">
        <f ca="1">'预评函-2'!D15</f>
        <v>16550</v>
      </c>
    </row>
    <row r="32" spans="1:2">
      <c r="A32" s="1117" t="s">
        <v>543</v>
      </c>
      <c r="B32" s="1118" t="str">
        <f ca="1">'预评函-2'!D14</f>
        <v>捌亿零陆拾贰万元整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48377.229999999996</v>
      </c>
    </row>
    <row r="44" spans="1:2" ht="31.2">
      <c r="A44" s="1117" t="s">
        <v>575</v>
      </c>
      <c r="B44" s="1118" t="str">
        <f>'预评函-3'!C2</f>
        <v>(分摊)土地面积</v>
      </c>
    </row>
    <row r="45" spans="1:2">
      <c r="A45" s="1117" t="s">
        <v>547</v>
      </c>
      <c r="B45" s="1118">
        <f>'预评函-3'!C4</f>
        <v>14991.03</v>
      </c>
    </row>
    <row r="46" spans="1:2">
      <c r="A46" s="1117" t="s">
        <v>573</v>
      </c>
      <c r="B46" s="1118" t="str">
        <f>'预评函-3'!D2</f>
        <v>出让国有建设用地使用权价值</v>
      </c>
    </row>
    <row r="47" spans="1:2">
      <c r="A47" s="1117" t="s">
        <v>548</v>
      </c>
      <c r="B47" s="1118">
        <f ca="1">'预评函-3'!D4</f>
        <v>16173</v>
      </c>
    </row>
    <row r="48" spans="1:2">
      <c r="A48" s="1117" t="s">
        <v>549</v>
      </c>
      <c r="B48" s="1118">
        <f ca="1">'预评函-3'!E4</f>
        <v>3344</v>
      </c>
    </row>
    <row r="49" spans="1:2">
      <c r="A49" s="1117" t="s">
        <v>550</v>
      </c>
      <c r="B49" s="1118" t="str">
        <f ca="1">'预评函-3'!D5</f>
        <v>壹亿陆仟壹佰柒拾叁万元整</v>
      </c>
    </row>
    <row r="50" spans="1:2">
      <c r="A50" s="1117" t="s">
        <v>574</v>
      </c>
      <c r="B50" s="1118" t="str">
        <f>'预评函-3'!F2</f>
        <v>在建建筑物价值</v>
      </c>
    </row>
    <row r="51" spans="1:2">
      <c r="A51" s="1117" t="s">
        <v>551</v>
      </c>
      <c r="B51" s="1118">
        <f ca="1">'预评函-3'!F4</f>
        <v>63889</v>
      </c>
    </row>
    <row r="52" spans="1:2">
      <c r="A52" s="1117" t="s">
        <v>552</v>
      </c>
      <c r="B52" s="1118">
        <f ca="1">'预评函-3'!G4</f>
        <v>13206</v>
      </c>
    </row>
    <row r="53" spans="1:2">
      <c r="A53" s="1117" t="s">
        <v>580</v>
      </c>
      <c r="B53" s="1118" t="str">
        <f ca="1">'预评函-3'!F5</f>
        <v>陆亿叁仟捌佰捌拾玖万元整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3340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3344</v>
      </c>
    </row>
    <row r="8" spans="1:23">
      <c r="A8" s="1439" t="s">
        <v>1026</v>
      </c>
      <c r="B8" s="1439" t="s">
        <v>1027</v>
      </c>
      <c r="C8" s="1440" t="s">
        <v>319</v>
      </c>
      <c r="F8" s="1441" t="s">
        <v>1028</v>
      </c>
      <c r="H8" s="1441" t="s">
        <v>2579</v>
      </c>
      <c r="I8" s="1441" t="s">
        <v>3345</v>
      </c>
    </row>
    <row r="9" spans="1:23">
      <c r="A9" s="1439" t="s">
        <v>1029</v>
      </c>
      <c r="B9" s="1439" t="s">
        <v>1030</v>
      </c>
      <c r="C9" s="1440" t="s">
        <v>320</v>
      </c>
      <c r="F9" s="1441" t="s">
        <v>1031</v>
      </c>
      <c r="H9" s="1441"/>
      <c r="I9" s="1443" t="s">
        <v>3346</v>
      </c>
    </row>
    <row r="10" spans="1:23">
      <c r="A10" s="1439" t="s">
        <v>1032</v>
      </c>
      <c r="B10" s="1439" t="s">
        <v>1033</v>
      </c>
      <c r="C10" s="1440" t="s">
        <v>321</v>
      </c>
      <c r="F10" s="1441" t="s">
        <v>2580</v>
      </c>
      <c r="I10" s="1443" t="s">
        <v>3347</v>
      </c>
    </row>
    <row r="11" spans="1:23">
      <c r="A11" s="1439" t="s">
        <v>1034</v>
      </c>
      <c r="B11" s="1439" t="s">
        <v>1035</v>
      </c>
      <c r="C11" s="1440" t="s">
        <v>322</v>
      </c>
      <c r="F11" s="1441" t="s">
        <v>13</v>
      </c>
      <c r="I11" s="1443" t="s">
        <v>3348</v>
      </c>
    </row>
    <row r="12" spans="1:23">
      <c r="A12" s="1439" t="s">
        <v>1036</v>
      </c>
      <c r="B12" s="1439" t="s">
        <v>1037</v>
      </c>
      <c r="C12" s="1440" t="s">
        <v>323</v>
      </c>
      <c r="I12" s="1443" t="s">
        <v>3349</v>
      </c>
    </row>
    <row r="13" spans="1:23">
      <c r="A13" s="1439" t="s">
        <v>1038</v>
      </c>
      <c r="B13" s="1439" t="s">
        <v>1039</v>
      </c>
      <c r="C13" s="1440" t="s">
        <v>324</v>
      </c>
      <c r="I13" s="1443" t="s">
        <v>3350</v>
      </c>
    </row>
    <row r="14" spans="1:23">
      <c r="A14" s="1439" t="s">
        <v>1040</v>
      </c>
      <c r="B14" s="1439" t="s">
        <v>1041</v>
      </c>
      <c r="C14" s="1441" t="s">
        <v>13</v>
      </c>
      <c r="I14" s="1443" t="s">
        <v>3351</v>
      </c>
    </row>
    <row r="15" spans="1:23">
      <c r="A15" s="1439" t="s">
        <v>1042</v>
      </c>
      <c r="B15" s="1439" t="s">
        <v>1043</v>
      </c>
      <c r="C15" s="1440"/>
      <c r="I15" s="1443" t="s">
        <v>3352</v>
      </c>
    </row>
    <row r="16" spans="1:23">
      <c r="A16" s="1439" t="s">
        <v>1044</v>
      </c>
      <c r="B16" s="1439" t="s">
        <v>312</v>
      </c>
      <c r="C16" s="1440"/>
    </row>
    <row r="17" spans="1:3">
      <c r="A17" s="1439" t="s">
        <v>1045</v>
      </c>
      <c r="B17" s="1439" t="s">
        <v>2293</v>
      </c>
      <c r="C17" s="1440"/>
    </row>
    <row r="18" spans="1:3">
      <c r="A18" s="1439" t="s">
        <v>1046</v>
      </c>
      <c r="B18" s="1439" t="s">
        <v>2435</v>
      </c>
      <c r="C18" s="1440"/>
    </row>
    <row r="19" spans="1:3">
      <c r="A19" s="1439" t="s">
        <v>1047</v>
      </c>
      <c r="B19" s="1439" t="s">
        <v>3626</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5" t="s">
        <v>385</v>
      </c>
      <c r="C54" s="1443" t="s">
        <v>583</v>
      </c>
    </row>
    <row r="55" spans="1:4">
      <c r="A55" s="3241"/>
      <c r="B55" s="1445" t="s">
        <v>386</v>
      </c>
      <c r="C55" s="1443" t="s">
        <v>584</v>
      </c>
    </row>
    <row r="56" spans="1:4">
      <c r="A56" s="3241"/>
      <c r="B56" s="1445" t="s">
        <v>387</v>
      </c>
      <c r="C56" s="1443" t="s">
        <v>588</v>
      </c>
    </row>
    <row r="57" spans="1:4">
      <c r="A57" s="324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42" t="s">
        <v>2582</v>
      </c>
      <c r="J2" s="3242"/>
      <c r="K2" s="3242"/>
      <c r="L2" s="3242"/>
      <c r="M2" s="3242"/>
      <c r="N2" s="3242"/>
      <c r="O2" s="3242"/>
      <c r="P2" s="3242"/>
      <c r="Q2" s="3242"/>
      <c r="R2" s="3242"/>
    </row>
    <row r="3" spans="1:18">
      <c r="A3" s="2761" t="s">
        <v>2503</v>
      </c>
      <c r="B3" s="2762">
        <f>项目基本情况!D3</f>
        <v>45607</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2.1</v>
      </c>
      <c r="D5" s="2766">
        <f>IF(ISERROR(ROUND(POWER(1+E5,A5-C5)*(POWER(1+E5,C5)-1)/(POWER(1+E5,A5)-1),3)),0,ROUND(POWER(1+E5,A5-C5)*(POWER(1+E5,C5)-1)/(POWER(1+E5,A5)-1),4))</f>
        <v>9.9900000000000003E-2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12.11</v>
      </c>
      <c r="D6" s="2766">
        <f>IF(ISERROR(ROUND(POWER(1+E6,A6-C6)*(POWER(1+E6,C6)-1)/(POWER(1+E6,A6)-1),3)),0,ROUND(POWER(1+E6,A6-C6)*(POWER(1+E6,C6)-1)/(POWER(1+E6,A6)-1),4))</f>
        <v>0.44</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32.119999999999997</v>
      </c>
      <c r="D7" s="2766">
        <f>IF(ISERROR(ROUND(POWER(1+E7,A7-C7)*(POWER(1+E7,C7)-1)/(POWER(1+E7,A7)-1),3)),0,ROUND(POWER(1+E7,A7-C7)*(POWER(1+E7,C7)-1)/(POWER(1+E7,A7)-1),4))</f>
        <v>0.76539999999999997</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0B9C-DD0A-494B-A83B-26AC7E52EA89}">
  <sheetPr>
    <tabColor rgb="FFFFFF00"/>
  </sheetPr>
  <dimension ref="A1:L66"/>
  <sheetViews>
    <sheetView topLeftCell="G1" zoomScaleNormal="100" workbookViewId="0">
      <selection activeCell="A18" sqref="A18:M25"/>
    </sheetView>
  </sheetViews>
  <sheetFormatPr defaultRowHeight="14.4"/>
  <cols>
    <col min="1" max="1" width="12" customWidth="1"/>
    <col min="2" max="2" width="21.88671875" customWidth="1"/>
    <col min="4" max="4" width="13.44140625" customWidth="1"/>
    <col min="5" max="5" width="15.21875" customWidth="1"/>
    <col min="6" max="6" width="14.109375" customWidth="1"/>
    <col min="14" max="14" width="17.6640625" customWidth="1"/>
  </cols>
  <sheetData>
    <row r="1" spans="1:9">
      <c r="A1" s="3152" t="s">
        <v>3470</v>
      </c>
      <c r="B1" s="3156"/>
      <c r="C1" s="3156"/>
      <c r="D1" s="3156"/>
      <c r="E1" s="3156"/>
      <c r="F1" s="3156"/>
      <c r="G1" s="3156"/>
      <c r="H1" s="3156"/>
    </row>
    <row r="2" spans="1:9">
      <c r="A2" s="3152" t="s">
        <v>3463</v>
      </c>
      <c r="B2" s="3152" t="s">
        <v>3464</v>
      </c>
      <c r="C2" s="3152" t="s">
        <v>3465</v>
      </c>
      <c r="D2" s="3152" t="s">
        <v>3466</v>
      </c>
      <c r="E2" s="3152" t="s">
        <v>3467</v>
      </c>
      <c r="F2" s="3152" t="s">
        <v>3468</v>
      </c>
      <c r="G2" s="3152" t="s">
        <v>3469</v>
      </c>
      <c r="H2" s="3152" t="s">
        <v>3493</v>
      </c>
    </row>
    <row r="3" spans="1:9">
      <c r="A3" s="3152" t="s">
        <v>3471</v>
      </c>
      <c r="B3" s="3152" t="s">
        <v>3472</v>
      </c>
      <c r="C3" s="3156">
        <v>14587.9</v>
      </c>
      <c r="D3" s="3156">
        <v>4294.7</v>
      </c>
      <c r="E3" s="3152" t="s">
        <v>3473</v>
      </c>
      <c r="F3" s="3156">
        <v>45</v>
      </c>
      <c r="G3" s="3156"/>
      <c r="H3" s="3156">
        <v>-11.3</v>
      </c>
    </row>
    <row r="4" spans="1:9">
      <c r="A4" s="1403" t="s">
        <v>3453</v>
      </c>
      <c r="B4" s="1403" t="s">
        <v>3513</v>
      </c>
      <c r="C4">
        <v>3629</v>
      </c>
      <c r="E4" s="1403" t="s">
        <v>3458</v>
      </c>
      <c r="F4">
        <v>26</v>
      </c>
      <c r="H4" s="3245" t="s">
        <v>3518</v>
      </c>
    </row>
    <row r="5" spans="1:9">
      <c r="A5" s="1403" t="s">
        <v>3454</v>
      </c>
      <c r="B5" s="1403" t="s">
        <v>3475</v>
      </c>
      <c r="C5">
        <v>3110.6</v>
      </c>
      <c r="E5" s="1403" t="s">
        <v>3461</v>
      </c>
      <c r="F5">
        <v>44</v>
      </c>
      <c r="H5" s="3246"/>
    </row>
    <row r="6" spans="1:9">
      <c r="A6" s="1403" t="s">
        <v>3455</v>
      </c>
      <c r="B6" s="1403" t="s">
        <v>3475</v>
      </c>
      <c r="C6">
        <v>3110.6</v>
      </c>
      <c r="E6" s="1403" t="s">
        <v>3461</v>
      </c>
      <c r="F6">
        <v>44</v>
      </c>
      <c r="H6" s="3246"/>
    </row>
    <row r="7" spans="1:9">
      <c r="A7" s="1403" t="s">
        <v>3456</v>
      </c>
      <c r="B7" s="1403" t="s">
        <v>3476</v>
      </c>
      <c r="C7">
        <v>4221.8</v>
      </c>
      <c r="E7" s="1403" t="s">
        <v>3460</v>
      </c>
      <c r="F7">
        <v>45</v>
      </c>
      <c r="H7" s="3246"/>
    </row>
    <row r="8" spans="1:9">
      <c r="A8" s="1403" t="s">
        <v>3490</v>
      </c>
      <c r="B8" s="1403" t="s">
        <v>3475</v>
      </c>
      <c r="C8">
        <v>4221.8</v>
      </c>
      <c r="E8" s="1403" t="s">
        <v>3460</v>
      </c>
      <c r="F8">
        <v>45</v>
      </c>
      <c r="H8" s="3246"/>
      <c r="I8" s="1403"/>
    </row>
    <row r="9" spans="1:9">
      <c r="A9" s="1403" t="s">
        <v>3491</v>
      </c>
      <c r="B9" s="1403" t="s">
        <v>3492</v>
      </c>
      <c r="C9">
        <v>5325.8</v>
      </c>
      <c r="E9" s="1403" t="s">
        <v>3460</v>
      </c>
      <c r="F9">
        <v>45</v>
      </c>
      <c r="H9" s="3246"/>
    </row>
    <row r="10" spans="1:9">
      <c r="A10" s="1403" t="s">
        <v>3479</v>
      </c>
      <c r="B10" s="1403" t="s">
        <v>3484</v>
      </c>
      <c r="C10">
        <v>4965.1000000000004</v>
      </c>
      <c r="E10" s="1403" t="s">
        <v>3460</v>
      </c>
      <c r="F10">
        <v>45</v>
      </c>
      <c r="H10" s="3246"/>
    </row>
    <row r="11" spans="1:9">
      <c r="A11" s="1403" t="s">
        <v>3480</v>
      </c>
      <c r="B11" s="1403" t="s">
        <v>3475</v>
      </c>
      <c r="C11">
        <v>3960</v>
      </c>
      <c r="E11" s="1403" t="s">
        <v>3460</v>
      </c>
      <c r="F11">
        <v>45</v>
      </c>
      <c r="H11" s="3246"/>
    </row>
    <row r="12" spans="1:9">
      <c r="A12" s="1403" t="s">
        <v>3481</v>
      </c>
      <c r="B12" s="1403" t="s">
        <v>3485</v>
      </c>
      <c r="C12">
        <v>12300</v>
      </c>
      <c r="E12" s="1403" t="s">
        <v>3487</v>
      </c>
      <c r="F12">
        <v>45</v>
      </c>
      <c r="H12" s="3246"/>
    </row>
    <row r="13" spans="1:9">
      <c r="A13" s="1403" t="s">
        <v>3515</v>
      </c>
      <c r="B13" s="1403" t="s">
        <v>3475</v>
      </c>
      <c r="C13">
        <v>4221.8</v>
      </c>
      <c r="E13" s="1403" t="s">
        <v>3460</v>
      </c>
      <c r="F13">
        <v>45</v>
      </c>
      <c r="H13" s="3246"/>
    </row>
    <row r="14" spans="1:9">
      <c r="A14" s="1403" t="s">
        <v>3516</v>
      </c>
      <c r="B14" s="1403" t="s">
        <v>3514</v>
      </c>
      <c r="D14">
        <v>40236.400000000001</v>
      </c>
      <c r="E14" s="1403" t="s">
        <v>3459</v>
      </c>
      <c r="F14">
        <v>45</v>
      </c>
      <c r="H14" s="3246"/>
    </row>
    <row r="15" spans="1:9">
      <c r="A15" s="1403" t="s">
        <v>3482</v>
      </c>
      <c r="B15" s="1403" t="s">
        <v>3406</v>
      </c>
      <c r="C15">
        <v>65</v>
      </c>
      <c r="E15" s="1403" t="s">
        <v>3488</v>
      </c>
      <c r="F15">
        <v>3.9</v>
      </c>
      <c r="H15" s="3246"/>
    </row>
    <row r="16" spans="1:9">
      <c r="B16" s="1403" t="s">
        <v>3517</v>
      </c>
      <c r="C16">
        <f>SUM(C3:C15)</f>
        <v>63719.4</v>
      </c>
      <c r="D16">
        <f>SUM(D3:D15)</f>
        <v>44531.1</v>
      </c>
      <c r="G16" s="1403"/>
    </row>
    <row r="17" spans="1:12">
      <c r="B17" s="1403"/>
      <c r="G17" s="1403"/>
    </row>
    <row r="18" spans="1:12">
      <c r="A18" s="1403" t="s">
        <v>3519</v>
      </c>
      <c r="B18" s="1403"/>
      <c r="G18" s="1403"/>
    </row>
    <row r="19" spans="1:12">
      <c r="A19" s="1403" t="s">
        <v>3520</v>
      </c>
      <c r="B19" s="1403" t="s">
        <v>3522</v>
      </c>
      <c r="C19" s="1403" t="s">
        <v>3525</v>
      </c>
      <c r="D19" s="1403" t="s">
        <v>3526</v>
      </c>
      <c r="E19" s="1403" t="s">
        <v>3527</v>
      </c>
      <c r="F19" s="1403" t="s">
        <v>3528</v>
      </c>
      <c r="G19" s="1403" t="s">
        <v>3529</v>
      </c>
      <c r="H19" s="1403" t="s">
        <v>3530</v>
      </c>
      <c r="I19" s="1403" t="s">
        <v>3531</v>
      </c>
      <c r="K19" s="1403" t="s">
        <v>3534</v>
      </c>
    </row>
    <row r="20" spans="1:12">
      <c r="G20" s="1403"/>
      <c r="I20" s="1403" t="s">
        <v>3532</v>
      </c>
      <c r="J20" s="1403" t="s">
        <v>3533</v>
      </c>
      <c r="K20" s="1403" t="s">
        <v>3535</v>
      </c>
      <c r="L20" s="1403" t="s">
        <v>3536</v>
      </c>
    </row>
    <row r="21" spans="1:12">
      <c r="A21" s="1403" t="s">
        <v>3521</v>
      </c>
      <c r="B21" s="1403" t="s">
        <v>3523</v>
      </c>
      <c r="C21">
        <v>1</v>
      </c>
      <c r="D21">
        <v>1</v>
      </c>
      <c r="E21" s="1403" t="s">
        <v>3537</v>
      </c>
      <c r="F21" s="1403" t="s">
        <v>3538</v>
      </c>
      <c r="G21" s="1403" t="s">
        <v>3539</v>
      </c>
      <c r="H21">
        <v>2024.24</v>
      </c>
      <c r="I21" s="3243">
        <v>51.01</v>
      </c>
      <c r="J21" s="3243"/>
      <c r="K21" s="3243">
        <v>1973.23</v>
      </c>
      <c r="L21" s="3243"/>
    </row>
    <row r="22" spans="1:12">
      <c r="I22" s="1403" t="s">
        <v>3540</v>
      </c>
      <c r="J22">
        <v>51.01</v>
      </c>
      <c r="K22">
        <v>1851.92</v>
      </c>
      <c r="L22">
        <v>121.31</v>
      </c>
    </row>
    <row r="23" spans="1:12">
      <c r="A23" s="1403" t="s">
        <v>3521</v>
      </c>
      <c r="B23" s="1403" t="s">
        <v>3524</v>
      </c>
      <c r="C23">
        <v>2</v>
      </c>
      <c r="D23">
        <v>1</v>
      </c>
      <c r="E23" s="1403" t="s">
        <v>3537</v>
      </c>
      <c r="F23" s="1403" t="s">
        <v>3538</v>
      </c>
      <c r="G23" s="1403" t="s">
        <v>3539</v>
      </c>
      <c r="H23">
        <v>1805.74</v>
      </c>
      <c r="I23" s="3243">
        <v>16.899999999999999</v>
      </c>
      <c r="J23" s="3243"/>
      <c r="K23" s="3243">
        <v>1788.84</v>
      </c>
      <c r="L23" s="3243"/>
    </row>
    <row r="24" spans="1:12">
      <c r="A24" s="1403"/>
      <c r="B24" s="1403"/>
      <c r="G24" s="1403"/>
      <c r="I24" s="1403" t="s">
        <v>3540</v>
      </c>
      <c r="J24">
        <v>16.899999999999999</v>
      </c>
      <c r="K24">
        <v>1761.44</v>
      </c>
      <c r="L24">
        <v>27.4</v>
      </c>
    </row>
    <row r="25" spans="1:12">
      <c r="A25" s="1403"/>
      <c r="B25" s="1403"/>
      <c r="G25" s="1403"/>
      <c r="I25" s="3243">
        <v>67.91</v>
      </c>
      <c r="J25" s="3243"/>
      <c r="K25" s="3243">
        <v>3762.07</v>
      </c>
      <c r="L25" s="3243"/>
    </row>
    <row r="26" spans="1:12">
      <c r="G26" s="1403" t="s">
        <v>3541</v>
      </c>
      <c r="H26" s="1403">
        <f>SUM(H21:H25)</f>
        <v>3829.98</v>
      </c>
      <c r="J26">
        <v>67.91</v>
      </c>
      <c r="K26">
        <v>3613.36</v>
      </c>
      <c r="L26">
        <v>148.71</v>
      </c>
    </row>
    <row r="27" spans="1:12">
      <c r="G27" s="1403"/>
      <c r="H27" s="1403"/>
    </row>
    <row r="28" spans="1:12">
      <c r="G28" s="1403"/>
      <c r="H28" s="1403"/>
    </row>
    <row r="29" spans="1:12">
      <c r="A29" s="1403" t="s">
        <v>3452</v>
      </c>
    </row>
    <row r="30" spans="1:12">
      <c r="A30" s="1403" t="s">
        <v>3463</v>
      </c>
      <c r="B30" s="1403" t="s">
        <v>3464</v>
      </c>
      <c r="C30" s="1403" t="s">
        <v>3465</v>
      </c>
      <c r="D30" s="1403" t="s">
        <v>3466</v>
      </c>
      <c r="E30" s="1403" t="s">
        <v>3467</v>
      </c>
      <c r="F30" s="1403" t="s">
        <v>3468</v>
      </c>
      <c r="G30" s="1403" t="s">
        <v>3469</v>
      </c>
      <c r="I30" s="1403" t="s">
        <v>3543</v>
      </c>
    </row>
    <row r="31" spans="1:12">
      <c r="A31" s="1403" t="s">
        <v>3471</v>
      </c>
      <c r="B31" s="1403" t="s">
        <v>3472</v>
      </c>
      <c r="C31">
        <v>14617.9</v>
      </c>
      <c r="D31">
        <v>4294.7</v>
      </c>
      <c r="E31" s="1403" t="s">
        <v>3473</v>
      </c>
      <c r="F31">
        <v>45</v>
      </c>
      <c r="G31" s="1403" t="s">
        <v>3542</v>
      </c>
      <c r="H31">
        <v>-11.3</v>
      </c>
      <c r="I31" s="1403" t="s">
        <v>3544</v>
      </c>
    </row>
    <row r="32" spans="1:12">
      <c r="A32" s="3152" t="s">
        <v>3453</v>
      </c>
      <c r="B32" s="3152" t="s">
        <v>3474</v>
      </c>
      <c r="C32" s="3156">
        <v>3705.93</v>
      </c>
      <c r="D32" s="3156"/>
      <c r="E32" s="3152" t="s">
        <v>3458</v>
      </c>
      <c r="F32" s="3156">
        <v>26</v>
      </c>
      <c r="G32" s="3152" t="s">
        <v>3462</v>
      </c>
      <c r="I32" s="3244" t="s">
        <v>3545</v>
      </c>
    </row>
    <row r="33" spans="1:9">
      <c r="A33" s="3152" t="s">
        <v>3454</v>
      </c>
      <c r="B33" s="3152" t="s">
        <v>3475</v>
      </c>
      <c r="C33" s="3156">
        <v>3148.33</v>
      </c>
      <c r="D33" s="3156"/>
      <c r="E33" s="3152" t="s">
        <v>3461</v>
      </c>
      <c r="F33" s="3156">
        <v>45</v>
      </c>
      <c r="G33" s="3152" t="s">
        <v>3462</v>
      </c>
      <c r="I33" s="3243"/>
    </row>
    <row r="34" spans="1:9">
      <c r="A34" s="3152" t="s">
        <v>3455</v>
      </c>
      <c r="B34" s="3152" t="s">
        <v>3475</v>
      </c>
      <c r="C34" s="3152">
        <v>3148.33</v>
      </c>
      <c r="D34" s="3156"/>
      <c r="E34" s="3152" t="s">
        <v>3461</v>
      </c>
      <c r="F34" s="3156">
        <v>45</v>
      </c>
      <c r="G34" s="3152" t="s">
        <v>3462</v>
      </c>
      <c r="I34" s="3243"/>
    </row>
    <row r="35" spans="1:9">
      <c r="A35" s="3152" t="s">
        <v>3456</v>
      </c>
      <c r="B35" s="3152" t="s">
        <v>3476</v>
      </c>
      <c r="C35" s="3152">
        <v>4281.75</v>
      </c>
      <c r="D35" s="3156"/>
      <c r="E35" s="3152" t="s">
        <v>3460</v>
      </c>
      <c r="F35" s="3156">
        <v>45</v>
      </c>
      <c r="G35" s="3152" t="s">
        <v>3462</v>
      </c>
      <c r="I35" s="3243"/>
    </row>
    <row r="36" spans="1:9">
      <c r="A36" s="3152" t="s">
        <v>3457</v>
      </c>
      <c r="B36" s="3152" t="s">
        <v>3477</v>
      </c>
      <c r="C36" s="3156"/>
      <c r="D36" s="3152">
        <v>15246.96</v>
      </c>
      <c r="E36" s="3152" t="s">
        <v>3459</v>
      </c>
      <c r="F36" s="3156"/>
      <c r="G36" s="3156"/>
    </row>
    <row r="37" spans="1:9">
      <c r="A37" s="1403" t="s">
        <v>3490</v>
      </c>
      <c r="B37" s="1403" t="s">
        <v>3475</v>
      </c>
      <c r="C37">
        <v>4281.75</v>
      </c>
      <c r="E37" s="1403" t="s">
        <v>3460</v>
      </c>
      <c r="F37">
        <v>45</v>
      </c>
    </row>
    <row r="38" spans="1:9">
      <c r="A38" s="1403" t="s">
        <v>3491</v>
      </c>
      <c r="B38" s="1403" t="s">
        <v>3492</v>
      </c>
      <c r="C38">
        <v>5316.91</v>
      </c>
      <c r="E38" s="1403" t="s">
        <v>3460</v>
      </c>
      <c r="F38">
        <v>45</v>
      </c>
    </row>
    <row r="39" spans="1:9">
      <c r="A39" s="1403" t="s">
        <v>3479</v>
      </c>
      <c r="B39" s="1403" t="s">
        <v>3484</v>
      </c>
      <c r="C39">
        <v>4965.1000000000004</v>
      </c>
      <c r="E39" s="1403" t="s">
        <v>3460</v>
      </c>
      <c r="F39">
        <v>45</v>
      </c>
    </row>
    <row r="40" spans="1:9">
      <c r="A40" s="1403" t="s">
        <v>3480</v>
      </c>
      <c r="B40" s="1403" t="s">
        <v>3475</v>
      </c>
      <c r="C40">
        <v>3960</v>
      </c>
      <c r="E40" s="1403" t="s">
        <v>3460</v>
      </c>
      <c r="F40">
        <v>45</v>
      </c>
    </row>
    <row r="41" spans="1:9">
      <c r="A41" s="1403" t="s">
        <v>3481</v>
      </c>
      <c r="B41" s="1403" t="s">
        <v>3485</v>
      </c>
      <c r="C41">
        <v>12300</v>
      </c>
      <c r="E41" s="1403" t="s">
        <v>3487</v>
      </c>
      <c r="F41">
        <v>45</v>
      </c>
    </row>
    <row r="42" spans="1:9">
      <c r="A42" s="1403" t="s">
        <v>3515</v>
      </c>
      <c r="B42" s="1403" t="s">
        <v>3475</v>
      </c>
      <c r="C42">
        <v>4221.8</v>
      </c>
      <c r="E42" s="1403" t="s">
        <v>3460</v>
      </c>
      <c r="F42">
        <v>45</v>
      </c>
    </row>
    <row r="43" spans="1:9">
      <c r="A43" s="1403"/>
      <c r="B43" s="1403"/>
      <c r="D43" s="1403"/>
      <c r="E43" s="1403"/>
    </row>
    <row r="44" spans="1:9">
      <c r="A44" s="1403"/>
      <c r="B44" s="1403"/>
      <c r="D44" s="1403"/>
      <c r="E44" s="1403"/>
    </row>
    <row r="45" spans="1:9">
      <c r="A45" s="1403"/>
      <c r="B45" s="1403"/>
      <c r="D45" s="1403"/>
      <c r="E45" s="1403"/>
    </row>
    <row r="48" spans="1:9">
      <c r="A48" s="1403" t="s">
        <v>3478</v>
      </c>
    </row>
    <row r="49" spans="1:7">
      <c r="A49" s="1403" t="s">
        <v>3463</v>
      </c>
      <c r="B49" s="1403" t="s">
        <v>3464</v>
      </c>
      <c r="C49" s="1403" t="s">
        <v>3465</v>
      </c>
      <c r="D49" s="1403" t="s">
        <v>3466</v>
      </c>
      <c r="E49" s="1403" t="s">
        <v>3467</v>
      </c>
      <c r="F49" s="1403" t="s">
        <v>3468</v>
      </c>
      <c r="G49" s="1403" t="s">
        <v>3469</v>
      </c>
    </row>
    <row r="50" spans="1:7">
      <c r="A50" s="1403" t="s">
        <v>3479</v>
      </c>
      <c r="B50" s="1403" t="s">
        <v>3484</v>
      </c>
      <c r="C50">
        <v>8979.7000000000007</v>
      </c>
      <c r="E50" s="1403" t="s">
        <v>3460</v>
      </c>
      <c r="F50">
        <v>45</v>
      </c>
      <c r="G50" s="1403" t="s">
        <v>3462</v>
      </c>
    </row>
    <row r="51" spans="1:7">
      <c r="A51" s="1403" t="s">
        <v>3480</v>
      </c>
      <c r="B51" s="1403" t="s">
        <v>3475</v>
      </c>
      <c r="C51">
        <v>4281.75</v>
      </c>
      <c r="E51" s="1403" t="s">
        <v>3460</v>
      </c>
      <c r="F51">
        <v>45</v>
      </c>
      <c r="G51" s="1403" t="s">
        <v>3462</v>
      </c>
    </row>
    <row r="52" spans="1:7">
      <c r="A52" s="1403" t="s">
        <v>3481</v>
      </c>
      <c r="B52" s="1403" t="s">
        <v>3485</v>
      </c>
      <c r="C52">
        <v>11862.65</v>
      </c>
      <c r="E52" s="1403" t="s">
        <v>3487</v>
      </c>
      <c r="F52">
        <v>45</v>
      </c>
      <c r="G52" s="1403" t="s">
        <v>3462</v>
      </c>
    </row>
    <row r="53" spans="1:7">
      <c r="A53" s="1403" t="s">
        <v>3482</v>
      </c>
      <c r="B53" s="1403" t="s">
        <v>3486</v>
      </c>
      <c r="C53">
        <v>90</v>
      </c>
      <c r="E53" s="1403" t="s">
        <v>3488</v>
      </c>
      <c r="F53">
        <v>3.9</v>
      </c>
    </row>
    <row r="54" spans="1:7">
      <c r="A54" s="1403" t="s">
        <v>3457</v>
      </c>
      <c r="B54" s="1403" t="s">
        <v>3483</v>
      </c>
      <c r="D54">
        <v>19865.36</v>
      </c>
      <c r="E54" s="1403" t="s">
        <v>3459</v>
      </c>
    </row>
    <row r="57" spans="1:7">
      <c r="A57" s="1403" t="s">
        <v>3489</v>
      </c>
    </row>
    <row r="58" spans="1:7">
      <c r="A58" s="1403" t="s">
        <v>3463</v>
      </c>
      <c r="B58" s="1403" t="s">
        <v>3464</v>
      </c>
      <c r="C58" s="1403" t="s">
        <v>3465</v>
      </c>
      <c r="D58" s="1403" t="s">
        <v>3466</v>
      </c>
      <c r="E58" s="1403" t="s">
        <v>3467</v>
      </c>
      <c r="F58" s="1403" t="s">
        <v>3468</v>
      </c>
      <c r="G58" s="1403" t="s">
        <v>3469</v>
      </c>
    </row>
    <row r="59" spans="1:7">
      <c r="A59" s="1403" t="s">
        <v>3490</v>
      </c>
      <c r="B59" s="1403" t="s">
        <v>3475</v>
      </c>
      <c r="C59">
        <v>4281.75</v>
      </c>
      <c r="E59" s="1403" t="s">
        <v>3460</v>
      </c>
      <c r="F59">
        <v>45</v>
      </c>
      <c r="G59" s="1403" t="s">
        <v>3462</v>
      </c>
    </row>
    <row r="60" spans="1:7">
      <c r="A60" s="1403" t="s">
        <v>3491</v>
      </c>
      <c r="B60" s="1403" t="s">
        <v>3492</v>
      </c>
      <c r="C60">
        <v>5316.91</v>
      </c>
      <c r="E60" s="1403" t="s">
        <v>3460</v>
      </c>
      <c r="F60">
        <v>45</v>
      </c>
      <c r="G60" s="1403"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H33" sqref="H33"/>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2169</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2170</v>
      </c>
      <c r="B3" s="2183">
        <v>45607</v>
      </c>
      <c r="C3" s="2184" t="s">
        <v>2171</v>
      </c>
      <c r="D3" s="2183">
        <f>B3</f>
        <v>45607</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8"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3390</v>
      </c>
      <c r="C8" s="2199"/>
      <c r="D8" s="3250" t="s">
        <v>2177</v>
      </c>
      <c r="E8" s="2200" t="s">
        <v>3391</v>
      </c>
      <c r="F8" s="2201"/>
      <c r="G8" s="2440"/>
      <c r="H8" s="2440"/>
      <c r="I8" s="2440"/>
      <c r="J8" s="2243"/>
      <c r="K8" s="2398"/>
      <c r="L8" s="2397"/>
      <c r="M8" s="2397"/>
      <c r="N8" s="2243"/>
      <c r="O8" s="1668"/>
      <c r="P8" s="2243"/>
      <c r="Q8" s="2243"/>
      <c r="R8" s="2243"/>
    </row>
    <row r="9" spans="1:30" ht="13.8" thickBot="1">
      <c r="A9" s="2202" t="s">
        <v>2178</v>
      </c>
      <c r="B9" s="2203" t="s">
        <v>3391</v>
      </c>
      <c r="C9" s="2204"/>
      <c r="D9" s="3251"/>
      <c r="E9" s="2203"/>
      <c r="F9" s="2205"/>
      <c r="G9" s="2441"/>
      <c r="H9" s="2441"/>
      <c r="I9" s="2441"/>
      <c r="J9" s="2243"/>
      <c r="K9" s="2400"/>
      <c r="L9" s="2397"/>
      <c r="M9" s="2397"/>
      <c r="N9" s="2243"/>
      <c r="O9" s="1668"/>
      <c r="P9" s="2243"/>
      <c r="Q9" s="2243"/>
      <c r="R9" s="2243"/>
    </row>
    <row r="10" spans="1:30" ht="13.8" thickTop="1">
      <c r="A10" s="2206" t="s">
        <v>2179</v>
      </c>
      <c r="B10" s="2207" t="s">
        <v>3392</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3393</v>
      </c>
      <c r="C11" s="2212"/>
      <c r="D11" s="2213"/>
      <c r="E11" s="2180"/>
      <c r="F11" s="2180"/>
      <c r="G11" s="2180"/>
      <c r="H11" s="2180"/>
      <c r="I11" s="2180"/>
      <c r="J11" s="2800"/>
      <c r="K11" s="2397"/>
      <c r="L11" s="2397"/>
      <c r="M11" s="2397"/>
      <c r="N11" s="2243"/>
      <c r="O11" s="1668"/>
      <c r="P11" s="2243"/>
      <c r="Q11" s="2243"/>
      <c r="R11" s="2243"/>
    </row>
    <row r="12" spans="1:30">
      <c r="A12" s="2214" t="s">
        <v>2182</v>
      </c>
      <c r="B12" s="314" t="s">
        <v>2183</v>
      </c>
      <c r="C12" s="2215" t="s">
        <v>2184</v>
      </c>
      <c r="D12" s="2215" t="s">
        <v>2185</v>
      </c>
      <c r="E12" s="2215" t="s">
        <v>2186</v>
      </c>
      <c r="F12" s="2215" t="s">
        <v>2187</v>
      </c>
      <c r="G12" s="2215" t="s">
        <v>2188</v>
      </c>
      <c r="H12" s="2215" t="s">
        <v>2189</v>
      </c>
      <c r="I12" s="2799" t="s">
        <v>2578</v>
      </c>
      <c r="J12" s="2801"/>
      <c r="K12" s="2397"/>
      <c r="L12" s="2397"/>
      <c r="M12" s="2243"/>
      <c r="N12" s="1668"/>
      <c r="O12" s="2243"/>
      <c r="P12" s="2243"/>
      <c r="Q12" s="2243"/>
      <c r="AD12" s="1616"/>
    </row>
    <row r="13" spans="1:30">
      <c r="A13" s="3120" t="s">
        <v>3334</v>
      </c>
      <c r="B13" s="2216" t="s">
        <v>2190</v>
      </c>
      <c r="C13" s="802"/>
      <c r="D13" s="802"/>
      <c r="E13" s="802"/>
      <c r="F13" s="802"/>
      <c r="G13" s="802"/>
      <c r="H13" s="802">
        <v>60714</v>
      </c>
      <c r="I13" s="802"/>
      <c r="J13" s="2801"/>
      <c r="K13" s="2397"/>
      <c r="L13" s="2397"/>
      <c r="M13" s="2243"/>
      <c r="N13" s="1668"/>
      <c r="O13" s="2243"/>
      <c r="P13" s="2243"/>
      <c r="Q13" s="2243"/>
      <c r="AD13" s="1616"/>
    </row>
    <row r="14" spans="1:30">
      <c r="A14" s="1017"/>
      <c r="B14" s="2216" t="s">
        <v>2191</v>
      </c>
      <c r="C14" s="2217"/>
      <c r="D14" s="2217"/>
      <c r="E14" s="2217"/>
      <c r="F14" s="2217"/>
      <c r="G14" s="2217"/>
      <c r="H14" s="2217">
        <v>50</v>
      </c>
      <c r="I14" s="2217"/>
      <c r="J14" s="2802"/>
      <c r="K14" s="2397"/>
      <c r="L14" s="2397"/>
      <c r="M14" s="2243"/>
      <c r="N14" s="1668"/>
      <c r="O14" s="2243"/>
      <c r="P14" s="2243"/>
      <c r="Q14" s="2243"/>
      <c r="AD14" s="1616"/>
    </row>
    <row r="15" spans="1:30">
      <c r="A15" s="311"/>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41.38</v>
      </c>
      <c r="I15" s="2219" t="str">
        <f>IF(A13="出让",IF(I13="","",ROUNDDOWN(MIN((I13-$D$3)/365,I14),2)),I14)</f>
        <v/>
      </c>
      <c r="J15" s="2803"/>
      <c r="K15" s="1668"/>
      <c r="L15" s="1668"/>
      <c r="M15" s="2243"/>
      <c r="N15" s="1668"/>
      <c r="O15" s="2243"/>
      <c r="P15" s="2243"/>
      <c r="Q15" s="2243"/>
      <c r="AD15" s="1616"/>
    </row>
    <row r="16" spans="1:30">
      <c r="A16" s="2209" t="s">
        <v>2193</v>
      </c>
      <c r="B16" s="3257"/>
      <c r="C16" s="3258"/>
      <c r="D16" s="3259"/>
      <c r="E16" s="2220" t="s">
        <v>2194</v>
      </c>
      <c r="F16" s="3260"/>
      <c r="G16" s="3261"/>
      <c r="H16" s="3261"/>
      <c r="I16" s="3262"/>
      <c r="J16" s="2243"/>
      <c r="K16" s="2401"/>
      <c r="L16" s="1668"/>
      <c r="M16" s="1668"/>
      <c r="N16" s="2243"/>
      <c r="O16" s="1668"/>
      <c r="P16" s="2243"/>
      <c r="Q16" s="2243"/>
      <c r="R16" s="2243"/>
    </row>
    <row r="17" spans="1:28">
      <c r="A17" s="304" t="s">
        <v>2195</v>
      </c>
      <c r="B17" s="293" t="s">
        <v>2196</v>
      </c>
      <c r="C17" s="8">
        <f>'数据-汇总表'!E3</f>
        <v>48377.229999999996</v>
      </c>
      <c r="D17" s="1254" t="s">
        <v>2197</v>
      </c>
      <c r="E17" s="3263" t="s">
        <v>2198</v>
      </c>
      <c r="F17" s="3264"/>
      <c r="G17" s="3264"/>
      <c r="H17" s="3264"/>
      <c r="I17" s="3265"/>
      <c r="J17" s="2243"/>
      <c r="K17" s="2402"/>
      <c r="L17" s="1668"/>
      <c r="M17" s="1668"/>
      <c r="N17" s="2243"/>
      <c r="O17" s="1668"/>
      <c r="P17" s="2243"/>
      <c r="Q17" s="2243"/>
      <c r="R17" s="2243"/>
      <c r="S17" s="2243"/>
      <c r="T17" s="2243"/>
      <c r="U17" s="2243"/>
      <c r="V17" s="2243"/>
    </row>
    <row r="18" spans="1:28" ht="24.6" thickBot="1">
      <c r="A18" s="2221" t="s">
        <v>2199</v>
      </c>
      <c r="B18" s="1026" t="s">
        <v>2200</v>
      </c>
      <c r="C18" s="2222">
        <f>'数据-汇总表'!D3</f>
        <v>14991.03</v>
      </c>
      <c r="D18" s="1028" t="s">
        <v>2201</v>
      </c>
      <c r="E18" s="3266" t="s">
        <v>2202</v>
      </c>
      <c r="F18" s="3267"/>
      <c r="G18" s="3267"/>
      <c r="H18" s="3267"/>
      <c r="I18" s="3268"/>
      <c r="J18" s="2243"/>
      <c r="K18" s="2402"/>
      <c r="L18" s="1668"/>
      <c r="M18" s="1668"/>
      <c r="N18" s="2243"/>
      <c r="O18" s="1668"/>
      <c r="P18" s="2243"/>
      <c r="Q18" s="2243"/>
      <c r="R18" s="2243"/>
      <c r="S18" s="2243"/>
      <c r="T18" s="2243"/>
      <c r="U18" s="2243"/>
      <c r="V18" s="2243"/>
    </row>
    <row r="19" spans="1:28" ht="37.200000000000003" thickTop="1" thickBot="1">
      <c r="A19" s="318" t="s">
        <v>1055</v>
      </c>
      <c r="B19" s="298" t="s">
        <v>2203</v>
      </c>
      <c r="C19" s="1453" t="s">
        <v>3567</v>
      </c>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53" t="s">
        <v>2206</v>
      </c>
      <c r="C20" s="3254"/>
      <c r="D20" s="3255" t="s">
        <v>2207</v>
      </c>
      <c r="E20" s="3256"/>
      <c r="F20" s="2428" t="s">
        <v>1056</v>
      </c>
      <c r="G20" s="2440"/>
      <c r="H20" s="2440"/>
      <c r="I20" s="2440"/>
      <c r="J20" s="2243"/>
      <c r="K20" s="325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5"/>
      <c r="B21" s="2416" t="s">
        <v>2209</v>
      </c>
      <c r="C21" s="2294" t="s">
        <v>1057</v>
      </c>
      <c r="D21" s="1458" t="s">
        <v>2210</v>
      </c>
      <c r="E21" s="2417" t="s">
        <v>1057</v>
      </c>
      <c r="F21" s="2429"/>
      <c r="G21" s="2440"/>
      <c r="H21" s="2440"/>
      <c r="I21" s="2440"/>
      <c r="J21" s="2243"/>
      <c r="K21" s="325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5"/>
      <c r="B22" s="2418" t="s">
        <v>2211</v>
      </c>
      <c r="C22" s="2294" t="s">
        <v>1058</v>
      </c>
      <c r="D22" s="2440"/>
      <c r="E22" s="2440"/>
      <c r="F22" s="2440"/>
      <c r="G22" s="2440"/>
      <c r="H22" s="2440"/>
      <c r="I22" s="2440"/>
      <c r="J22" s="2243"/>
      <c r="K22" s="325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8" thickTop="1">
      <c r="A27" s="3270" t="s">
        <v>2214</v>
      </c>
      <c r="B27" s="311" t="s">
        <v>2215</v>
      </c>
      <c r="C27" s="2223" t="s">
        <v>3568</v>
      </c>
      <c r="D27" s="2224"/>
      <c r="E27" s="2440"/>
      <c r="F27" s="2440"/>
      <c r="G27" s="2440"/>
      <c r="H27" s="2440"/>
      <c r="I27" s="2440"/>
      <c r="J27" s="2243"/>
      <c r="K27" s="2401"/>
      <c r="L27" s="1668"/>
      <c r="M27" s="1668"/>
      <c r="N27" s="2243"/>
      <c r="O27" s="1668"/>
      <c r="P27" s="2243"/>
      <c r="Q27" s="2243"/>
      <c r="R27" s="2243"/>
      <c r="S27" s="2243"/>
      <c r="T27" s="2243"/>
      <c r="U27" s="2243"/>
      <c r="V27" s="2243"/>
    </row>
    <row r="28" spans="1:28">
      <c r="A28" s="3270"/>
      <c r="B28" s="293"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70"/>
      <c r="B29" s="293"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71"/>
      <c r="B30" s="293" t="s">
        <v>2218</v>
      </c>
      <c r="C30" s="3272"/>
      <c r="D30" s="3273"/>
      <c r="E30" s="2440"/>
      <c r="F30" s="2440"/>
      <c r="G30" s="2440"/>
      <c r="H30" s="2440"/>
      <c r="I30" s="2440"/>
      <c r="J30" s="2243"/>
      <c r="K30" s="2400"/>
      <c r="L30" s="2397"/>
      <c r="M30" s="2397"/>
      <c r="N30" s="2243"/>
      <c r="O30" s="1668"/>
      <c r="P30" s="2243"/>
      <c r="Q30" s="2243"/>
      <c r="R30" s="2243"/>
      <c r="S30" s="2243"/>
      <c r="T30" s="2243"/>
      <c r="U30" s="2243"/>
      <c r="V30" s="2243"/>
    </row>
    <row r="31" spans="1:28">
      <c r="A31" s="3274" t="s">
        <v>2219</v>
      </c>
      <c r="B31" s="2229" t="s">
        <v>3569</v>
      </c>
      <c r="C31" s="12" t="str">
        <f>IF(B31="现房","成新及维护状况正常否",IF(B31="在建","工程状态是否正常",IF(B31="土地","是否闲置","-")))</f>
        <v>成新及维护状况正常否</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75"/>
      <c r="B32" s="3174" t="s">
        <v>3570</v>
      </c>
      <c r="C32" s="12" t="str">
        <f>IF(B32="现房","成新及维护状况是否正常",IF(B32="在建","工程状态是否正常",IF(B32="土地","是否闲置","-")))</f>
        <v>工程状态是否正常</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75"/>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3" t="s">
        <v>2220</v>
      </c>
      <c r="B34" s="1868"/>
      <c r="C34" s="1868"/>
      <c r="D34" s="1868"/>
      <c r="E34" s="1868"/>
      <c r="F34" s="1868"/>
      <c r="G34" s="1868"/>
      <c r="H34" s="1868"/>
      <c r="I34" s="2440"/>
      <c r="J34" s="2243"/>
      <c r="K34" s="8">
        <f>COUNTIF(B34:H34,"——")</f>
        <v>0</v>
      </c>
      <c r="L34" s="314" t="s">
        <v>2221</v>
      </c>
      <c r="M34" s="314" t="s">
        <v>2222</v>
      </c>
      <c r="N34" s="314" t="s">
        <v>2223</v>
      </c>
      <c r="O34" s="314" t="s">
        <v>2224</v>
      </c>
      <c r="P34" s="314" t="s">
        <v>2225</v>
      </c>
      <c r="Q34" s="314" t="s">
        <v>2226</v>
      </c>
      <c r="R34" s="314" t="s">
        <v>2227</v>
      </c>
      <c r="S34" s="3269" t="s">
        <v>2228</v>
      </c>
      <c r="T34" s="314" t="str">
        <f>NUMBERSTRING(7-K34,1)&amp;"通"</f>
        <v>七通</v>
      </c>
      <c r="U34" s="2243"/>
      <c r="V34" s="2243"/>
    </row>
    <row r="35" spans="1:30">
      <c r="A35" s="2234"/>
      <c r="B35" s="3269" t="s">
        <v>2229</v>
      </c>
      <c r="C35" s="3269"/>
      <c r="D35" s="3269"/>
      <c r="E35" s="3269"/>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9"/>
      <c r="T35" s="137" t="str">
        <f>IF(T34="一通",L35,IF(T34="二通",M35,IF(T34="三通",N35,IF(T34="四通",O35,IF(T34="五通",P35,IF(T34="六通",Q35,R35))))))</f>
        <v>、、、、、、</v>
      </c>
      <c r="U35" s="2243"/>
      <c r="V35" s="2243"/>
    </row>
    <row r="36" spans="1:30">
      <c r="A36" s="2181"/>
      <c r="B36" s="8" t="s">
        <v>2185</v>
      </c>
      <c r="C36" s="8" t="s">
        <v>2186</v>
      </c>
      <c r="D36" s="8" t="s">
        <v>2184</v>
      </c>
      <c r="E36" s="8" t="s">
        <v>2189</v>
      </c>
      <c r="F36" s="2799" t="s">
        <v>2581</v>
      </c>
      <c r="G36" s="2440"/>
      <c r="H36" s="2440"/>
      <c r="I36" s="2440"/>
      <c r="J36" s="2243"/>
      <c r="K36" s="2400"/>
      <c r="L36" s="2397"/>
      <c r="M36" s="2397"/>
      <c r="N36" s="2243"/>
      <c r="O36" s="1668"/>
      <c r="P36" s="2243"/>
      <c r="Q36" s="2243"/>
      <c r="R36" s="2243"/>
      <c r="S36" s="2243"/>
      <c r="T36" s="2243"/>
      <c r="U36" s="2243"/>
      <c r="V36" s="2243"/>
    </row>
    <row r="37" spans="1:30">
      <c r="A37" s="2413" t="s">
        <v>2230</v>
      </c>
      <c r="B37" s="2235"/>
      <c r="C37" s="2235"/>
      <c r="D37" s="2235"/>
      <c r="E37" s="2235" t="s">
        <v>304</v>
      </c>
      <c r="F37" s="2235"/>
      <c r="G37" s="2440"/>
      <c r="H37" s="2440"/>
      <c r="I37" s="2440"/>
      <c r="J37" s="2243"/>
      <c r="K37" s="2400"/>
      <c r="L37" s="2397"/>
      <c r="M37" s="2397"/>
      <c r="N37" s="2243"/>
      <c r="O37" s="1668"/>
      <c r="P37" s="2243"/>
      <c r="Q37" s="2243"/>
      <c r="R37" s="2243"/>
      <c r="S37" s="2243"/>
      <c r="T37" s="2243"/>
      <c r="U37" s="2243"/>
      <c r="V37" s="2243"/>
    </row>
    <row r="38" spans="1:30" ht="13.8" thickBot="1">
      <c r="A38" s="2414" t="s">
        <v>2231</v>
      </c>
      <c r="B38" s="2236"/>
      <c r="C38" s="2236"/>
      <c r="D38" s="2236"/>
      <c r="E38" s="2236" t="s">
        <v>3617</v>
      </c>
      <c r="F38" s="2236"/>
      <c r="G38" s="2441"/>
      <c r="H38" s="2441"/>
      <c r="I38" s="2441"/>
      <c r="J38" s="2243"/>
      <c r="K38" s="2400"/>
      <c r="L38" s="2397"/>
      <c r="M38" s="2397"/>
      <c r="N38" s="2243"/>
      <c r="O38" s="1668"/>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T15" sqref="AT15"/>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f>面积清单!H3</f>
        <v>31860</v>
      </c>
      <c r="B3" s="11">
        <f>IF(C3="否",G5-AT5,G5)</f>
        <v>102814.69</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6"/>
      <c r="AV5" s="12" t="s">
        <v>1071</v>
      </c>
      <c r="AW5" s="1257"/>
      <c r="AX5" s="1257"/>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5" customFormat="1" ht="13.2">
      <c r="A6" s="12" t="s">
        <v>1072</v>
      </c>
      <c r="B6" s="1472"/>
      <c r="C6" s="1472"/>
      <c r="D6" s="1473"/>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1091</v>
      </c>
      <c r="I9" s="1489" t="s">
        <v>3573</v>
      </c>
      <c r="J9" s="760"/>
      <c r="K9" s="1489" t="s">
        <v>3574</v>
      </c>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3.2">
      <c r="A10" s="1480"/>
      <c r="B10" s="1480"/>
      <c r="C10" s="1480"/>
      <c r="D10" s="1480"/>
      <c r="E10" s="1480"/>
      <c r="F10" s="1480"/>
      <c r="G10" s="1006"/>
      <c r="H10" s="25"/>
      <c r="I10" s="1489" t="s">
        <v>3</v>
      </c>
      <c r="J10" s="760"/>
      <c r="K10" s="1495" t="s">
        <v>3335</v>
      </c>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工业</v>
      </c>
      <c r="BC11" s="1485" t="str">
        <f>K10</f>
        <v>车库</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3160" t="s">
        <v>3571</v>
      </c>
      <c r="D13" s="1511" t="s">
        <v>3567</v>
      </c>
      <c r="E13" s="13">
        <f>IF($C$3="是",ROUND($A$3*G13/$B$3,2),ROUND($A$3*(G13-AT13)/$B$3,2))</f>
        <v>14991.03</v>
      </c>
      <c r="F13" s="29"/>
      <c r="G13" s="30">
        <f>H13+AC13+AT13</f>
        <v>48377.229999999996</v>
      </c>
      <c r="H13" s="17">
        <f>SUMIF(I$12:AB$12,"总值",I13:AB13)</f>
        <v>47794.89</v>
      </c>
      <c r="I13" s="1512">
        <f>面积清单!D14</f>
        <v>28321.48</v>
      </c>
      <c r="J13" s="1512"/>
      <c r="K13" s="1512">
        <f>面积清单!D15</f>
        <v>19473.41</v>
      </c>
      <c r="L13" s="1512"/>
      <c r="M13" s="1512"/>
      <c r="N13" s="1512"/>
      <c r="O13" s="1512"/>
      <c r="P13" s="1512"/>
      <c r="Q13" s="1512"/>
      <c r="R13" s="1512"/>
      <c r="S13" s="1512"/>
      <c r="T13" s="1512"/>
      <c r="U13" s="1512"/>
      <c r="V13" s="1512"/>
      <c r="W13" s="1512"/>
      <c r="X13" s="1512"/>
      <c r="Y13" s="1512"/>
      <c r="Z13" s="1512"/>
      <c r="AA13" s="1512"/>
      <c r="AB13" s="1512"/>
      <c r="AC13" s="13">
        <f>SUMIF(AD$12:AS$12,"总值",AD13:AS13)</f>
        <v>582.34</v>
      </c>
      <c r="AD13" s="988"/>
      <c r="AE13" s="988"/>
      <c r="AF13" s="988"/>
      <c r="AG13" s="988"/>
      <c r="AH13" s="988"/>
      <c r="AI13" s="988"/>
      <c r="AJ13" s="988"/>
      <c r="AK13" s="988"/>
      <c r="AL13" s="988">
        <f>面积清单!D16</f>
        <v>582.34</v>
      </c>
      <c r="AM13" s="988"/>
      <c r="AN13" s="988"/>
      <c r="AO13" s="988"/>
      <c r="AP13" s="988"/>
      <c r="AQ13" s="988"/>
      <c r="AR13" s="988"/>
      <c r="AS13" s="988"/>
      <c r="AT13" s="29"/>
      <c r="AU13" s="1513"/>
      <c r="AV13" s="8">
        <f t="shared" ref="AV13:AX17" si="6">A13</f>
        <v>0</v>
      </c>
      <c r="AW13" s="8">
        <f t="shared" si="6"/>
        <v>0</v>
      </c>
      <c r="AX13" s="8" t="str">
        <f t="shared" si="6"/>
        <v>一、二期</v>
      </c>
      <c r="AY13" s="1258">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6" customFormat="1" ht="26.4">
      <c r="A14" s="627"/>
      <c r="B14" s="3160" t="s">
        <v>3575</v>
      </c>
      <c r="C14" s="3161" t="s">
        <v>3572</v>
      </c>
      <c r="D14" s="1511" t="s">
        <v>3614</v>
      </c>
      <c r="E14" s="13">
        <f>IF($C$3="是",ROUND($A$3*G14/$B$3,2),ROUND($A$3*(G14-AT14)/$B$3,2))</f>
        <v>16868.97</v>
      </c>
      <c r="F14" s="29"/>
      <c r="G14" s="30">
        <f>H14+AC14+AT14</f>
        <v>58294.210000000006</v>
      </c>
      <c r="H14" s="17">
        <f>SUMIF(I$12:AB$12,"总值",I14:AB14)</f>
        <v>54437.460000000006</v>
      </c>
      <c r="I14" s="1512">
        <f>面积清单!C47</f>
        <v>34718.740000000005</v>
      </c>
      <c r="J14" s="1512"/>
      <c r="K14" s="1512">
        <f>面积清单!D47</f>
        <v>19718.72</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f>面积清单!D43+面积清单!C41</f>
        <v>3856.75</v>
      </c>
      <c r="AU14" s="1513"/>
      <c r="AV14" s="8">
        <f t="shared" si="6"/>
        <v>0</v>
      </c>
      <c r="AW14" s="8" t="str">
        <f t="shared" si="6"/>
        <v>竣工多测合一</v>
      </c>
      <c r="AX14" s="8" t="str">
        <f t="shared" si="6"/>
        <v>三、四期</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5" t="s">
        <v>1131</v>
      </c>
      <c r="B2" s="3285"/>
      <c r="C2" s="3285"/>
      <c r="D2" s="747" t="s">
        <v>1107</v>
      </c>
      <c r="E2" s="1521" t="s">
        <v>1108</v>
      </c>
      <c r="F2" s="2437"/>
      <c r="G2" s="2430"/>
      <c r="H2" s="2431"/>
      <c r="I2" s="2144" t="s">
        <v>1132</v>
      </c>
      <c r="J2" s="2437"/>
      <c r="K2" s="2437"/>
      <c r="L2" s="2437"/>
      <c r="M2" s="2437"/>
      <c r="N2" s="2438"/>
      <c r="O2" s="2437"/>
      <c r="P2" s="2437"/>
    </row>
    <row r="3" spans="1:16" ht="15" thickBot="1">
      <c r="A3" s="3286" t="s">
        <v>1105</v>
      </c>
      <c r="B3" s="3286"/>
      <c r="C3" s="3286"/>
      <c r="D3" s="41">
        <f>'数据-基础表'!AY6</f>
        <v>14991.03</v>
      </c>
      <c r="E3" s="41">
        <f>'数据-基础表'!AZ5</f>
        <v>48377.229999999996</v>
      </c>
      <c r="F3" s="2437"/>
      <c r="G3" s="42"/>
      <c r="H3" s="43" t="s">
        <v>1106</v>
      </c>
      <c r="I3" s="801">
        <f>ROUND('数据-基础表'!B3/'数据-基础表'!A3,2)</f>
        <v>3.23</v>
      </c>
      <c r="J3" s="2437"/>
      <c r="K3" s="2437"/>
      <c r="L3" s="2437"/>
      <c r="M3" s="2437"/>
      <c r="N3" s="2438"/>
      <c r="O3" s="2437"/>
      <c r="P3" s="2437"/>
    </row>
    <row r="4" spans="1:16" ht="14.4">
      <c r="A4" s="3287"/>
      <c r="B4" s="3288"/>
      <c r="C4" s="3289"/>
      <c r="D4" s="1522" t="s">
        <v>1107</v>
      </c>
      <c r="E4" s="1523" t="s">
        <v>1108</v>
      </c>
      <c r="F4" s="2437"/>
      <c r="G4" s="2432" t="s">
        <v>1133</v>
      </c>
      <c r="H4" s="43" t="s">
        <v>1113</v>
      </c>
      <c r="I4" s="801">
        <f>ROUND(SUMIF('数据-基础表'!I9:AS9,"地上",'数据-基础表'!I5:AS5)/'数据-基础表'!A3,2)</f>
        <v>2</v>
      </c>
      <c r="J4" s="2437"/>
      <c r="K4" s="2437"/>
      <c r="L4" s="2437"/>
      <c r="M4" s="2437"/>
      <c r="N4" s="2438"/>
      <c r="O4" s="2437"/>
      <c r="P4" s="2437"/>
    </row>
    <row r="5" spans="1:16" ht="14.4">
      <c r="A5" s="42" t="s">
        <v>1109</v>
      </c>
      <c r="B5" s="3290" t="s">
        <v>1110</v>
      </c>
      <c r="C5" s="3290"/>
      <c r="D5" s="43">
        <f>ROUND($D$3*E5/$E$3,2)</f>
        <v>0</v>
      </c>
      <c r="E5" s="44">
        <f>SUMIF('数据-基础表'!$11:$11,"住宅",'数据-基础表'!$5:$5)</f>
        <v>0</v>
      </c>
      <c r="F5" s="2437"/>
      <c r="G5" s="42"/>
      <c r="H5" s="43" t="s">
        <v>1106</v>
      </c>
      <c r="I5" s="801">
        <f>ROUND(E31/D31,2)</f>
        <v>3.23</v>
      </c>
      <c r="J5" s="2437"/>
      <c r="K5" s="2437"/>
      <c r="L5" s="2437"/>
      <c r="M5" s="2437"/>
      <c r="N5" s="2437"/>
      <c r="O5" s="2437"/>
      <c r="P5" s="2437"/>
    </row>
    <row r="6" spans="1:16" ht="15" thickBot="1">
      <c r="A6" s="1525"/>
      <c r="B6" s="3290" t="s">
        <v>1111</v>
      </c>
      <c r="C6" s="3290"/>
      <c r="D6" s="43">
        <f>ROUND($D$3*E6/$E$3,2)</f>
        <v>14991.03</v>
      </c>
      <c r="E6" s="44">
        <f>E3-E5</f>
        <v>48377.229999999996</v>
      </c>
      <c r="F6" s="2437"/>
      <c r="G6" s="1527" t="s">
        <v>1112</v>
      </c>
      <c r="H6" s="45" t="s">
        <v>1113</v>
      </c>
      <c r="I6" s="2433">
        <f>ROUND(F31/D31,2)</f>
        <v>1.93</v>
      </c>
      <c r="J6" s="2437"/>
      <c r="K6" s="2437"/>
      <c r="L6" s="2437"/>
      <c r="M6" s="2437"/>
      <c r="N6" s="2437"/>
      <c r="O6" s="2437"/>
      <c r="P6" s="2437"/>
    </row>
    <row r="7" spans="1:16" ht="15" thickBot="1">
      <c r="A7" s="3282"/>
      <c r="B7" s="3283"/>
      <c r="C7" s="3284"/>
      <c r="D7" s="1522" t="s">
        <v>1107</v>
      </c>
      <c r="E7" s="1526"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8776.2000000000007</v>
      </c>
      <c r="E8" s="46">
        <f>SUMIF('数据-基础表'!BB10:BK10,"地上",'数据-基础表'!BB5:BK5)</f>
        <v>28321.48</v>
      </c>
      <c r="F8" s="2437"/>
      <c r="G8" s="2437"/>
      <c r="H8" s="2437"/>
      <c r="I8" s="2437"/>
      <c r="J8" s="2437"/>
      <c r="K8" s="2437"/>
      <c r="L8" s="2437"/>
      <c r="M8" s="2437"/>
      <c r="N8" s="2437"/>
      <c r="O8" s="2437"/>
      <c r="P8" s="2437"/>
    </row>
    <row r="9" spans="1:16" ht="14.4">
      <c r="A9" s="1527"/>
      <c r="B9" s="1528"/>
      <c r="C9" s="43" t="s">
        <v>1119</v>
      </c>
      <c r="D9" s="43">
        <f t="shared" si="0"/>
        <v>0</v>
      </c>
      <c r="E9" s="47">
        <v>0</v>
      </c>
      <c r="F9" s="2437"/>
      <c r="G9" s="2437"/>
      <c r="H9" s="2437"/>
      <c r="I9" s="2437"/>
      <c r="J9" s="2437"/>
      <c r="K9" s="2437"/>
      <c r="L9" s="2437"/>
      <c r="M9" s="2437"/>
      <c r="N9" s="2437"/>
      <c r="O9" s="2437"/>
      <c r="P9" s="2437"/>
    </row>
    <row r="10" spans="1:16" ht="14.4">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7"/>
      <c r="B13" s="1528"/>
      <c r="C13" s="43" t="s">
        <v>1122</v>
      </c>
      <c r="D13" s="43">
        <f t="shared" si="0"/>
        <v>6034.38</v>
      </c>
      <c r="E13" s="46">
        <f>SUMPRODUCT(('数据-基础表'!BB10:BK10="地下")*('数据-基础表'!BB11:BK11="车库")*('数据-基础表'!BB5:BK5))</f>
        <v>19473.41</v>
      </c>
      <c r="F13" s="2437"/>
      <c r="G13" s="2437"/>
      <c r="H13" s="2437"/>
      <c r="I13" s="2437"/>
      <c r="J13" s="2437"/>
      <c r="K13" s="2437"/>
      <c r="L13" s="2437"/>
      <c r="M13" s="2437"/>
      <c r="N13" s="2437"/>
      <c r="O13" s="2437"/>
      <c r="P13" s="2437"/>
    </row>
    <row r="14" spans="1:16" ht="14.4">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5"/>
      <c r="B16" s="1528"/>
      <c r="C16" s="45" t="s">
        <v>1123</v>
      </c>
      <c r="D16" s="45">
        <f>SUM(D8:D15)</f>
        <v>14810.580000000002</v>
      </c>
      <c r="E16" s="48">
        <f>SUM(E8:E15)</f>
        <v>47794.89</v>
      </c>
      <c r="F16" s="2437"/>
      <c r="G16" s="2437"/>
      <c r="H16" s="1529" t="s">
        <v>1135</v>
      </c>
      <c r="I16" s="1530"/>
      <c r="J16" s="1069"/>
      <c r="K16" s="3279" t="s">
        <v>1135</v>
      </c>
      <c r="L16" s="3280"/>
      <c r="M16" s="3280"/>
      <c r="N16" s="3280"/>
      <c r="O16" s="3280"/>
      <c r="P16" s="3281"/>
    </row>
    <row r="17" spans="1:19" ht="14.4">
      <c r="A17" s="1531" t="s">
        <v>1136</v>
      </c>
      <c r="B17" s="1532" t="s">
        <v>1137</v>
      </c>
      <c r="C17" s="1533" t="s">
        <v>1138</v>
      </c>
      <c r="D17" s="1534" t="s">
        <v>1126</v>
      </c>
      <c r="E17" s="1535" t="s">
        <v>1127</v>
      </c>
      <c r="F17" s="1536"/>
      <c r="G17" s="1537"/>
      <c r="H17" s="1538" t="s">
        <v>1139</v>
      </c>
      <c r="I17" s="1539" t="s">
        <v>1124</v>
      </c>
      <c r="J17" s="1069"/>
      <c r="K17" s="3276" t="s">
        <v>1140</v>
      </c>
      <c r="L17" s="3277"/>
      <c r="M17" s="3278"/>
      <c r="N17" s="3276" t="s">
        <v>1141</v>
      </c>
      <c r="O17" s="3277"/>
      <c r="P17" s="3278"/>
      <c r="R17" s="768" t="s">
        <v>1142</v>
      </c>
      <c r="S17" s="54"/>
    </row>
    <row r="18" spans="1:19" ht="14.4">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3" t="s">
        <v>1151</v>
      </c>
      <c r="S18" s="43" t="s">
        <v>1152</v>
      </c>
    </row>
    <row r="19" spans="1:19" ht="14.4">
      <c r="A19" s="1547"/>
      <c r="B19" s="45" t="s">
        <v>1125</v>
      </c>
      <c r="C19" s="3114" t="s">
        <v>3648</v>
      </c>
      <c r="D19" s="43">
        <f>ROUND($D$3*E19/$E$3,2)</f>
        <v>8776.2000000000007</v>
      </c>
      <c r="E19" s="51">
        <f t="shared" ref="E19:E26" si="1">SUM(F19:G19)</f>
        <v>28321.48</v>
      </c>
      <c r="F19" s="2556">
        <f>'数据-基础表'!I13</f>
        <v>28321.48</v>
      </c>
      <c r="G19" s="1241"/>
      <c r="H19" s="636">
        <f>ROUND($D$3*I19/$E$3,2)</f>
        <v>106.93</v>
      </c>
      <c r="I19" s="46">
        <f t="shared" ref="I19:I26" si="2">IF($I$17="自定义",P19,M19)</f>
        <v>345.07</v>
      </c>
      <c r="J19" s="1069"/>
      <c r="K19" s="636">
        <f t="shared" ref="K19:K26" si="3">ROUND(E$28*E19/E$27,2)</f>
        <v>345.07</v>
      </c>
      <c r="L19" s="43">
        <f t="shared" ref="L19:L26" si="4">ROUND(IF(COUNTIF(C19,"*住宅*")&gt;0,E$29*E19/E$32,0),2)</f>
        <v>0</v>
      </c>
      <c r="M19" s="46">
        <f>K19+L19</f>
        <v>345.07</v>
      </c>
      <c r="N19" s="1548"/>
      <c r="O19" s="1549"/>
      <c r="P19" s="46">
        <f>N19+O19</f>
        <v>0</v>
      </c>
      <c r="R19" s="43">
        <f t="shared" ref="R19:S26" si="5">D19+H19</f>
        <v>8883.130000000001</v>
      </c>
      <c r="S19" s="51">
        <f t="shared" si="5"/>
        <v>28666.55</v>
      </c>
    </row>
    <row r="20" spans="1:19" ht="14.4">
      <c r="A20" s="1547"/>
      <c r="B20" s="45" t="s">
        <v>1153</v>
      </c>
      <c r="C20" s="3114" t="s">
        <v>3623</v>
      </c>
      <c r="D20" s="43">
        <f t="shared" ref="D20:D26" si="6">ROUND($D$3*E20/$E$3,2)</f>
        <v>6034.38</v>
      </c>
      <c r="E20" s="51">
        <f t="shared" si="1"/>
        <v>19473.41</v>
      </c>
      <c r="F20" s="2556"/>
      <c r="G20" s="1241">
        <f>'数据-基础表'!K13</f>
        <v>19473.41</v>
      </c>
      <c r="H20" s="636">
        <f t="shared" ref="H20:H26" si="7">ROUND($D$3*I20/$E$3,2)</f>
        <v>73.52</v>
      </c>
      <c r="I20" s="46">
        <f t="shared" si="2"/>
        <v>237.27</v>
      </c>
      <c r="J20" s="1069"/>
      <c r="K20" s="636">
        <f t="shared" si="3"/>
        <v>237.27</v>
      </c>
      <c r="L20" s="43">
        <f t="shared" si="4"/>
        <v>0</v>
      </c>
      <c r="M20" s="46">
        <f t="shared" ref="M20:M26" si="8">K20+L20</f>
        <v>237.27</v>
      </c>
      <c r="N20" s="1548"/>
      <c r="O20" s="1549"/>
      <c r="P20" s="46">
        <f t="shared" ref="P20:P26" si="9">N20+O20</f>
        <v>0</v>
      </c>
      <c r="R20" s="43">
        <f t="shared" si="5"/>
        <v>6107.9000000000005</v>
      </c>
      <c r="S20" s="51">
        <f t="shared" si="5"/>
        <v>19710.68</v>
      </c>
    </row>
    <row r="21" spans="1:19" ht="14.4">
      <c r="A21" s="1547"/>
      <c r="B21" s="45" t="s">
        <v>1153</v>
      </c>
      <c r="C21" s="3114"/>
      <c r="D21" s="43">
        <f t="shared" si="6"/>
        <v>0</v>
      </c>
      <c r="E21" s="51">
        <f t="shared" si="1"/>
        <v>0</v>
      </c>
      <c r="F21" s="2556"/>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1153</v>
      </c>
      <c r="C22" s="3115"/>
      <c r="D22" s="43">
        <f t="shared" si="6"/>
        <v>0</v>
      </c>
      <c r="E22" s="51">
        <f t="shared" si="1"/>
        <v>0</v>
      </c>
      <c r="F22" s="2557"/>
      <c r="G22" s="2558"/>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1153</v>
      </c>
      <c r="C23" s="3115"/>
      <c r="D23" s="43">
        <f>ROUND($D$3*E23/$E$3,2)</f>
        <v>0</v>
      </c>
      <c r="E23" s="51">
        <f>SUM(F23:G23)</f>
        <v>0</v>
      </c>
      <c r="F23" s="2557"/>
      <c r="G23" s="2558"/>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1153</v>
      </c>
      <c r="C24" s="3115"/>
      <c r="D24" s="43">
        <f>ROUND($D$3*E24/$E$3,2)</f>
        <v>0</v>
      </c>
      <c r="E24" s="51">
        <f>SUM(F24:G24)</f>
        <v>0</v>
      </c>
      <c r="F24" s="2557"/>
      <c r="G24" s="2558"/>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1153</v>
      </c>
      <c r="C25" s="3115"/>
      <c r="D25" s="43">
        <f t="shared" si="6"/>
        <v>0</v>
      </c>
      <c r="E25" s="51">
        <f t="shared" si="1"/>
        <v>0</v>
      </c>
      <c r="F25" s="2557"/>
      <c r="G25" s="2558"/>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14810.580000000002</v>
      </c>
      <c r="E27" s="1071">
        <f>IF(SUM(E19:E26)='数据-基础表'!BA5,SUM(E19:E26),IF(F27="地上面积有误","面积有误","地下面积有误"))</f>
        <v>47794.89</v>
      </c>
      <c r="F27" s="1070">
        <f>IF(SUM(F19:F26)=E8,SUM(F19:F26),"地上面积有误")</f>
        <v>28321.48</v>
      </c>
      <c r="G27" s="1072">
        <f>SUM(G19:G26)</f>
        <v>19473.41</v>
      </c>
      <c r="H27" s="1073">
        <f>SUM(H19:H26)</f>
        <v>180.45</v>
      </c>
      <c r="I27" s="1074">
        <f>SUM(I19:I26)</f>
        <v>582.34</v>
      </c>
      <c r="J27" s="1069"/>
      <c r="K27" s="1075">
        <f>SUM(K19:K26)</f>
        <v>582.34</v>
      </c>
      <c r="L27" s="784">
        <f>SUM(L19:L26)</f>
        <v>0</v>
      </c>
      <c r="M27" s="1076">
        <f>SUM(M19:M26)</f>
        <v>582.34</v>
      </c>
      <c r="N27" s="1075">
        <f t="shared" ref="N27:O27" si="10">SUM(N19:N26)</f>
        <v>0</v>
      </c>
      <c r="O27" s="784">
        <f t="shared" si="10"/>
        <v>0</v>
      </c>
      <c r="P27" s="94">
        <f>SUM(P19:P26)</f>
        <v>0</v>
      </c>
      <c r="R27" s="967">
        <f>IF(SUM(R19:R26)=$D$3,SUM(R19:R26),SUM(R19:R26)&amp;"误差"&amp;ROUND(SUM(R19:R26)-$D$3,2))</f>
        <v>14991.030000000002</v>
      </c>
      <c r="S27" s="43">
        <f>IF(SUM(S19:S26)=$E$3,SUM(S19:S26),SUM(S19:S26)&amp;"误差"&amp;ROUND(SUM(S19:S26)-E3,2))</f>
        <v>48377.229999999996</v>
      </c>
    </row>
    <row r="28" spans="1:19" ht="14.4">
      <c r="A28" s="1547"/>
      <c r="B28" s="45" t="s">
        <v>1155</v>
      </c>
      <c r="C28" s="54" t="s">
        <v>1156</v>
      </c>
      <c r="D28" s="43">
        <f>ROUND($D$3*E28/$E$3,2)</f>
        <v>180.45</v>
      </c>
      <c r="E28" s="51">
        <f>SUM(F28:G28)</f>
        <v>582.34</v>
      </c>
      <c r="F28" s="54">
        <f>'数据-基础表'!BQ5+'数据-基础表'!BS5</f>
        <v>582.34</v>
      </c>
      <c r="G28" s="55">
        <f>'数据-基础表'!BR5+'数据-基础表'!BT5</f>
        <v>0</v>
      </c>
      <c r="H28" s="2437"/>
      <c r="I28" s="2437"/>
      <c r="J28" s="2437"/>
      <c r="K28" s="2437"/>
      <c r="L28" s="2437"/>
      <c r="M28" s="2437"/>
      <c r="N28" s="2437"/>
      <c r="O28" s="2437"/>
      <c r="P28" s="2437"/>
    </row>
    <row r="29" spans="1:19" ht="14.4">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7"/>
      <c r="B30" s="45"/>
      <c r="C30" s="1554" t="s">
        <v>1154</v>
      </c>
      <c r="D30" s="1070">
        <f>SUM(D28:D29)</f>
        <v>180.45</v>
      </c>
      <c r="E30" s="1070">
        <f>SUM(E28:E29)</f>
        <v>582.34</v>
      </c>
      <c r="F30" s="1070">
        <f>SUM(F28:F29)</f>
        <v>582.34</v>
      </c>
      <c r="G30" s="1072">
        <f>SUM(G28:G29)</f>
        <v>0</v>
      </c>
      <c r="H30" s="2437"/>
      <c r="I30" s="2437"/>
      <c r="J30" s="2437"/>
      <c r="K30" s="2437"/>
      <c r="L30" s="2437"/>
      <c r="M30" s="2437"/>
      <c r="N30" s="2437"/>
      <c r="O30" s="2437"/>
      <c r="P30" s="2437"/>
    </row>
    <row r="31" spans="1:19" ht="15" thickBot="1">
      <c r="A31" s="1555"/>
      <c r="B31" s="96"/>
      <c r="C31" s="784" t="s">
        <v>1158</v>
      </c>
      <c r="D31" s="642">
        <f>D27+D30</f>
        <v>14991.030000000002</v>
      </c>
      <c r="E31" s="642">
        <f>E27+E30</f>
        <v>48377.229999999996</v>
      </c>
      <c r="F31" s="643">
        <f>F27+F30</f>
        <v>28903.82</v>
      </c>
      <c r="G31" s="644">
        <f>G27+G30</f>
        <v>19473.41</v>
      </c>
      <c r="H31" s="2437"/>
      <c r="I31" s="2437"/>
      <c r="J31" s="2437"/>
      <c r="K31" s="2437"/>
      <c r="L31" s="2437"/>
      <c r="M31" s="2437"/>
      <c r="N31" s="2437"/>
      <c r="O31" s="2437"/>
      <c r="P31" s="2437"/>
    </row>
    <row r="32" spans="1:19" ht="14.4">
      <c r="A32" s="1524"/>
      <c r="B32" s="1524" t="s">
        <v>1159</v>
      </c>
      <c r="C32" s="1524"/>
      <c r="D32" s="1524"/>
      <c r="E32" s="989">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21" activePane="bottomRight" state="frozen"/>
      <selection activeCell="C50" sqref="C50"/>
      <selection pane="topRight" activeCell="C50" sqref="C50"/>
      <selection pane="bottomLeft" activeCell="C50" sqref="C50"/>
      <selection pane="bottomRight" activeCell="W29" sqref="W29"/>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5" width="11.8867187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3" width="7.21875" style="1559" customWidth="1"/>
    <col min="34" max="34" width="11.4414062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5"/>
      <c r="C1" s="121"/>
      <c r="D1" s="1558"/>
      <c r="E1" s="121"/>
      <c r="F1" s="121"/>
      <c r="G1" s="121"/>
      <c r="H1" s="121"/>
      <c r="I1" s="121"/>
      <c r="J1" s="121"/>
      <c r="K1" s="150"/>
      <c r="L1" s="150"/>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 thickBot="1">
      <c r="A2" s="1560" t="s">
        <v>1161</v>
      </c>
      <c r="B2" s="983">
        <f>项目基本情况!D3</f>
        <v>45607</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3.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3576</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办公</v>
      </c>
      <c r="B6" s="1585" t="str">
        <f>IF(A6=0,"","经营性")</f>
        <v>经营性</v>
      </c>
      <c r="C6" s="1586" t="s">
        <v>3</v>
      </c>
      <c r="D6" s="804">
        <f>SUMIF(项目基本情况!C$12:I$12,C6,项目基本情况!C$14:I$14)</f>
        <v>50</v>
      </c>
      <c r="E6" s="803">
        <f>IF(B6="","",SUMIF(项目基本情况!C$12:I$12,C6,项目基本情况!C$13:I$13))</f>
        <v>60714</v>
      </c>
      <c r="F6" s="61">
        <f>SUMIF(项目基本情况!C$12:I$12,C6,项目基本情况!C$15:I$15)</f>
        <v>41.38</v>
      </c>
      <c r="G6" s="62">
        <f>IF(ISERROR(ROUND(POWER(1+H6,D6-F6)*(POWER(1+H6,F6)-1)/(POWER(1+H6,D6)-1),3)),0,ROUND(POWER(1+H6,D6-F6)*(POWER(1+H6,F6)-1)/(POWER(1+H6,D6)-1),3))</f>
        <v>0.95</v>
      </c>
      <c r="H6" s="690">
        <v>0.05</v>
      </c>
      <c r="I6" s="690">
        <v>5.5E-2</v>
      </c>
      <c r="J6" s="63">
        <v>7.0000000000000007E-2</v>
      </c>
      <c r="K6" s="969">
        <f>SUMIF('数据-汇总表'!C$19:C$33,A6,'数据-汇总表'!E$19:E$33)</f>
        <v>28321.48</v>
      </c>
      <c r="L6" s="691">
        <f>面积清单!P21</f>
        <v>5247.3715236503995</v>
      </c>
      <c r="M6" s="64">
        <f t="shared" ref="M6:M14" si="0">ROUND(K6*L6/10000,0)</f>
        <v>14861</v>
      </c>
      <c r="N6" s="689">
        <f>N19</f>
        <v>0.93</v>
      </c>
      <c r="O6" s="64" t="str">
        <f>IF($N$5="成新度","——",ROUND(M6*N6,0))</f>
        <v>——</v>
      </c>
      <c r="P6" s="65" t="str">
        <f>IF($N$5="成新度","——",M6-O6)</f>
        <v>——</v>
      </c>
      <c r="Q6" s="692">
        <v>0.1</v>
      </c>
      <c r="R6" s="66">
        <f ca="1">SUMIF('数据-汇总表'!C$19:C$33,A6,'数据-汇总表'!R$19:R$27)</f>
        <v>8883.130000000001</v>
      </c>
      <c r="S6" s="49">
        <f>IF('数据-汇总表'!$I$17="按面积比例",SUMIF('数据-汇总表'!C$19:C$33,A6,'数据-汇总表'!K$19:K$33),SUMIF('数据-汇总表'!C$19:C$33,A6,'数据-汇总表'!N$19:N$33))</f>
        <v>345.07</v>
      </c>
      <c r="T6" s="1090">
        <f>ROUND($L$14*S6/10000,0)</f>
        <v>0</v>
      </c>
      <c r="U6" s="3125">
        <f>面积清单!Z18</f>
        <v>2.65</v>
      </c>
      <c r="V6" s="67">
        <v>0.02</v>
      </c>
      <c r="W6" s="67">
        <v>0.1</v>
      </c>
      <c r="X6" s="978"/>
      <c r="Y6" s="68">
        <f>N6</f>
        <v>0.93</v>
      </c>
      <c r="Z6" s="69"/>
      <c r="AA6" s="63"/>
      <c r="AB6" s="63"/>
      <c r="AC6" s="978"/>
      <c r="AD6" s="70"/>
      <c r="AE6" s="979">
        <f ca="1">IF(AN6="",0,SUMIF(INDIRECT("'"&amp;AN6&amp;"'"&amp;"!E:E"),$AE$5,INDIRECT("'"&amp;AN6&amp;"'"&amp;"!F:F")))</f>
        <v>41.38</v>
      </c>
      <c r="AF6" s="74"/>
      <c r="AG6" s="130">
        <f>IF(AF6="",0,AE6-AF6)</f>
        <v>0</v>
      </c>
      <c r="AH6" s="3175">
        <f>'数据-汇总表'!F19</f>
        <v>28321.48</v>
      </c>
      <c r="AI6" s="73">
        <v>365</v>
      </c>
      <c r="AJ6" s="74"/>
      <c r="AK6" s="75">
        <v>0.01</v>
      </c>
      <c r="AL6" s="76">
        <v>1E-3</v>
      </c>
      <c r="AM6" s="77">
        <v>0.01</v>
      </c>
      <c r="AN6" s="1587" t="s">
        <v>3624</v>
      </c>
      <c r="AO6" s="50">
        <f ca="1">SUMIF(INDIRECT("'"&amp;AN6&amp;"'"&amp;"!A:A"),"总价",INDIRECT("'"&amp;AN6&amp;"'"&amp;"!B:B"))</f>
        <v>39274</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车库</v>
      </c>
      <c r="B7" s="1585" t="str">
        <f t="shared" ref="B7:B13" si="1">IF(A7=0,"","经营性")</f>
        <v>经营性</v>
      </c>
      <c r="C7" s="1586" t="s">
        <v>3</v>
      </c>
      <c r="D7" s="804">
        <f>SUMIF(项目基本情况!C$12:I$12,C7,项目基本情况!C$14:I$14)</f>
        <v>50</v>
      </c>
      <c r="E7" s="803">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90">
        <f>H6</f>
        <v>0.05</v>
      </c>
      <c r="I7" s="690">
        <f>I6</f>
        <v>5.5E-2</v>
      </c>
      <c r="J7" s="63">
        <f>J6</f>
        <v>7.0000000000000007E-2</v>
      </c>
      <c r="K7" s="969">
        <f>SUMIF('数据-汇总表'!C$19:C$33,A7,'数据-汇总表'!E$19:E$33)</f>
        <v>19473.41</v>
      </c>
      <c r="L7" s="691">
        <f>面积清单!O18</f>
        <v>4500</v>
      </c>
      <c r="M7" s="64">
        <f t="shared" si="0"/>
        <v>8763</v>
      </c>
      <c r="N7" s="689">
        <f>N6</f>
        <v>0.93</v>
      </c>
      <c r="O7" s="64" t="str">
        <f t="shared" ref="O7:O14" si="3">IF($N$5="成新度","——",ROUND(M7*N7,0))</f>
        <v>——</v>
      </c>
      <c r="P7" s="65" t="str">
        <f t="shared" ref="P7:P14" si="4">IF($N$5="成新度","——",M7-O7)</f>
        <v>——</v>
      </c>
      <c r="Q7" s="692">
        <v>0.05</v>
      </c>
      <c r="R7" s="66">
        <f ca="1">SUMIF('数据-汇总表'!C$19:C$33,A7,'数据-汇总表'!R$19:R$27)</f>
        <v>6107.9000000000005</v>
      </c>
      <c r="S7" s="49">
        <f>IF('数据-汇总表'!$I$17="按面积比例",SUMIF('数据-汇总表'!C$19:C$33,A7,'数据-汇总表'!K$19:K$33),SUMIF('数据-汇总表'!C$19:C$33,A7,'数据-汇总表'!N$19:N$33))</f>
        <v>237.27</v>
      </c>
      <c r="T7" s="1090">
        <f t="shared" ref="T7:T13" si="5">ROUND($L$14*S7/10000,0)</f>
        <v>0</v>
      </c>
      <c r="U7" s="3125">
        <v>400</v>
      </c>
      <c r="V7" s="67">
        <v>0.02</v>
      </c>
      <c r="W7" s="67">
        <f>W6</f>
        <v>0.1</v>
      </c>
      <c r="X7" s="978"/>
      <c r="Y7" s="68">
        <f>Y6</f>
        <v>0.93</v>
      </c>
      <c r="Z7" s="69"/>
      <c r="AA7" s="63"/>
      <c r="AB7" s="63"/>
      <c r="AC7" s="978"/>
      <c r="AD7" s="70"/>
      <c r="AE7" s="979">
        <f t="shared" ref="AE7:AE13" ca="1" si="6">IF(AN7="",0,SUMIF(INDIRECT("'"&amp;AN7&amp;"'"&amp;"!E:E"),$AE$5,INDIRECT("'"&amp;AN7&amp;"'"&amp;"!F:F")))</f>
        <v>41.38</v>
      </c>
      <c r="AF7" s="74"/>
      <c r="AG7" s="130">
        <f t="shared" ref="AG7:AG13" si="7">IF(AF7="",0,AE7-AF7)</f>
        <v>0</v>
      </c>
      <c r="AH7" s="71">
        <v>315</v>
      </c>
      <c r="AI7" s="73">
        <v>12</v>
      </c>
      <c r="AJ7" s="74"/>
      <c r="AK7" s="75">
        <v>5.0000000000000001E-3</v>
      </c>
      <c r="AL7" s="76">
        <f>AL6</f>
        <v>1E-3</v>
      </c>
      <c r="AM7" s="77">
        <f>AM6</f>
        <v>0.01</v>
      </c>
      <c r="AN7" s="1587" t="s">
        <v>3625</v>
      </c>
      <c r="AO7" s="50">
        <f t="shared" ref="AO7:AO13" ca="1" si="8">SUMIF(INDIRECT("'"&amp;AN7&amp;"'"&amp;"!A:A"),"总价",INDIRECT("'"&amp;AN7&amp;"'"&amp;"!B:B"))</f>
        <v>1153</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4"/>
      <c r="E14" s="803"/>
      <c r="F14" s="61"/>
      <c r="G14" s="62"/>
      <c r="H14" s="968"/>
      <c r="I14" s="968"/>
      <c r="J14" s="968"/>
      <c r="K14" s="969">
        <f>SUMIF('数据-汇总表'!C$19:C$33,A14,'数据-汇总表'!E$19:E$33)</f>
        <v>582.34</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30"/>
      <c r="AH14" s="979"/>
      <c r="AI14" s="1264"/>
      <c r="AJ14" s="50"/>
      <c r="AK14" s="980"/>
      <c r="AL14" s="981"/>
      <c r="AM14" s="982"/>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30"/>
      <c r="AH15" s="979"/>
      <c r="AI15" s="1264"/>
      <c r="AJ15" s="50"/>
      <c r="AK15" s="980"/>
      <c r="AL15" s="981"/>
      <c r="AM15" s="982"/>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2"/>
      <c r="D16" s="1592"/>
      <c r="E16" s="82"/>
      <c r="F16" s="82"/>
      <c r="G16" s="83">
        <f>ROUND(SUMPRODUCT(G6:G13,K6:K13)/SUMPRODUCT((G6:G13&gt;0)*(K6:K13)),3)</f>
        <v>0.95</v>
      </c>
      <c r="H16" s="84">
        <f>ROUND(SUMPRODUCT(H6:H13,K6:K13)/SUMPRODUCT((H6:H13&gt;0)*(K6:K13)),3)</f>
        <v>0.05</v>
      </c>
      <c r="I16" s="85"/>
      <c r="J16" s="85"/>
      <c r="K16" s="86">
        <f>SUM(K6:K15)</f>
        <v>48377.229999999996</v>
      </c>
      <c r="L16" s="87">
        <f>ROUND(M16*10000/SUM(K6:K14),0)</f>
        <v>4883</v>
      </c>
      <c r="M16" s="87">
        <f>SUM(M6:M14)</f>
        <v>23624</v>
      </c>
      <c r="N16" s="88">
        <f>ROUND(SUMPRODUCT(M6:M14,N6:N14)/M16,3)</f>
        <v>0.93</v>
      </c>
      <c r="O16" s="87">
        <f>SUM(O6:O14)</f>
        <v>0</v>
      </c>
      <c r="P16" s="87">
        <f>SUM(P6:P14)</f>
        <v>0</v>
      </c>
      <c r="Q16" s="89">
        <f>ROUND(SUMPRODUCT(Q6:Q13,K6:K13)/SUMPRODUCT((Q6:Q13&gt;0)*(K6:K13)),2)</f>
        <v>0.08</v>
      </c>
      <c r="R16" s="973">
        <f ca="1">SUM(R6:R13)</f>
        <v>14991.030000000002</v>
      </c>
      <c r="S16" s="90">
        <f>SUM(S6:S13)</f>
        <v>582.34</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47"/>
      <c r="J18" s="2447"/>
      <c r="K18" s="2447"/>
      <c r="L18" s="2447"/>
      <c r="M18" s="3162" t="s">
        <v>3577</v>
      </c>
      <c r="N18" s="2447">
        <v>2020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4" t="s">
        <v>1211</v>
      </c>
      <c r="B19" s="97">
        <v>0</v>
      </c>
      <c r="C19" s="2559" t="s">
        <v>2303</v>
      </c>
      <c r="D19" s="2450"/>
      <c r="E19" s="2437"/>
      <c r="F19" s="2437"/>
      <c r="G19" s="2437"/>
      <c r="H19" s="2437"/>
      <c r="I19" s="2447"/>
      <c r="J19" s="2447"/>
      <c r="K19" s="2447"/>
      <c r="L19" s="2447"/>
      <c r="M19" s="3162" t="s">
        <v>3578</v>
      </c>
      <c r="N19" s="2447">
        <f>ROUND(1-(1-0)*(2024-N18)/60,2)</f>
        <v>0.93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5" t="s">
        <v>1212</v>
      </c>
      <c r="B20" s="98">
        <v>2</v>
      </c>
      <c r="C20" s="2560" t="s">
        <v>2301</v>
      </c>
      <c r="D20" s="2450"/>
      <c r="E20" s="2437"/>
      <c r="F20" s="2437"/>
      <c r="G20" s="2437"/>
      <c r="H20" s="243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6" t="s">
        <v>1213</v>
      </c>
      <c r="B21" s="98">
        <v>2</v>
      </c>
      <c r="C21" s="2437"/>
      <c r="D21" s="2450"/>
      <c r="E21" s="2437"/>
      <c r="F21" s="2437"/>
      <c r="G21" s="2437"/>
      <c r="H21" s="243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5" t="s">
        <v>1214</v>
      </c>
      <c r="B22" s="99">
        <f>B19+B20</f>
        <v>2</v>
      </c>
      <c r="C22" s="2437"/>
      <c r="D22" s="2450"/>
      <c r="E22" s="2437"/>
      <c r="F22" s="2437"/>
      <c r="G22" s="2437"/>
      <c r="H22" s="2437"/>
      <c r="I22" s="2447"/>
      <c r="J22" s="2447"/>
      <c r="K22" s="2447"/>
      <c r="L22" s="2447"/>
      <c r="M22" s="3162"/>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6" t="s">
        <v>1215</v>
      </c>
      <c r="B23" s="99">
        <f>B19+B21</f>
        <v>2</v>
      </c>
      <c r="C23" s="2437"/>
      <c r="D23" s="2450"/>
      <c r="E23" s="2437"/>
      <c r="F23" s="2437"/>
      <c r="G23" s="2437"/>
      <c r="H23" s="2437"/>
      <c r="I23" s="2447"/>
      <c r="J23" s="2447"/>
      <c r="K23" s="2440"/>
      <c r="L23" s="244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47"/>
      <c r="J24" s="2447"/>
      <c r="K24" s="2440"/>
      <c r="L24" s="2447"/>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7"/>
      <c r="B25" s="1540"/>
      <c r="C25" s="2437"/>
      <c r="D25" s="2450"/>
      <c r="E25" s="2437"/>
      <c r="F25" s="2437"/>
      <c r="G25" s="2437"/>
      <c r="H25" s="2437"/>
      <c r="I25" s="2447"/>
      <c r="J25" s="2447"/>
      <c r="K25" s="2440"/>
      <c r="L25" s="2447"/>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47"/>
      <c r="J26" s="2447"/>
      <c r="K26" s="2440"/>
      <c r="L26" s="244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599" t="s">
        <v>1220</v>
      </c>
      <c r="B27" s="101">
        <v>160</v>
      </c>
      <c r="C27" s="2561" t="s">
        <v>2305</v>
      </c>
      <c r="D27" s="2453"/>
      <c r="E27" s="2438"/>
      <c r="F27" s="2438"/>
      <c r="G27" s="2437"/>
      <c r="H27" s="2437"/>
      <c r="I27" s="2447"/>
      <c r="J27" s="2447"/>
      <c r="K27" s="2440"/>
      <c r="L27" s="2447"/>
      <c r="M27" s="122"/>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0" t="s">
        <v>1221</v>
      </c>
      <c r="B28" s="103">
        <v>200</v>
      </c>
      <c r="C28" s="2454"/>
      <c r="D28" s="2453"/>
      <c r="E28" s="2438"/>
      <c r="F28" s="2438"/>
      <c r="G28" s="2437"/>
      <c r="H28" s="2437"/>
      <c r="I28" s="2447"/>
      <c r="J28" s="3162"/>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1" t="s">
        <v>1222</v>
      </c>
      <c r="B29" s="105"/>
      <c r="C29" s="2562" t="s">
        <v>2294</v>
      </c>
      <c r="D29" s="2453"/>
      <c r="E29" s="2438"/>
      <c r="F29" s="2438"/>
      <c r="G29" s="2437"/>
      <c r="H29" s="2437"/>
      <c r="I29" s="2447"/>
      <c r="J29" s="2447"/>
      <c r="K29" s="2447"/>
      <c r="L29" s="2447"/>
      <c r="M29" s="2447"/>
      <c r="N29" s="3162"/>
      <c r="O29" s="2447"/>
      <c r="P29" s="3162"/>
      <c r="Q29" s="2447"/>
      <c r="R29" s="2447"/>
      <c r="S29" s="2447"/>
      <c r="T29" s="2447"/>
      <c r="U29" s="2447"/>
      <c r="V29" s="2447"/>
      <c r="W29" s="3162" t="s">
        <v>3711</v>
      </c>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2" t="s">
        <v>1223</v>
      </c>
      <c r="B30" s="637">
        <v>200</v>
      </c>
      <c r="C30" s="2454"/>
      <c r="D30" s="2453"/>
      <c r="E30" s="2438"/>
      <c r="F30" s="2438"/>
      <c r="G30" s="2437"/>
      <c r="H30" s="2437"/>
      <c r="I30" s="2447"/>
      <c r="J30" s="2447"/>
      <c r="K30" s="2447"/>
      <c r="L30" s="2447"/>
      <c r="M30" s="2447"/>
      <c r="N30" s="3162"/>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0" t="s">
        <v>1224</v>
      </c>
      <c r="B31" s="104">
        <f>B30-B32</f>
        <v>200</v>
      </c>
      <c r="C31" s="2452"/>
      <c r="D31" s="2453"/>
      <c r="E31" s="2438"/>
      <c r="F31" s="2438"/>
      <c r="G31" s="2437"/>
      <c r="H31" s="2437"/>
      <c r="I31" s="2447"/>
      <c r="J31" s="2447"/>
      <c r="K31" s="2447"/>
      <c r="L31" s="2447"/>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3" t="s">
        <v>1225</v>
      </c>
      <c r="B32" s="638"/>
      <c r="C32" s="2454"/>
      <c r="D32" s="2450"/>
      <c r="E32" s="2437"/>
      <c r="F32" s="2437"/>
      <c r="G32" s="2437"/>
      <c r="H32" s="2437"/>
      <c r="I32" s="2447"/>
      <c r="J32" s="2447"/>
      <c r="K32" s="2447"/>
      <c r="L32" s="2447"/>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599" t="s">
        <v>1226</v>
      </c>
      <c r="B33" s="639">
        <v>0.03</v>
      </c>
      <c r="C33" s="2563" t="s">
        <v>3378</v>
      </c>
      <c r="D33" s="2450"/>
      <c r="E33" s="2437"/>
      <c r="F33" s="2437"/>
      <c r="G33" s="2437"/>
      <c r="H33" s="2437"/>
      <c r="I33" s="2447"/>
      <c r="J33" s="2447"/>
      <c r="K33" s="2447"/>
      <c r="L33" s="2447"/>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0" t="s">
        <v>1227</v>
      </c>
      <c r="B34" s="106">
        <v>0</v>
      </c>
      <c r="C34" s="2563" t="s">
        <v>2295</v>
      </c>
      <c r="D34" s="2458" t="s">
        <v>2302</v>
      </c>
      <c r="E34" s="2456"/>
      <c r="F34" s="2437"/>
      <c r="G34" s="2437"/>
      <c r="H34" s="2437"/>
      <c r="I34" s="2447"/>
      <c r="J34" s="2447"/>
      <c r="K34" s="2447"/>
      <c r="L34" s="244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0" t="s">
        <v>1228</v>
      </c>
      <c r="B35" s="103">
        <v>200</v>
      </c>
      <c r="C35" s="2563" t="s">
        <v>2296</v>
      </c>
      <c r="D35" s="2453"/>
      <c r="E35" s="2438"/>
      <c r="F35" s="2438"/>
      <c r="G35" s="2437"/>
      <c r="H35" s="2437"/>
      <c r="I35" s="2447"/>
      <c r="J35" s="2447"/>
      <c r="K35" s="2447"/>
      <c r="L35" s="2447"/>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0.02</v>
      </c>
      <c r="C36" s="2563" t="s">
        <v>3379</v>
      </c>
      <c r="D36" s="2450"/>
      <c r="E36" s="2437"/>
      <c r="F36" s="2437"/>
      <c r="G36" s="2437"/>
      <c r="H36" s="2437"/>
      <c r="I36" s="2447"/>
      <c r="J36" s="2447"/>
      <c r="K36" s="2447"/>
      <c r="L36" s="2447"/>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2" t="s">
        <v>1230</v>
      </c>
      <c r="B37" s="108">
        <v>0.02</v>
      </c>
      <c r="C37" s="2563" t="s">
        <v>2297</v>
      </c>
      <c r="D37" s="2450"/>
      <c r="E37" s="2437"/>
      <c r="F37" s="2437"/>
      <c r="G37" s="2437"/>
      <c r="H37" s="2437"/>
      <c r="I37" s="2447"/>
      <c r="J37" s="2447"/>
      <c r="K37" s="2447"/>
      <c r="L37" s="2447"/>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0" t="s">
        <v>1231</v>
      </c>
      <c r="B38" s="106">
        <v>0.02</v>
      </c>
      <c r="C38" s="2563" t="s">
        <v>2297</v>
      </c>
      <c r="D38" s="2450"/>
      <c r="E38" s="2437"/>
      <c r="F38" s="2437"/>
      <c r="G38" s="2437"/>
      <c r="H38" s="2437"/>
      <c r="I38" s="2447"/>
      <c r="J38" s="2447"/>
      <c r="K38" s="2447"/>
      <c r="L38" s="2447"/>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3" t="s">
        <v>1232</v>
      </c>
      <c r="B39" s="308">
        <f ca="1">存贷款利率!I1</f>
        <v>1.4999999999999999E-2</v>
      </c>
      <c r="C39" s="2455"/>
      <c r="D39" s="2450"/>
      <c r="E39" s="2437"/>
      <c r="F39" s="2437"/>
      <c r="G39" s="2437"/>
      <c r="H39" s="2437"/>
      <c r="I39" s="2447"/>
      <c r="J39" s="2447"/>
      <c r="K39" s="2447"/>
      <c r="L39" s="2447"/>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4">
        <f ca="1">IF(A40="利息：取LPR",存贷款利率!G1,存贷款利率!G1+C40)</f>
        <v>3.1E-2</v>
      </c>
      <c r="C40" s="2571">
        <v>5.0000000000000001E-3</v>
      </c>
      <c r="D40" s="2447"/>
      <c r="E40" s="2450"/>
      <c r="F40" s="2437"/>
      <c r="G40" s="2437"/>
      <c r="H40" s="2437"/>
      <c r="I40" s="2447"/>
      <c r="J40" s="2447"/>
      <c r="K40" s="2447"/>
      <c r="L40" s="2447"/>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599" t="s">
        <v>1233</v>
      </c>
      <c r="B41" s="109">
        <f>B42+B43</f>
        <v>5.6000000000000001E-2</v>
      </c>
      <c r="C41" s="2452"/>
      <c r="D41" s="2447"/>
      <c r="E41" s="2450"/>
      <c r="F41" s="2437"/>
      <c r="G41" s="2437"/>
      <c r="H41" s="2437"/>
      <c r="I41" s="2447"/>
      <c r="J41" s="2447"/>
      <c r="K41" s="2447"/>
      <c r="L41" s="2447"/>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4" t="s">
        <v>1234</v>
      </c>
      <c r="B42" s="110">
        <v>0.05</v>
      </c>
      <c r="C42" s="2457">
        <f>IF(B2&lt;DATE(2016,5,1),0,B42)</f>
        <v>0.05</v>
      </c>
      <c r="D42" s="2450"/>
      <c r="E42" s="2437"/>
      <c r="F42" s="2437"/>
      <c r="G42" s="2437"/>
      <c r="H42" s="2437"/>
      <c r="I42" s="2447"/>
      <c r="J42" s="2447"/>
      <c r="K42" s="2447"/>
      <c r="L42" s="2447"/>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4" t="s">
        <v>1235</v>
      </c>
      <c r="B43" s="111">
        <f>B42*(B44+B45+B46)+B47</f>
        <v>6.000000000000001E-3</v>
      </c>
      <c r="C43" s="2452"/>
      <c r="D43" s="2450"/>
      <c r="E43" s="2437"/>
      <c r="F43" s="2437"/>
      <c r="G43" s="2437"/>
      <c r="H43" s="2437"/>
      <c r="I43" s="2447"/>
      <c r="J43" s="2447"/>
      <c r="K43" s="2447"/>
      <c r="L43" s="2447"/>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5" t="s">
        <v>1236</v>
      </c>
      <c r="B44" s="112">
        <v>7.0000000000000007E-2</v>
      </c>
      <c r="C44" s="2563" t="s">
        <v>2306</v>
      </c>
      <c r="D44" s="2450"/>
      <c r="E44" s="2437"/>
      <c r="F44" s="2437"/>
      <c r="G44" s="2437"/>
      <c r="H44" s="2437"/>
      <c r="I44" s="2447"/>
      <c r="J44" s="2447"/>
      <c r="K44" s="2447"/>
      <c r="L44" s="2447"/>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5" t="s">
        <v>1237</v>
      </c>
      <c r="B45" s="110">
        <v>0.03</v>
      </c>
      <c r="C45" s="2562" t="s">
        <v>2298</v>
      </c>
      <c r="D45" s="2450"/>
      <c r="E45" s="2437"/>
      <c r="F45" s="2437"/>
      <c r="G45" s="2437"/>
      <c r="H45" s="2437"/>
      <c r="I45" s="2447"/>
      <c r="J45" s="2447"/>
      <c r="K45" s="2447"/>
      <c r="L45" s="2447"/>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5" t="s">
        <v>1238</v>
      </c>
      <c r="B46" s="110">
        <v>0.02</v>
      </c>
      <c r="C46" s="2562" t="s">
        <v>2299</v>
      </c>
      <c r="D46" s="2450"/>
      <c r="E46" s="2437"/>
      <c r="F46" s="2437"/>
      <c r="G46" s="2437"/>
      <c r="H46" s="2437"/>
      <c r="I46" s="2447"/>
      <c r="J46" s="2447"/>
      <c r="K46" s="2447"/>
      <c r="L46" s="2447"/>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2307</v>
      </c>
      <c r="D47" s="2450"/>
      <c r="E47" s="2437"/>
      <c r="F47" s="2437"/>
      <c r="G47" s="2437"/>
      <c r="H47" s="2437"/>
      <c r="I47" s="2447"/>
      <c r="J47" s="2447"/>
      <c r="K47" s="2447"/>
      <c r="L47" s="2447"/>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7" t="s">
        <v>1240</v>
      </c>
      <c r="B48" s="114">
        <v>0.03</v>
      </c>
      <c r="C48" s="2562" t="s">
        <v>2298</v>
      </c>
      <c r="D48" s="2450"/>
      <c r="E48" s="2437"/>
      <c r="F48" s="2437"/>
      <c r="G48" s="2437"/>
      <c r="H48" s="2437"/>
      <c r="I48" s="2447"/>
      <c r="J48" s="2447"/>
      <c r="K48" s="2447"/>
      <c r="L48" s="2447"/>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2300</v>
      </c>
      <c r="D49" s="2450"/>
      <c r="E49" s="2437"/>
      <c r="F49" s="2437"/>
      <c r="G49" s="2437"/>
      <c r="H49" s="2437"/>
      <c r="I49" s="2447"/>
      <c r="J49" s="2447"/>
      <c r="K49" s="2447"/>
      <c r="L49" s="2447"/>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8"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0" t="s">
        <v>1245</v>
      </c>
      <c r="B53" s="1609" t="s">
        <v>29</v>
      </c>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0" t="s">
        <v>1252</v>
      </c>
      <c r="B59" s="72">
        <f>C59</f>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0"/>
  </cols>
  <sheetData>
    <row r="1" spans="1:29" s="2257" customFormat="1" ht="18" thickBot="1">
      <c r="A1" s="3291" t="s">
        <v>2286</v>
      </c>
      <c r="B1" s="3292"/>
      <c r="C1" s="3292"/>
      <c r="D1" s="3292"/>
      <c r="E1" s="3292"/>
      <c r="F1" s="3292"/>
      <c r="G1" s="329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3"/>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7.200000000000003">
      <c r="A4" s="2246"/>
      <c r="B4" s="314" t="s">
        <v>2254</v>
      </c>
      <c r="C4" s="2267" t="s">
        <v>2255</v>
      </c>
      <c r="D4" s="2264"/>
      <c r="E4" s="2268"/>
      <c r="F4" s="1279" t="s">
        <v>2256</v>
      </c>
      <c r="G4" s="2269" t="s">
        <v>2257</v>
      </c>
      <c r="H4" s="750"/>
      <c r="I4" s="750"/>
      <c r="J4" s="750"/>
      <c r="K4" s="750"/>
      <c r="L4" s="750"/>
      <c r="M4" s="750"/>
      <c r="N4" s="750"/>
      <c r="O4" s="750"/>
      <c r="P4" s="750"/>
      <c r="Q4" s="750"/>
    </row>
    <row r="5" spans="1:29" ht="37.200000000000003">
      <c r="A5" s="2246"/>
      <c r="B5" s="314" t="s">
        <v>2258</v>
      </c>
      <c r="C5" s="2267" t="s">
        <v>2259</v>
      </c>
      <c r="D5" s="2264"/>
      <c r="E5" s="2268"/>
      <c r="F5" s="314" t="s">
        <v>2260</v>
      </c>
      <c r="G5" s="2269" t="s">
        <v>2261</v>
      </c>
      <c r="H5" s="750"/>
      <c r="I5" s="750"/>
      <c r="J5" s="750"/>
      <c r="K5" s="750"/>
      <c r="L5" s="750"/>
      <c r="M5" s="750"/>
      <c r="N5" s="750"/>
      <c r="O5" s="750"/>
      <c r="P5" s="750"/>
      <c r="Q5" s="750"/>
    </row>
    <row r="6" spans="1:29" ht="48">
      <c r="A6" s="2246"/>
      <c r="B6" s="314" t="s">
        <v>2262</v>
      </c>
      <c r="C6" s="2269" t="s">
        <v>2257</v>
      </c>
      <c r="D6" s="2264"/>
      <c r="E6" s="2268"/>
      <c r="F6" s="314" t="s">
        <v>2263</v>
      </c>
      <c r="G6" s="2269" t="s">
        <v>2264</v>
      </c>
      <c r="H6" s="750"/>
      <c r="I6" s="750"/>
      <c r="J6" s="750"/>
      <c r="K6" s="750"/>
      <c r="L6" s="750"/>
      <c r="M6" s="750"/>
      <c r="N6" s="750"/>
      <c r="O6" s="750"/>
      <c r="P6" s="750"/>
      <c r="Q6" s="750"/>
    </row>
    <row r="7" spans="1:29" ht="36.6" thickBot="1">
      <c r="A7" s="2246"/>
      <c r="B7" s="314" t="s">
        <v>2260</v>
      </c>
      <c r="C7" s="2269" t="s">
        <v>2261</v>
      </c>
      <c r="D7" s="2243"/>
      <c r="E7" s="2270"/>
      <c r="F7" s="2271" t="s">
        <v>2265</v>
      </c>
      <c r="G7" s="2272" t="s">
        <v>2266</v>
      </c>
      <c r="H7" s="750"/>
      <c r="I7" s="750"/>
      <c r="J7" s="750"/>
      <c r="K7" s="750"/>
      <c r="L7" s="750"/>
      <c r="M7" s="750"/>
      <c r="N7" s="750"/>
      <c r="O7" s="750"/>
      <c r="P7" s="750"/>
      <c r="Q7" s="750"/>
    </row>
    <row r="8" spans="1:29" ht="24">
      <c r="A8" s="2246"/>
      <c r="B8" s="314" t="s">
        <v>2263</v>
      </c>
      <c r="C8" s="2269" t="s">
        <v>2264</v>
      </c>
      <c r="D8" s="2243"/>
      <c r="E8" s="2243"/>
      <c r="F8" s="121"/>
      <c r="G8" s="121"/>
      <c r="H8" s="750"/>
      <c r="I8" s="750"/>
      <c r="J8" s="750"/>
      <c r="K8" s="750"/>
      <c r="L8" s="750"/>
      <c r="M8" s="750"/>
      <c r="N8" s="750"/>
      <c r="O8" s="750"/>
      <c r="P8" s="750"/>
      <c r="Q8" s="750"/>
    </row>
    <row r="9" spans="1:29" ht="24">
      <c r="A9" s="2246"/>
      <c r="B9" s="314" t="s">
        <v>2267</v>
      </c>
      <c r="C9" s="2267" t="s">
        <v>2268</v>
      </c>
      <c r="D9" s="2264"/>
      <c r="E9" s="2243"/>
      <c r="F9" s="121"/>
      <c r="G9" s="121"/>
      <c r="H9" s="750"/>
      <c r="I9" s="750"/>
      <c r="J9" s="750"/>
      <c r="K9" s="750"/>
      <c r="L9" s="750"/>
      <c r="M9" s="750"/>
      <c r="N9" s="750"/>
      <c r="O9" s="750"/>
      <c r="P9" s="750"/>
      <c r="Q9" s="750"/>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4"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4" t="s">
        <v>2263</v>
      </c>
      <c r="G20" s="2292" t="str">
        <f>G6</f>
        <v>估价对象所在区域基础设施水平</v>
      </c>
    </row>
    <row r="21" spans="1:17" ht="26.4">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4.4" thickBot="1">
      <c r="A23" s="2250"/>
      <c r="B23" s="2291" t="s">
        <v>2278</v>
      </c>
      <c r="C23" s="2294"/>
      <c r="D23" s="1612"/>
      <c r="E23" s="2252"/>
      <c r="F23" s="2295" t="s">
        <v>2279</v>
      </c>
      <c r="G23" s="2296"/>
      <c r="H23" s="2275"/>
      <c r="I23" s="2275"/>
      <c r="J23" s="2275"/>
      <c r="K23" s="2275"/>
      <c r="L23" s="2275"/>
      <c r="M23" s="2275"/>
      <c r="N23" s="2275"/>
      <c r="O23" s="2275"/>
      <c r="P23" s="2275"/>
      <c r="Q23" s="2275"/>
    </row>
    <row r="24" spans="1:17" s="750" customFormat="1" ht="14.4" thickBot="1">
      <c r="A24" s="2253"/>
      <c r="B24" s="2295" t="s">
        <v>2280</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48377.229999999996</v>
      </c>
      <c r="C1" s="2460"/>
      <c r="D1" s="2460"/>
      <c r="E1" s="2460"/>
      <c r="F1" s="2460"/>
      <c r="G1" s="2461"/>
      <c r="H1" s="2461"/>
      <c r="I1" s="2461"/>
      <c r="J1" s="2461"/>
      <c r="K1" s="2461"/>
    </row>
    <row r="2" spans="1:11" ht="16.2">
      <c r="A2" s="2298" t="s">
        <v>653</v>
      </c>
      <c r="B2" s="2298">
        <f>SUM(C14:C23)</f>
        <v>31860</v>
      </c>
      <c r="C2" s="2460"/>
      <c r="D2" s="2460"/>
      <c r="E2" s="2460"/>
      <c r="F2" s="2460"/>
      <c r="G2" s="2461"/>
      <c r="H2" s="2461"/>
      <c r="I2" s="2461"/>
      <c r="J2" s="2461"/>
      <c r="K2" s="2461"/>
    </row>
    <row r="3" spans="1:11" ht="15.6">
      <c r="A3" s="2298" t="s">
        <v>662</v>
      </c>
      <c r="B3" s="2300">
        <f>项目基本情况!D3</f>
        <v>45607</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38611</v>
      </c>
      <c r="C5" s="2298">
        <f ca="1">IF(B5=D14,结果表!H102,ROUND(B5*10000/$B$1,0))</f>
        <v>16550</v>
      </c>
      <c r="D5" s="2298">
        <f ca="1">ROUND(B5*10000/$B$2,0)</f>
        <v>12119</v>
      </c>
      <c r="E5" s="2460"/>
      <c r="F5" s="2461"/>
      <c r="G5" s="2461"/>
      <c r="H5" s="2461"/>
      <c r="I5" s="2461"/>
      <c r="J5" s="2461"/>
      <c r="K5" s="2461"/>
    </row>
    <row r="6" spans="1:11" ht="15.6">
      <c r="A6" s="2298" t="s">
        <v>656</v>
      </c>
      <c r="B6" s="2298">
        <f ca="1">SUM(G14:G23)</f>
        <v>75062</v>
      </c>
      <c r="C6" s="2298">
        <f ca="1">IF(B6=G14,结果表!H108,ROUND(B6*10000/$B$1,0))</f>
        <v>16550</v>
      </c>
      <c r="D6" s="2298">
        <f ca="1">ROUND(B6*10000/$B$2,0)</f>
        <v>23560</v>
      </c>
      <c r="E6" s="2460"/>
      <c r="F6" s="2461"/>
      <c r="G6" s="2461"/>
      <c r="H6" s="2461"/>
      <c r="I6" s="2461"/>
      <c r="J6" s="2461"/>
      <c r="K6" s="2461"/>
    </row>
    <row r="7" spans="1:11" ht="15.6">
      <c r="A7" s="2298" t="s">
        <v>664</v>
      </c>
      <c r="B7" s="2298">
        <f>SUM(H14:H23)</f>
        <v>0</v>
      </c>
      <c r="C7" s="2298" t="str">
        <f>IF(B7=H14,结果表!H110,ROUND(B7*10000/$B$1,0))</f>
        <v>——</v>
      </c>
      <c r="D7" s="2298">
        <f>ROUND(B7*10000/$B$2,0)</f>
        <v>0</v>
      </c>
      <c r="E7" s="2460"/>
      <c r="F7" s="2461"/>
      <c r="G7" s="2461"/>
      <c r="H7" s="2461"/>
      <c r="I7" s="2461"/>
      <c r="J7" s="2461"/>
      <c r="K7" s="2461"/>
    </row>
    <row r="8" spans="1:11" ht="15.6">
      <c r="A8" s="2298" t="s">
        <v>587</v>
      </c>
      <c r="B8" s="2298">
        <f ca="1">SUM(I14:I23)</f>
        <v>64849</v>
      </c>
      <c r="C8" s="2298" t="str">
        <f ca="1">IF(B8=I14,结果表!H112,ROUND(B8*10000/$B$1,0))</f>
        <v>——</v>
      </c>
      <c r="D8" s="2298">
        <f ca="1">ROUND(B8*10000/$B$2,0)</f>
        <v>20354</v>
      </c>
      <c r="E8" s="2460"/>
      <c r="F8" s="2461"/>
      <c r="G8" s="2461"/>
      <c r="H8" s="2461"/>
      <c r="I8" s="2461"/>
      <c r="J8" s="2461"/>
      <c r="K8" s="2461"/>
    </row>
    <row r="9" spans="1:11" ht="15.6">
      <c r="A9" s="2298" t="s">
        <v>655</v>
      </c>
      <c r="B9" s="1242"/>
      <c r="C9" s="2460"/>
      <c r="D9" s="2460"/>
      <c r="E9" s="2460"/>
      <c r="F9" s="2461"/>
      <c r="G9" s="2461"/>
      <c r="H9" s="2461"/>
      <c r="I9" s="2461"/>
      <c r="J9" s="2461"/>
      <c r="K9" s="2461"/>
    </row>
    <row r="10" spans="1:11" ht="15.6">
      <c r="A10" s="2298" t="s">
        <v>654</v>
      </c>
      <c r="B10" s="2298">
        <f>IF(E10="",0,ROUND(B1*(E10*365/G10)/10000,0))</f>
        <v>0</v>
      </c>
      <c r="C10" s="2298" t="s">
        <v>3358</v>
      </c>
      <c r="D10" s="2298" t="s">
        <v>3359</v>
      </c>
      <c r="E10" s="3135"/>
      <c r="F10" s="3139" t="s">
        <v>3360</v>
      </c>
      <c r="G10" s="3136"/>
      <c r="H10" s="2461"/>
      <c r="I10" s="2461"/>
      <c r="J10" s="2461"/>
      <c r="K10" s="2461"/>
    </row>
    <row r="11" spans="1:11" ht="15.6">
      <c r="A11" s="2298" t="s">
        <v>670</v>
      </c>
      <c r="B11" s="1242"/>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'数据-汇总表'!E3</f>
        <v>48377.229999999996</v>
      </c>
      <c r="C14" s="2304">
        <f>'数据-基础表'!A3</f>
        <v>31860</v>
      </c>
      <c r="D14" s="2304">
        <f ca="1">结果表!G19</f>
        <v>38611</v>
      </c>
      <c r="E14" s="2304">
        <f ca="1">ROUND(D14*10000/B14,0)</f>
        <v>7981</v>
      </c>
      <c r="F14" s="2304">
        <f ca="1">ROUND(D14*10000/C14,0)</f>
        <v>12119</v>
      </c>
      <c r="G14" s="2304">
        <f ca="1">结果表!M49</f>
        <v>75062</v>
      </c>
      <c r="H14" s="2304"/>
      <c r="I14" s="2304">
        <f ca="1">结果表!N59</f>
        <v>64849</v>
      </c>
      <c r="J14" s="2461"/>
      <c r="K14" s="2461"/>
    </row>
    <row r="15" spans="1:11" ht="15.6">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5.6">
      <c r="A16" s="2303" t="s">
        <v>648</v>
      </c>
      <c r="B16" s="2305"/>
      <c r="C16" s="2305"/>
      <c r="D16" s="2305"/>
      <c r="E16" s="2304" t="e">
        <f t="shared" si="0"/>
        <v>#DIV/0!</v>
      </c>
      <c r="F16" s="2304" t="e">
        <f t="shared" si="1"/>
        <v>#DIV/0!</v>
      </c>
      <c r="G16" s="1242"/>
      <c r="H16" s="1242"/>
      <c r="I16" s="2305"/>
      <c r="J16" s="2461"/>
      <c r="K16" s="2461"/>
    </row>
    <row r="17" spans="1:11" ht="15.6">
      <c r="A17" s="2303" t="s">
        <v>647</v>
      </c>
      <c r="B17" s="2305"/>
      <c r="C17" s="2305"/>
      <c r="D17" s="2305"/>
      <c r="E17" s="2304" t="e">
        <f t="shared" si="0"/>
        <v>#DIV/0!</v>
      </c>
      <c r="F17" s="2304" t="e">
        <f t="shared" si="1"/>
        <v>#DIV/0!</v>
      </c>
      <c r="G17" s="1242"/>
      <c r="H17" s="1242"/>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L47" zoomScaleNormal="100" zoomScaleSheetLayoutView="100" zoomScalePageLayoutView="80" workbookViewId="0">
      <selection activeCell="M49" sqref="M49:O49"/>
    </sheetView>
  </sheetViews>
  <sheetFormatPr defaultColWidth="12.6640625" defaultRowHeight="21.75" customHeight="1"/>
  <cols>
    <col min="1" max="2" width="12.6640625" style="1559"/>
    <col min="3" max="4" width="12.6640625" style="1559" customWidth="1"/>
    <col min="5"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1262</v>
      </c>
      <c r="B1" s="645"/>
      <c r="C1" s="1618"/>
      <c r="D1" s="645"/>
      <c r="E1" s="645"/>
      <c r="F1" s="1619" t="s">
        <v>1263</v>
      </c>
      <c r="G1" s="1451" t="s">
        <v>3569</v>
      </c>
      <c r="H1" s="1619" t="str">
        <f>IF(G1="现房","——","估价对象范围")</f>
        <v>——</v>
      </c>
      <c r="I1" s="1620"/>
    </row>
    <row r="2" spans="1:12" ht="21.75" customHeight="1" thickBot="1">
      <c r="A2" s="3360" t="str">
        <f>项目基本情况!S2</f>
        <v>北京市房地产</v>
      </c>
      <c r="B2" s="3361"/>
      <c r="C2" s="3361"/>
      <c r="D2" s="3361"/>
      <c r="E2" s="3361"/>
      <c r="F2" s="3361"/>
      <c r="G2" s="3361"/>
      <c r="H2" s="3361"/>
      <c r="I2" s="3362"/>
    </row>
    <row r="3" spans="1:12" ht="13.2">
      <c r="A3" s="3364" t="s">
        <v>1264</v>
      </c>
      <c r="B3" s="3365"/>
      <c r="C3" s="3365"/>
      <c r="D3" s="3365"/>
      <c r="E3" s="3365"/>
      <c r="F3" s="3365"/>
      <c r="G3" s="3365"/>
      <c r="H3" s="3365"/>
      <c r="I3" s="3365"/>
    </row>
    <row r="4" spans="1:12" ht="14.4">
      <c r="A4" s="1622" t="s">
        <v>1265</v>
      </c>
      <c r="B4" s="1623" t="s">
        <v>1266</v>
      </c>
      <c r="C4" s="1624" t="s">
        <v>3634</v>
      </c>
      <c r="D4" s="1624" t="s">
        <v>3635</v>
      </c>
      <c r="E4" s="3369" t="s">
        <v>1267</v>
      </c>
      <c r="F4" s="3370"/>
      <c r="G4" s="3370"/>
      <c r="H4" s="3370"/>
      <c r="I4" s="3371"/>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8" t="s">
        <v>1268</v>
      </c>
      <c r="B5" s="3363">
        <v>25</v>
      </c>
      <c r="C5" s="3366"/>
      <c r="D5" s="3354"/>
      <c r="E5" s="123" t="s">
        <v>1269</v>
      </c>
      <c r="F5" s="1625"/>
      <c r="G5" s="1625"/>
      <c r="H5" s="1625"/>
      <c r="I5" s="1279"/>
    </row>
    <row r="6" spans="1:12" ht="13.2">
      <c r="A6" s="3308"/>
      <c r="B6" s="3363"/>
      <c r="C6" s="3368"/>
      <c r="D6" s="3354"/>
      <c r="E6" s="123" t="s">
        <v>1270</v>
      </c>
      <c r="F6" s="1625"/>
      <c r="G6" s="1625"/>
      <c r="H6" s="1625"/>
      <c r="I6" s="1279"/>
    </row>
    <row r="7" spans="1:12" ht="13.2">
      <c r="A7" s="3308"/>
      <c r="B7" s="3363"/>
      <c r="C7" s="3367"/>
      <c r="D7" s="3354"/>
      <c r="E7" s="123" t="s">
        <v>1271</v>
      </c>
      <c r="F7" s="1625"/>
      <c r="G7" s="1625"/>
      <c r="H7" s="1625"/>
      <c r="I7" s="1279"/>
    </row>
    <row r="8" spans="1:12" ht="13.2">
      <c r="A8" s="3308" t="s">
        <v>1272</v>
      </c>
      <c r="B8" s="3363">
        <v>15</v>
      </c>
      <c r="C8" s="3366"/>
      <c r="D8" s="3354"/>
      <c r="E8" s="123" t="s">
        <v>1273</v>
      </c>
      <c r="F8" s="1625"/>
      <c r="G8" s="1625"/>
      <c r="H8" s="1625"/>
      <c r="I8" s="1279"/>
    </row>
    <row r="9" spans="1:12" ht="13.2">
      <c r="A9" s="3308"/>
      <c r="B9" s="3363"/>
      <c r="C9" s="3367"/>
      <c r="D9" s="3354"/>
      <c r="E9" s="123" t="s">
        <v>1274</v>
      </c>
      <c r="F9" s="1625"/>
      <c r="G9" s="1625"/>
      <c r="H9" s="1625"/>
      <c r="I9" s="1279"/>
    </row>
    <row r="10" spans="1:12" ht="13.2">
      <c r="A10" s="3308" t="s">
        <v>1275</v>
      </c>
      <c r="B10" s="3363">
        <v>15</v>
      </c>
      <c r="C10" s="3366"/>
      <c r="D10" s="3354"/>
      <c r="E10" s="123" t="s">
        <v>1276</v>
      </c>
      <c r="F10" s="1625"/>
      <c r="G10" s="1625"/>
      <c r="H10" s="1625"/>
      <c r="I10" s="1279"/>
    </row>
    <row r="11" spans="1:12" ht="13.2">
      <c r="A11" s="3308"/>
      <c r="B11" s="3363"/>
      <c r="C11" s="3367"/>
      <c r="D11" s="3354"/>
      <c r="E11" s="123" t="s">
        <v>1277</v>
      </c>
      <c r="F11" s="1625"/>
      <c r="G11" s="1625"/>
      <c r="H11" s="1625"/>
      <c r="I11" s="1279"/>
    </row>
    <row r="12" spans="1:12" ht="13.2">
      <c r="A12" s="3308" t="s">
        <v>1278</v>
      </c>
      <c r="B12" s="3363">
        <v>15</v>
      </c>
      <c r="C12" s="3366"/>
      <c r="D12" s="3354"/>
      <c r="E12" s="123" t="s">
        <v>1279</v>
      </c>
      <c r="F12" s="1625"/>
      <c r="G12" s="1625"/>
      <c r="H12" s="1625"/>
      <c r="I12" s="1279"/>
    </row>
    <row r="13" spans="1:12" ht="13.2">
      <c r="A13" s="3308"/>
      <c r="B13" s="3363"/>
      <c r="C13" s="3367"/>
      <c r="D13" s="3354"/>
      <c r="E13" s="123" t="s">
        <v>1280</v>
      </c>
      <c r="F13" s="1625"/>
      <c r="G13" s="1625"/>
      <c r="H13" s="1625"/>
      <c r="I13" s="1279"/>
    </row>
    <row r="14" spans="1:12" ht="13.2">
      <c r="A14" s="3308" t="s">
        <v>1281</v>
      </c>
      <c r="B14" s="3363">
        <v>30</v>
      </c>
      <c r="C14" s="3366">
        <v>5</v>
      </c>
      <c r="D14" s="3354">
        <v>5</v>
      </c>
      <c r="E14" s="123" t="s">
        <v>1282</v>
      </c>
      <c r="F14" s="1625"/>
      <c r="G14" s="1625"/>
      <c r="H14" s="1625"/>
      <c r="I14" s="1279"/>
    </row>
    <row r="15" spans="1:12" ht="13.2">
      <c r="A15" s="3308"/>
      <c r="B15" s="3363"/>
      <c r="C15" s="3368"/>
      <c r="D15" s="3354"/>
      <c r="E15" s="123" t="s">
        <v>1283</v>
      </c>
      <c r="F15" s="1625"/>
      <c r="G15" s="1625"/>
      <c r="H15" s="1625"/>
      <c r="I15" s="1279"/>
    </row>
    <row r="16" spans="1:12" ht="13.2">
      <c r="A16" s="3308"/>
      <c r="B16" s="3363"/>
      <c r="C16" s="3367"/>
      <c r="D16" s="3354"/>
      <c r="E16" s="123" t="s">
        <v>1284</v>
      </c>
      <c r="F16" s="1625"/>
      <c r="G16" s="1625"/>
      <c r="H16" s="1625"/>
      <c r="I16" s="1279"/>
    </row>
    <row r="17" spans="1:36" ht="14.4">
      <c r="A17" s="1626" t="s">
        <v>1285</v>
      </c>
      <c r="B17" s="54"/>
      <c r="C17" s="124">
        <f>SUM(C5:C16)</f>
        <v>5</v>
      </c>
      <c r="D17" s="124">
        <f>SUM(D5:D16)</f>
        <v>5</v>
      </c>
      <c r="E17" s="121"/>
      <c r="F17" s="121"/>
      <c r="G17" s="121"/>
      <c r="H17" s="121"/>
      <c r="I17" s="121"/>
      <c r="K17" s="293"/>
      <c r="L17" s="293" t="s">
        <v>1286</v>
      </c>
      <c r="M17" s="293" t="s">
        <v>1287</v>
      </c>
    </row>
    <row r="18" spans="1:36" ht="31.95" customHeight="1" thickBot="1">
      <c r="A18" s="1627" t="s">
        <v>1288</v>
      </c>
      <c r="B18" s="1540"/>
      <c r="C18" s="125">
        <f>ROUND(C17/SUM(C17:D17),2)</f>
        <v>0.5</v>
      </c>
      <c r="D18" s="125">
        <f>1-C18</f>
        <v>0.5</v>
      </c>
      <c r="E18" s="3385" t="s">
        <v>2131</v>
      </c>
      <c r="F18" s="3386"/>
      <c r="G18" s="3386"/>
      <c r="H18" s="3386"/>
      <c r="I18" s="3386"/>
      <c r="K18" s="293" t="s">
        <v>1289</v>
      </c>
      <c r="L18" s="293">
        <f>IF(C1="",'数据-汇总表'!E3,SUMIF(项目类型,C1,'数据-汇总表'!E17:E26)+SUMIF(项目类型,C1,'数据-汇总表'!I17:I26))</f>
        <v>48377.229999999996</v>
      </c>
      <c r="M18" s="293">
        <f>IF(C1="",'数据-汇总表'!E3,SUMIF(项目类型,C1,'数据-汇总表'!E17:E26))</f>
        <v>48377.229999999996</v>
      </c>
    </row>
    <row r="19" spans="1:36" ht="14.4">
      <c r="A19" s="1628" t="s">
        <v>1290</v>
      </c>
      <c r="B19" s="1629" t="s">
        <v>1291</v>
      </c>
      <c r="C19" s="126">
        <f ca="1">SUMIF(INDIRECT("'"&amp;C4&amp;"'"&amp;"!A:A"),结果表!B19,INDIRECT("'"&amp;C4&amp;"'"&amp;"!B:B"))</f>
        <v>36794</v>
      </c>
      <c r="D19" s="127">
        <f ca="1">SUMIF(INDIRECT("'"&amp;D4&amp;"'"&amp;"!A:A"),结果表!B19,INDIRECT("'"&amp;D4&amp;"'"&amp;"!B:B"))</f>
        <v>40427</v>
      </c>
      <c r="E19" s="1628" t="s">
        <v>1292</v>
      </c>
      <c r="F19" s="1629" t="s">
        <v>1291</v>
      </c>
      <c r="G19" s="128">
        <f ca="1">ROUND(C19*$C$18+D19*$D$18,0)</f>
        <v>38611</v>
      </c>
      <c r="H19" s="1630" t="s">
        <v>1293</v>
      </c>
      <c r="I19" s="121"/>
      <c r="K19" s="293" t="s">
        <v>1294</v>
      </c>
      <c r="L19" s="293">
        <f>IF(C1="",'数据-汇总表'!D3,SUMIF(项目类型,C1,'数据-汇总表'!D17:D26)+SUMIF(项目类型,C1,'数据-汇总表'!H17:H27))</f>
        <v>14991.03</v>
      </c>
      <c r="M19" s="293">
        <f>IF(C1="",'数据-汇总表'!D3,SUMIF(项目类型,C1,'数据-汇总表'!D17:D26))</f>
        <v>14991.03</v>
      </c>
    </row>
    <row r="20" spans="1:36" ht="14.4">
      <c r="A20" s="1631"/>
      <c r="B20" s="43" t="s">
        <v>1295</v>
      </c>
      <c r="C20" s="129">
        <f ca="1">SUMIF(INDIRECT("'"&amp;C4&amp;"'"&amp;"!A:A"),结果表!B20,INDIRECT("'"&amp;C4&amp;"'"&amp;"!B:B"))</f>
        <v>7606</v>
      </c>
      <c r="D20" s="130">
        <f ca="1">SUMIF(INDIRECT("'"&amp;D4&amp;"'"&amp;"!A:A"),结果表!B20,INDIRECT("'"&amp;D4&amp;"'"&amp;"!B:B"))</f>
        <v>8357</v>
      </c>
      <c r="E20" s="1631"/>
      <c r="F20" s="43" t="s">
        <v>1295</v>
      </c>
      <c r="G20" s="131">
        <f ca="1">ROUND(C20*$C$18+D20*$D$18,0)</f>
        <v>7982</v>
      </c>
      <c r="H20" s="759" t="s">
        <v>1296</v>
      </c>
      <c r="I20" s="121"/>
    </row>
    <row r="21" spans="1:36" ht="15" customHeight="1" thickBot="1">
      <c r="A21" s="448"/>
      <c r="B21" s="93" t="s">
        <v>1297</v>
      </c>
      <c r="C21" s="677">
        <f ca="1">ROUND(C19*10000/L19,0)</f>
        <v>24544</v>
      </c>
      <c r="D21" s="678">
        <f ca="1">ROUND(D19*10000/L19,0)</f>
        <v>26967</v>
      </c>
      <c r="E21" s="448"/>
      <c r="F21" s="93" t="s">
        <v>1297</v>
      </c>
      <c r="G21" s="132">
        <f ca="1">ROUND(G19*10000/L19,0)</f>
        <v>25756</v>
      </c>
      <c r="H21" s="1632" t="s">
        <v>1296</v>
      </c>
      <c r="I21" s="121"/>
    </row>
    <row r="22" spans="1:36" ht="15" thickBot="1">
      <c r="A22" s="1562" t="s">
        <v>1298</v>
      </c>
      <c r="B22" s="1633"/>
      <c r="C22" s="1634"/>
      <c r="D22" s="679">
        <f ca="1">IF(C19&lt;D19,D19/C19-1,C19/D19-1)</f>
        <v>9.8738924824699703E-2</v>
      </c>
      <c r="E22" s="121"/>
      <c r="F22" s="121"/>
      <c r="G22" s="121"/>
      <c r="H22" s="121"/>
      <c r="I22" s="121"/>
    </row>
    <row r="23" spans="1:36" ht="13.8" thickBot="1">
      <c r="A23" s="645"/>
      <c r="B23" s="645"/>
      <c r="C23" s="645"/>
      <c r="D23" s="645"/>
      <c r="E23" s="121"/>
      <c r="F23" s="121"/>
      <c r="G23" s="121"/>
      <c r="H23" s="121"/>
      <c r="I23" s="121"/>
    </row>
    <row r="24" spans="1:36" ht="14.4">
      <c r="A24" s="3378" t="s">
        <v>1299</v>
      </c>
      <c r="B24" s="1629" t="s">
        <v>1291</v>
      </c>
      <c r="C24" s="128">
        <f>IF(B30=0,0,D30)</f>
        <v>0</v>
      </c>
      <c r="D24" s="1635"/>
      <c r="E24" s="121"/>
      <c r="F24" s="121"/>
      <c r="G24" s="121"/>
      <c r="H24" s="121"/>
      <c r="I24" s="121"/>
    </row>
    <row r="25" spans="1:36" ht="14.4">
      <c r="A25" s="3379"/>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3553">
        <f ca="1">G19+[2]结果表!$G$19</f>
        <v>80062</v>
      </c>
      <c r="D32" s="1639" t="s">
        <v>3636</v>
      </c>
      <c r="E32" s="121"/>
      <c r="F32" s="121"/>
      <c r="G32" s="121"/>
      <c r="H32" s="121"/>
      <c r="I32" s="121"/>
    </row>
    <row r="33" spans="1:15" ht="14.4">
      <c r="A33" s="739" t="s">
        <v>1306</v>
      </c>
      <c r="B33" s="123"/>
      <c r="C33" s="1640" t="s">
        <v>3637</v>
      </c>
      <c r="D33" s="1641" t="s">
        <v>3634</v>
      </c>
      <c r="E33" s="1642" t="s">
        <v>1307</v>
      </c>
      <c r="F33" s="1643" t="str">
        <f>IF(D32="楼面单价","取值（单价）","取值（总价）")</f>
        <v>取值（总价）</v>
      </c>
      <c r="G33" s="121"/>
      <c r="H33" s="121"/>
      <c r="I33" s="121"/>
    </row>
    <row r="34" spans="1:15" ht="14.4">
      <c r="A34" s="1644"/>
      <c r="B34" s="1645" t="s">
        <v>1308</v>
      </c>
      <c r="C34" s="139">
        <f ca="1">IF(C33="自定义",F34,C32-C35)</f>
        <v>16173</v>
      </c>
      <c r="D34" s="807">
        <f ca="1">IF(C33="自定义",ROUND(C34/C32,3),IF(C33="收益比率",SUMIF(INDIRECT("'"&amp;D33&amp;"'"&amp;"!b:b"),"土地收益比率",INDIRECT("'"&amp;D33&amp;"'"&amp;"!c:c")),SUMIF(INDIRECT("'"&amp;D33&amp;"'"&amp;"!b:b"),"土地成本比率",INDIRECT("'"&amp;D33&amp;"'"&amp;"!c:c"))))</f>
        <v>0.20199999999999996</v>
      </c>
      <c r="E34" s="1646" t="s">
        <v>1309</v>
      </c>
      <c r="F34" s="1241">
        <f>成本法!C5</f>
        <v>4914</v>
      </c>
      <c r="G34" s="121"/>
      <c r="H34" s="121"/>
      <c r="I34" s="121"/>
    </row>
    <row r="35" spans="1:15" ht="15" thickBot="1">
      <c r="A35" s="1647"/>
      <c r="B35" s="1648" t="s">
        <v>1310</v>
      </c>
      <c r="C35" s="1088">
        <f ca="1">IF(C33="自定义",F35,ROUND(C32*D35,0))</f>
        <v>63889</v>
      </c>
      <c r="D35" s="1089">
        <f ca="1">IF(C33="自定义",ROUND(C35/C32,3),IF(C33="收益比率",SUMIF(INDIRECT("'"&amp;D33&amp;"'"&amp;"!b:b"),"建筑物收益比率",INDIRECT("'"&amp;D33&amp;"'"&amp;"!c:c")),SUMIF(INDIRECT("'"&amp;D33&amp;"'"&amp;"!b:b"),"建筑物成本比率",INDIRECT("'"&amp;D33&amp;"'"&amp;"!c:c"))))</f>
        <v>0.79800000000000004</v>
      </c>
      <c r="E35" s="1649" t="s">
        <v>1311</v>
      </c>
      <c r="F35" s="145">
        <f ca="1">C32-F34</f>
        <v>75148</v>
      </c>
      <c r="G35" s="121"/>
      <c r="H35" s="121"/>
      <c r="I35" s="121"/>
    </row>
    <row r="36" spans="1:15" ht="15" thickBot="1">
      <c r="A36" s="3355" t="s">
        <v>1312</v>
      </c>
      <c r="B36" s="1650" t="s">
        <v>1313</v>
      </c>
      <c r="C36" s="136"/>
      <c r="D36" s="1651"/>
      <c r="E36" s="1565"/>
      <c r="F36" s="1652"/>
      <c r="G36" s="121"/>
      <c r="H36" s="121"/>
      <c r="I36" s="121"/>
    </row>
    <row r="37" spans="1:15" ht="15" thickBot="1">
      <c r="A37" s="3356"/>
      <c r="B37" s="1553" t="s">
        <v>1314</v>
      </c>
      <c r="C37" s="138"/>
      <c r="D37" s="1069"/>
      <c r="E37" s="1069"/>
      <c r="F37" s="1652"/>
      <c r="G37" s="121"/>
      <c r="H37" s="121"/>
      <c r="I37" s="121"/>
    </row>
    <row r="38" spans="1:15" ht="15" thickBot="1">
      <c r="A38" s="3357"/>
      <c r="B38" s="1653" t="s">
        <v>1315</v>
      </c>
      <c r="C38" s="640"/>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0"/>
      <c r="C40" s="141"/>
      <c r="D40" s="141"/>
      <c r="E40" s="142"/>
      <c r="F40" s="1652"/>
      <c r="G40" s="121"/>
      <c r="H40" s="121"/>
      <c r="I40" s="121"/>
    </row>
    <row r="41" spans="1:15" ht="13.8">
      <c r="A41" s="1658" t="s">
        <v>1323</v>
      </c>
      <c r="B41" s="140"/>
      <c r="C41" s="141"/>
      <c r="D41" s="141"/>
      <c r="E41" s="142"/>
      <c r="F41" s="1652"/>
      <c r="G41" s="121"/>
      <c r="H41" s="121"/>
      <c r="I41" s="121"/>
    </row>
    <row r="42" spans="1:15" ht="14.4" thickBot="1">
      <c r="A42" s="1659"/>
      <c r="B42" s="143"/>
      <c r="C42" s="144"/>
      <c r="D42" s="144"/>
      <c r="E42" s="145"/>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3186" t="s">
        <v>3695</v>
      </c>
      <c r="E44" s="1663"/>
      <c r="F44" s="1664"/>
      <c r="G44" s="1664"/>
      <c r="H44" s="1664"/>
      <c r="I44" s="1664"/>
      <c r="J44" s="1665" t="s">
        <v>1325</v>
      </c>
      <c r="K44" s="4"/>
      <c r="L44" s="4"/>
      <c r="M44" s="4"/>
      <c r="N44" s="4"/>
      <c r="O44" s="4"/>
    </row>
    <row r="45" spans="1:15" ht="14.25" customHeight="1" thickBot="1">
      <c r="A45" s="3375" t="s">
        <v>1326</v>
      </c>
      <c r="B45" s="3376"/>
      <c r="C45" s="3377"/>
      <c r="D45" s="3185">
        <f ca="1">G19+[2]结果表!$G$19</f>
        <v>80062</v>
      </c>
      <c r="E45" s="147" t="s">
        <v>1327</v>
      </c>
      <c r="F45" s="148">
        <v>1</v>
      </c>
      <c r="G45" s="149" t="s">
        <v>1328</v>
      </c>
      <c r="H45" s="121"/>
      <c r="I45" s="121"/>
      <c r="J45" s="3295" t="s">
        <v>1329</v>
      </c>
      <c r="K45" s="3295"/>
      <c r="L45" s="3295"/>
      <c r="M45" s="3295"/>
      <c r="N45" s="3295"/>
      <c r="O45" s="3295"/>
    </row>
    <row r="46" spans="1:15" ht="14.25" customHeight="1">
      <c r="A46" s="3372" t="s">
        <v>1330</v>
      </c>
      <c r="B46" s="3373"/>
      <c r="C46" s="3373"/>
      <c r="D46" s="3373"/>
      <c r="E46" s="3373"/>
      <c r="F46" s="3373"/>
      <c r="G46" s="3374"/>
      <c r="H46" s="1666"/>
      <c r="I46" s="150"/>
      <c r="J46" s="2308">
        <v>1</v>
      </c>
      <c r="K46" s="3296" t="s">
        <v>1331</v>
      </c>
      <c r="L46" s="3296"/>
      <c r="M46" s="3297"/>
      <c r="N46" s="3297"/>
      <c r="O46" s="3297"/>
    </row>
    <row r="47" spans="1:15" ht="12" customHeight="1">
      <c r="A47" s="151" t="s">
        <v>1332</v>
      </c>
      <c r="B47" s="152"/>
      <c r="C47" s="153"/>
      <c r="D47" s="1023" t="s">
        <v>1333</v>
      </c>
      <c r="E47" s="293" t="s">
        <v>1334</v>
      </c>
      <c r="F47" s="154" t="s">
        <v>1335</v>
      </c>
      <c r="G47" s="2331" t="s">
        <v>1336</v>
      </c>
      <c r="H47" s="2332"/>
      <c r="I47" s="150"/>
      <c r="J47" s="2308">
        <v>2</v>
      </c>
      <c r="K47" s="3296" t="s">
        <v>1337</v>
      </c>
      <c r="L47" s="3296"/>
      <c r="M47" s="3298">
        <f>'数据-取费表'!B2</f>
        <v>45607</v>
      </c>
      <c r="N47" s="3298"/>
      <c r="O47" s="3298"/>
    </row>
    <row r="48" spans="1:15" ht="26.4">
      <c r="A48" s="3358" t="s">
        <v>1338</v>
      </c>
      <c r="B48" s="3359"/>
      <c r="C48" s="3359"/>
      <c r="D48" s="12">
        <f ca="1">IF(H48="情况1",0,IF(H48="情况2",D52,IF(H48="情况3",D53,IF(H48="情况4",D54))))</f>
        <v>4270</v>
      </c>
      <c r="E48" s="1254" t="str">
        <f>IF(H48="情况4","(销售额-原购置价)×税（费）率","销售额×税（费）率")</f>
        <v>销售额×税（费）率</v>
      </c>
      <c r="F48" s="2333">
        <f>IF(H48="情况1","免征",'数据-取费表'!B41)</f>
        <v>5.6000000000000001E-2</v>
      </c>
      <c r="G48" s="2334" t="s">
        <v>1339</v>
      </c>
      <c r="H48" s="2335" t="s">
        <v>3638</v>
      </c>
      <c r="I48" s="1666"/>
      <c r="J48" s="2308">
        <v>3</v>
      </c>
      <c r="K48" s="3296" t="s">
        <v>1340</v>
      </c>
      <c r="L48" s="3296"/>
      <c r="M48" s="3299">
        <f ca="1">H101</f>
        <v>80062</v>
      </c>
      <c r="N48" s="3299"/>
      <c r="O48" s="3299"/>
    </row>
    <row r="49" spans="1:35" ht="25.5" customHeight="1">
      <c r="A49" s="2150" t="s">
        <v>1341</v>
      </c>
      <c r="B49" s="3344" t="s">
        <v>1342</v>
      </c>
      <c r="C49" s="3344"/>
      <c r="D49" s="1476">
        <v>0</v>
      </c>
      <c r="E49" s="315" t="s">
        <v>1343</v>
      </c>
      <c r="F49" s="2231" t="s">
        <v>28</v>
      </c>
      <c r="G49" s="3327"/>
      <c r="H49" s="2132" t="s">
        <v>2134</v>
      </c>
      <c r="I49" s="2133"/>
      <c r="J49" s="2308">
        <v>4</v>
      </c>
      <c r="K49" s="3296" t="str">
        <f>IF(项目基本情况!E8="房地产抵押价值","房地产抵押价值","抵押担保权已注销时的房地产抵押价值")</f>
        <v>房地产抵押价值</v>
      </c>
      <c r="L49" s="3296"/>
      <c r="M49" s="3555">
        <f ca="1">M48-面积清单!B74</f>
        <v>75062</v>
      </c>
      <c r="N49" s="3555"/>
      <c r="O49" s="3555"/>
      <c r="P49" s="3554" t="s">
        <v>3714</v>
      </c>
    </row>
    <row r="50" spans="1:35" ht="25.5" customHeight="1">
      <c r="A50" s="2336"/>
      <c r="B50" s="3344" t="s">
        <v>1344</v>
      </c>
      <c r="C50" s="3344"/>
      <c r="D50" s="2187"/>
      <c r="E50" s="322"/>
      <c r="F50" s="2231"/>
      <c r="G50" s="3328"/>
      <c r="H50" s="2134" t="s">
        <v>2135</v>
      </c>
      <c r="I50" s="2133"/>
      <c r="J50" s="3295" t="s">
        <v>1345</v>
      </c>
      <c r="K50" s="3295"/>
      <c r="L50" s="3295"/>
      <c r="M50" s="3295"/>
      <c r="N50" s="3295"/>
      <c r="O50" s="3295"/>
    </row>
    <row r="51" spans="1:35" ht="20.399999999999999" customHeight="1">
      <c r="A51" s="2337"/>
      <c r="B51" s="3344" t="s">
        <v>1346</v>
      </c>
      <c r="C51" s="3344"/>
      <c r="D51" s="1023"/>
      <c r="E51" s="318"/>
      <c r="F51" s="2231"/>
      <c r="G51" s="3329"/>
      <c r="H51" s="2134" t="s">
        <v>2136</v>
      </c>
      <c r="I51" s="2133"/>
      <c r="J51" s="2309" t="s">
        <v>1347</v>
      </c>
      <c r="K51" s="3296" t="s">
        <v>1348</v>
      </c>
      <c r="L51" s="3296"/>
      <c r="M51" s="2309" t="s">
        <v>1349</v>
      </c>
      <c r="N51" s="2309" t="s">
        <v>1350</v>
      </c>
      <c r="O51" s="2309" t="s">
        <v>1351</v>
      </c>
    </row>
    <row r="52" spans="1:35" ht="24" customHeight="1">
      <c r="A52" s="2151" t="s">
        <v>1352</v>
      </c>
      <c r="B52" s="3344" t="s">
        <v>1353</v>
      </c>
      <c r="C52" s="3344"/>
      <c r="D52" s="1023">
        <f ca="1">ROUND(D45*'数据-取费表'!B41/(1+'数据-取费表'!C42),0)</f>
        <v>4270</v>
      </c>
      <c r="E52" s="1254" t="s">
        <v>1354</v>
      </c>
      <c r="F52" s="2338">
        <f>'数据-取费表'!B41</f>
        <v>5.6000000000000001E-2</v>
      </c>
      <c r="G52" s="2339"/>
      <c r="H52" s="2329"/>
      <c r="I52" s="1667"/>
      <c r="J52" s="2308">
        <v>1</v>
      </c>
      <c r="K52" s="3321" t="s">
        <v>1355</v>
      </c>
      <c r="L52" s="3321"/>
      <c r="M52" s="2310">
        <f ca="1">D48</f>
        <v>4270</v>
      </c>
      <c r="N52" s="2308" t="str">
        <f>E48</f>
        <v>销售额×税（费）率</v>
      </c>
      <c r="O52" s="2311">
        <f>F48</f>
        <v>5.6000000000000001E-2</v>
      </c>
    </row>
    <row r="53" spans="1:35" ht="12" customHeight="1">
      <c r="A53" s="2151" t="s">
        <v>1356</v>
      </c>
      <c r="B53" s="3345" t="s">
        <v>2291</v>
      </c>
      <c r="C53" s="3346"/>
      <c r="D53" s="1023">
        <f ca="1">ROUND(D45*'数据-取费表'!B41/(1+'数据-取费表'!C42),0)</f>
        <v>4270</v>
      </c>
      <c r="E53" s="1254" t="s">
        <v>1354</v>
      </c>
      <c r="F53" s="2338">
        <f>'数据-取费表'!B41</f>
        <v>5.6000000000000001E-2</v>
      </c>
      <c r="G53" s="2339"/>
      <c r="H53" s="2329"/>
      <c r="I53" s="1667"/>
      <c r="J53" s="2308">
        <v>2</v>
      </c>
      <c r="K53" s="3321" t="s">
        <v>1357</v>
      </c>
      <c r="L53" s="3321"/>
      <c r="M53" s="2310">
        <f t="shared" ref="M53:O54" ca="1" si="0">D55</f>
        <v>40</v>
      </c>
      <c r="N53" s="2308" t="str">
        <f t="shared" si="0"/>
        <v>销售额×税（费）率</v>
      </c>
      <c r="O53" s="2311">
        <f t="shared" si="0"/>
        <v>5.0000000000000001E-4</v>
      </c>
    </row>
    <row r="54" spans="1:35" ht="12" customHeight="1">
      <c r="A54" s="2151" t="s">
        <v>1358</v>
      </c>
      <c r="B54" s="3345" t="s">
        <v>2292</v>
      </c>
      <c r="C54" s="3346"/>
      <c r="D54" s="1023">
        <f ca="1">C68</f>
        <v>4270</v>
      </c>
      <c r="E54" s="318" t="s">
        <v>1359</v>
      </c>
      <c r="F54" s="2338">
        <f>'数据-取费表'!B41</f>
        <v>5.6000000000000001E-2</v>
      </c>
      <c r="G54" s="2339"/>
      <c r="H54" s="2340"/>
      <c r="I54" s="1667"/>
      <c r="J54" s="2308">
        <v>3</v>
      </c>
      <c r="K54" s="3321" t="s">
        <v>1360</v>
      </c>
      <c r="L54" s="3321"/>
      <c r="M54" s="2310">
        <f t="shared" ca="1" si="0"/>
        <v>5903</v>
      </c>
      <c r="N54" s="2308" t="str">
        <f t="shared" si="0"/>
        <v>增值额×税（费）率</v>
      </c>
      <c r="O54" s="2312" t="str">
        <f t="shared" si="0"/>
        <v>——</v>
      </c>
    </row>
    <row r="55" spans="1:35" ht="24" customHeight="1">
      <c r="A55" s="3381" t="s">
        <v>1361</v>
      </c>
      <c r="B55" s="3359"/>
      <c r="C55" s="3359"/>
      <c r="D55" s="12">
        <f ca="1">IF(H55="个人住宅",0,ROUND(D45*I55,0))</f>
        <v>40</v>
      </c>
      <c r="E55" s="1254" t="s">
        <v>1362</v>
      </c>
      <c r="F55" s="2338">
        <f>IF(H55="正常",I55,"免征")</f>
        <v>5.0000000000000001E-4</v>
      </c>
      <c r="G55" s="2339"/>
      <c r="H55" s="2335" t="s">
        <v>3639</v>
      </c>
      <c r="I55" s="156">
        <f>'数据-取费表'!B49</f>
        <v>5.0000000000000001E-4</v>
      </c>
      <c r="J55" s="2308" t="str">
        <f>IF(H59="非个人房产","",4)</f>
        <v/>
      </c>
      <c r="K55" s="3321" t="str">
        <f>IF(H59="非个人房产","——","个人所得税")</f>
        <v>——</v>
      </c>
      <c r="L55" s="3321"/>
      <c r="M55" s="2313" t="str">
        <f>D59</f>
        <v>——</v>
      </c>
      <c r="N55" s="1881" t="str">
        <f>E59</f>
        <v>——</v>
      </c>
      <c r="O55" s="2314" t="str">
        <f>F59</f>
        <v>——</v>
      </c>
    </row>
    <row r="56" spans="1:35" ht="25.2">
      <c r="A56" s="3381" t="s">
        <v>1363</v>
      </c>
      <c r="B56" s="3359"/>
      <c r="C56" s="3359"/>
      <c r="D56" s="12">
        <f ca="1">IF(H56="个人住宅",D57,D58)</f>
        <v>5903</v>
      </c>
      <c r="E56" s="1254" t="s">
        <v>1364</v>
      </c>
      <c r="F56" s="2338" t="str">
        <f>IF(H56="正常",F58,"免征")</f>
        <v>——</v>
      </c>
      <c r="G56" s="2341" t="s">
        <v>1365</v>
      </c>
      <c r="H56" s="2342" t="s">
        <v>3639</v>
      </c>
      <c r="I56" s="1668"/>
      <c r="J56" s="2308" t="str">
        <f>IF(项目基本情况!K6="上海银行",IF(J55="",4,J55+1),"")</f>
        <v/>
      </c>
      <c r="K56" s="3302" t="str">
        <f>IF(项目基本情况!K6="上海银行","其他处置费用","")</f>
        <v/>
      </c>
      <c r="L56" s="3303"/>
      <c r="M56" s="2310" t="str">
        <f>IF(项目基本情况!K6="上海银行",M69,"")</f>
        <v/>
      </c>
      <c r="N56" s="3302" t="str">
        <f>IF(项目基本情况!K6="上海银行","包含处置中涉及的律师、诉讼、拍卖、评估等费用","")</f>
        <v/>
      </c>
      <c r="O56" s="3305"/>
    </row>
    <row r="57" spans="1:35" ht="13.2">
      <c r="A57" s="2151" t="s">
        <v>1341</v>
      </c>
      <c r="B57" s="3345" t="s">
        <v>1366</v>
      </c>
      <c r="C57" s="3346"/>
      <c r="D57" s="1476">
        <v>0</v>
      </c>
      <c r="E57" s="315" t="s">
        <v>1343</v>
      </c>
      <c r="F57" s="293"/>
      <c r="G57" s="2339"/>
      <c r="H57" s="2343"/>
      <c r="I57" s="1668"/>
      <c r="J57" s="3321">
        <f>IF(AND(J55="",J56=""),4,IF(项目基本情况!K6="上海银行",结果表!J56+1,结果表!J55+1))</f>
        <v>4</v>
      </c>
      <c r="K57" s="3321" t="s">
        <v>1367</v>
      </c>
      <c r="L57" s="2315" t="s">
        <v>1368</v>
      </c>
      <c r="M57" s="2316"/>
      <c r="N57" s="2317">
        <f ca="1">SUMIF(M52:M56,"&lt;9e307")</f>
        <v>10213</v>
      </c>
      <c r="O57" s="2318"/>
      <c r="P57" s="2463">
        <f ca="1">N57/M49</f>
        <v>0.13606085635874343</v>
      </c>
    </row>
    <row r="58" spans="1:35" ht="25.2">
      <c r="A58" s="2151" t="s">
        <v>1352</v>
      </c>
      <c r="B58" s="3345" t="s">
        <v>1369</v>
      </c>
      <c r="C58" s="3344"/>
      <c r="D58" s="12">
        <f ca="1">IF(H58="转让取得",C81,C97)</f>
        <v>5903</v>
      </c>
      <c r="E58" s="1254" t="s">
        <v>1364</v>
      </c>
      <c r="F58" s="293" t="s">
        <v>28</v>
      </c>
      <c r="G58" s="2339"/>
      <c r="H58" s="2342" t="s">
        <v>3640</v>
      </c>
      <c r="I58" s="1668"/>
      <c r="J58" s="3321"/>
      <c r="K58" s="3321"/>
      <c r="L58" s="2315" t="s">
        <v>1370</v>
      </c>
      <c r="M58" s="2319"/>
      <c r="N58" s="2320" t="str">
        <f ca="1">NUMBERSTRING(INT(N57*10000),2)&amp;"元整"</f>
        <v>壹亿零贰佰壹拾叁万元整</v>
      </c>
      <c r="O58" s="2321"/>
    </row>
    <row r="59" spans="1:35" ht="24.6" thickBot="1">
      <c r="A59" s="3325" t="s">
        <v>1371</v>
      </c>
      <c r="B59" s="3326"/>
      <c r="C59" s="332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6" t="s">
        <v>3641</v>
      </c>
      <c r="I59" s="2135" t="s">
        <v>2137</v>
      </c>
      <c r="J59" s="3323">
        <f>J57+1</f>
        <v>5</v>
      </c>
      <c r="K59" s="3321" t="s">
        <v>1372</v>
      </c>
      <c r="L59" s="2308" t="s">
        <v>1368</v>
      </c>
      <c r="M59" s="2322"/>
      <c r="N59" s="2323">
        <f ca="1">M49-N57</f>
        <v>64849</v>
      </c>
      <c r="O59" s="2324"/>
    </row>
    <row r="60" spans="1:35" ht="12" customHeight="1">
      <c r="A60" s="1669"/>
      <c r="B60" s="645"/>
      <c r="C60" s="645"/>
      <c r="D60" s="645"/>
      <c r="E60" s="1464"/>
      <c r="F60" s="1668"/>
      <c r="G60" s="1668"/>
      <c r="H60" s="150"/>
      <c r="I60" s="121"/>
      <c r="J60" s="3324"/>
      <c r="K60" s="3321"/>
      <c r="L60" s="2315" t="s">
        <v>1370</v>
      </c>
      <c r="M60" s="2319"/>
      <c r="N60" s="2320" t="str">
        <f ca="1">NUMBERSTRING(INT(N59*10000),2)&amp;"元整"</f>
        <v>陆亿肆仟捌佰肆拾玖万元整</v>
      </c>
      <c r="O60" s="2321"/>
    </row>
    <row r="61" spans="1:35" ht="13.8" thickBot="1">
      <c r="A61" s="3380" t="s">
        <v>1373</v>
      </c>
      <c r="B61" s="3380"/>
      <c r="C61" s="3380"/>
      <c r="D61" s="3380"/>
      <c r="E61" s="3380"/>
      <c r="F61" s="1668"/>
      <c r="G61" s="1668"/>
      <c r="H61" s="150"/>
      <c r="I61" s="121"/>
      <c r="J61" s="2308">
        <f>J59+1</f>
        <v>6</v>
      </c>
      <c r="K61" s="3321" t="s">
        <v>1374</v>
      </c>
      <c r="L61" s="3321"/>
      <c r="M61" s="2325"/>
      <c r="N61" s="2326">
        <f ca="1">ROUND(N59*10000/'数据-汇总表'!E3,0)</f>
        <v>13405</v>
      </c>
      <c r="O61" s="2327"/>
    </row>
    <row r="62" spans="1:35" ht="13.2">
      <c r="A62" s="3340" t="s">
        <v>1375</v>
      </c>
      <c r="B62" s="3341"/>
      <c r="C62" s="1863"/>
      <c r="D62" s="1863" t="s">
        <v>1376</v>
      </c>
      <c r="E62" s="157" t="s">
        <v>1377</v>
      </c>
      <c r="F62" s="1668"/>
      <c r="G62" s="1668"/>
      <c r="H62" s="150"/>
      <c r="I62" s="121"/>
    </row>
    <row r="63" spans="1:35" ht="13.2">
      <c r="A63" s="164" t="s">
        <v>330</v>
      </c>
      <c r="B63" s="158" t="s">
        <v>1378</v>
      </c>
      <c r="C63" s="2348">
        <f ca="1">ROUND((C64+C65)/(1+'数据-取费表'!C42),0)</f>
        <v>76250</v>
      </c>
      <c r="D63" s="158"/>
      <c r="E63" s="159"/>
      <c r="F63" s="1668"/>
      <c r="G63" s="1668"/>
      <c r="H63" s="150"/>
      <c r="I63" s="121"/>
      <c r="J63" s="3304" t="s">
        <v>1379</v>
      </c>
      <c r="K63" s="1243" t="s">
        <v>1380</v>
      </c>
      <c r="L63" s="1243">
        <f ca="1">IF(M49&gt;10000,M49*0.5%,IF(AND(M49&gt;1000,M49&lt;=10000),M49*1%,IF(AND(M49&gt;100,M49&lt;=1000),M49*3%,IF(AND(M49&gt;10,M49&lt;=100),M49*5%,M49*8%))))</f>
        <v>375.31</v>
      </c>
      <c r="M63" s="293">
        <f ca="1">ROUND(L63,1)</f>
        <v>375.3</v>
      </c>
      <c r="N63" s="2328"/>
      <c r="Z63" s="1621"/>
      <c r="AI63" s="1559"/>
    </row>
    <row r="64" spans="1:35" ht="14.25" customHeight="1">
      <c r="A64" s="160" t="s">
        <v>325</v>
      </c>
      <c r="B64" s="161" t="s">
        <v>1381</v>
      </c>
      <c r="C64" s="2349">
        <f ca="1">D45</f>
        <v>80062</v>
      </c>
      <c r="D64" s="161" t="s">
        <v>26</v>
      </c>
      <c r="E64" s="163"/>
      <c r="F64" s="1668"/>
      <c r="G64" s="1668"/>
      <c r="H64" s="150"/>
      <c r="I64" s="121"/>
      <c r="J64" s="3304"/>
      <c r="K64" s="1243" t="s">
        <v>1382</v>
      </c>
      <c r="L64" s="1243">
        <f ca="1">IF(M49&gt;2000,M49*0.5%,IF(AND(M49&gt;1000,M49&lt;=2000),M49*0.6%,IF(AND(M49&gt;500,M49&lt;=1000),M49*0.7%,IF(AND(M49&gt;200,M49&lt;=500),M49*0.8%,IF(AND(M49&gt;100,M49&lt;=200),M49*0.9%,IF(AND(M49&gt;50,M49&lt;=100),M49*1%,IF(AND(M49&gt;20,M49&lt;=50),M49*1.5%,IF(AND(M49&gt;10,M49&lt;=20),M49*2%,IF(AND(M49&gt;1,M49&lt;=10),M49*2.5%)))))))))</f>
        <v>375.31</v>
      </c>
      <c r="M64" s="293">
        <f t="shared" ref="M64:M65" ca="1" si="1">ROUND(L64,1)</f>
        <v>375.3</v>
      </c>
      <c r="N64" s="2329" t="s">
        <v>1383</v>
      </c>
      <c r="Z64" s="1621"/>
      <c r="AI64" s="1559"/>
    </row>
    <row r="65" spans="1:35" ht="14.25" customHeight="1">
      <c r="A65" s="160" t="s">
        <v>326</v>
      </c>
      <c r="B65" s="161" t="s">
        <v>1384</v>
      </c>
      <c r="C65" s="2350"/>
      <c r="D65" s="161"/>
      <c r="E65" s="163"/>
      <c r="F65" s="1668"/>
      <c r="G65" s="1668"/>
      <c r="H65" s="150"/>
      <c r="I65" s="121"/>
      <c r="J65" s="3304"/>
      <c r="K65" s="1243" t="s">
        <v>1385</v>
      </c>
      <c r="L65" s="1243">
        <f ca="1">IF(M49&gt;1000,M49*0.1%,IF(AND(M49&gt;500,M49&lt;=1000),M49*0.5%,IF(AND(M49&gt;50,M49&lt;=500),M49*1%,IF(AND(M49&gt;1,M49&lt;=50),M49*1.5%))))</f>
        <v>75.061999999999998</v>
      </c>
      <c r="M65" s="293">
        <f t="shared" ca="1" si="1"/>
        <v>75.099999999999994</v>
      </c>
      <c r="N65" s="2329" t="s">
        <v>1383</v>
      </c>
      <c r="Z65" s="1621"/>
      <c r="AI65" s="1559"/>
    </row>
    <row r="66" spans="1:35" ht="14.25" customHeight="1">
      <c r="A66" s="164" t="s">
        <v>327</v>
      </c>
      <c r="B66" s="165" t="s">
        <v>1386</v>
      </c>
      <c r="C66" s="2351"/>
      <c r="D66" s="165" t="s">
        <v>26</v>
      </c>
      <c r="E66" s="1249" t="s">
        <v>671</v>
      </c>
      <c r="F66" s="1668"/>
      <c r="G66" s="1668"/>
      <c r="H66" s="150"/>
      <c r="I66" s="121"/>
      <c r="J66" s="3304"/>
      <c r="K66" s="1243" t="s">
        <v>1387</v>
      </c>
      <c r="L66" s="1243">
        <f ca="1">M49*0.5%</f>
        <v>375.31</v>
      </c>
      <c r="M66" s="293">
        <f ca="1">IF(L66&gt;0.5,0.5,ROUND(L66,0))</f>
        <v>0.5</v>
      </c>
      <c r="N66" s="2329" t="s">
        <v>1388</v>
      </c>
      <c r="Z66" s="1621"/>
      <c r="AI66" s="1559"/>
    </row>
    <row r="67" spans="1:35" ht="14.25" customHeight="1">
      <c r="A67" s="164" t="s">
        <v>328</v>
      </c>
      <c r="B67" s="165" t="s">
        <v>1389</v>
      </c>
      <c r="C67" s="2352">
        <f ca="1">C63-C66</f>
        <v>76250</v>
      </c>
      <c r="D67" s="161" t="s">
        <v>26</v>
      </c>
      <c r="E67" s="163"/>
      <c r="F67" s="1668"/>
      <c r="G67" s="1668"/>
      <c r="H67" s="150"/>
      <c r="I67" s="121"/>
      <c r="J67" s="3304"/>
      <c r="K67" s="1243" t="s">
        <v>1390</v>
      </c>
      <c r="L67" s="1243">
        <f ca="1">IF(M49&gt;=10000,(8.25+(M49-10000)*0.01%),IF(AND(M49&gt;=8000,M49&lt;10000),(7.85+(M49-8000)*0.02%),IF(AND(M49&gt;=5000,M49&lt;8000),(6.65+(M49-5000)*0.04%),IF(AND(M49&gt;=2000,M49&lt;5000),(4.25+(PM49-2000)*0.08%),IF(AND(M49&gt;=1000,M49&lt;2000),(2.75+(M49-1000)*0.15%),IF(AND(M49&gt;=100,M49&lt;1000),(0.5+(M49-100)*0.25%),IF(AND(M49&gt;0,M49&lt;100),M49*0.5%)))))))</f>
        <v>14.7562</v>
      </c>
      <c r="M67" s="293">
        <f ca="1">ROUND(L67*0.9,1)</f>
        <v>13.3</v>
      </c>
      <c r="N67" s="2328"/>
      <c r="Z67" s="1621"/>
      <c r="AI67" s="1559"/>
    </row>
    <row r="68" spans="1:35" ht="14.25" customHeight="1" thickBot="1">
      <c r="A68" s="167" t="s">
        <v>329</v>
      </c>
      <c r="B68" s="168" t="s">
        <v>1391</v>
      </c>
      <c r="C68" s="2353">
        <f ca="1">IF(C67&lt;=0,0,ROUND(C67*D68,0))</f>
        <v>4270</v>
      </c>
      <c r="D68" s="2354">
        <f>'数据-取费表'!B41</f>
        <v>5.6000000000000001E-2</v>
      </c>
      <c r="E68" s="169"/>
      <c r="F68" s="1668"/>
      <c r="G68" s="1668"/>
      <c r="H68" s="150"/>
      <c r="I68" s="121"/>
      <c r="J68" s="3304"/>
      <c r="K68" s="1243" t="s">
        <v>1392</v>
      </c>
      <c r="L68" s="1243">
        <f ca="1">IF(M49&gt;10000,M49*0.5%,IF(AND(M49&gt;5000,M49&lt;=10000),M49*1%,IF(AND(M49&gt;1000,M49&lt;=5000),M49*2%,IF(AND(M49&gt;200,M49&lt;=1000),M49*3%,M49*5%))))</f>
        <v>375.31</v>
      </c>
      <c r="M68" s="293">
        <f ca="1">ROUND(L68,1)</f>
        <v>375.3</v>
      </c>
      <c r="N68" s="2328"/>
      <c r="Z68" s="1621"/>
      <c r="AI68" s="1559"/>
    </row>
    <row r="69" spans="1:35" ht="16.5" customHeight="1">
      <c r="A69" s="1670"/>
      <c r="B69" s="1671"/>
      <c r="C69" s="1672"/>
      <c r="D69" s="1673"/>
      <c r="E69" s="1674"/>
      <c r="F69" s="1464"/>
      <c r="G69" s="1464"/>
      <c r="H69" s="1465"/>
      <c r="I69" s="645"/>
      <c r="J69" s="3304"/>
      <c r="K69" s="1243" t="s">
        <v>1393</v>
      </c>
      <c r="L69" s="1243"/>
      <c r="M69" s="293">
        <f ca="1">ROUND(SUM(M63:M68),0)</f>
        <v>1215</v>
      </c>
      <c r="N69" s="2330">
        <f ca="1">M69/M49</f>
        <v>1.6186619061575765E-2</v>
      </c>
      <c r="Z69" s="1621"/>
      <c r="AI69" s="1559"/>
    </row>
    <row r="70" spans="1:35" s="641" customFormat="1" ht="14.4" thickBot="1">
      <c r="A70" s="3348" t="s">
        <v>1394</v>
      </c>
      <c r="B70" s="3349"/>
      <c r="C70" s="3349"/>
      <c r="D70" s="3349"/>
      <c r="E70" s="3349"/>
      <c r="F70" s="3349"/>
      <c r="G70" s="3349"/>
      <c r="H70" s="3349"/>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340" t="s">
        <v>1375</v>
      </c>
      <c r="B71" s="3341"/>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52">
        <f ca="1">ROUND(D45/(1+'数据-取费表'!C42),0)</f>
        <v>76250</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52">
        <f ca="1">C74+C78</f>
        <v>457</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5"/>
      <c r="D75" s="161" t="s">
        <v>26</v>
      </c>
      <c r="E75" s="175" t="s">
        <v>1399</v>
      </c>
      <c r="F75" s="2356"/>
      <c r="G75" s="175"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8">
        <v>0.05</v>
      </c>
      <c r="E76" s="3345" t="s">
        <v>1402</v>
      </c>
      <c r="F76" s="3344"/>
      <c r="G76" s="3344"/>
      <c r="H76" s="334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60">
        <f ca="1">ROUND(D45*D78/(1+'数据-取费表'!C42),0)</f>
        <v>457</v>
      </c>
      <c r="D78" s="2361">
        <f>'数据-取费表'!B43</f>
        <v>6.000000000000001E-3</v>
      </c>
      <c r="E78" s="3337" t="s">
        <v>1406</v>
      </c>
      <c r="F78" s="3338"/>
      <c r="G78" s="3338"/>
      <c r="H78" s="333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52">
        <f ca="1">C72-C73</f>
        <v>75793</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62">
        <f ca="1">IF(C79&lt;=0,0,C79/C73)</f>
        <v>165.84901531728664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63">
        <f ca="1">ROUND(IF(C79&lt;=0,0,IF(C80&gt;=200%,C79*60%-C73*35%,IF(C80&gt;=100%,C79*50%-C73*15%,IF(C80&gt;=50%,C79*40%-C73*5%,IF(C80&lt;50%,C79*30%,0))))),0)</f>
        <v>45316</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48" t="s">
        <v>1410</v>
      </c>
      <c r="B83" s="3349"/>
      <c r="C83" s="3349"/>
      <c r="D83" s="3349"/>
      <c r="E83" s="3349"/>
      <c r="F83" s="3349"/>
      <c r="G83" s="3349"/>
      <c r="H83" s="334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340" t="s">
        <v>1375</v>
      </c>
      <c r="B84" s="3341"/>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1395</v>
      </c>
      <c r="C85" s="2352">
        <f ca="1">ROUND(D45/(1+'数据-取费表'!C42),0)</f>
        <v>76250</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52">
        <f ca="1">IF(H88="仅含出让金",C87+C90+C91+C92+C93+C94,C87+C91+C92+C93+C94)</f>
        <v>56574.498200000002</v>
      </c>
      <c r="D86" s="2365"/>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60">
        <f>C88+C89</f>
        <v>5712.64</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26.4">
      <c r="A88" s="160" t="s">
        <v>331</v>
      </c>
      <c r="B88" s="161" t="s">
        <v>1412</v>
      </c>
      <c r="C88" s="2366">
        <f>面积清单!N2/10000</f>
        <v>5543.64</v>
      </c>
      <c r="D88" s="2361"/>
      <c r="E88" s="184" t="s">
        <v>1413</v>
      </c>
      <c r="F88" s="2146"/>
      <c r="G88" s="185" t="s">
        <v>1414</v>
      </c>
      <c r="H88" s="1682" t="s">
        <v>3645</v>
      </c>
      <c r="I88" s="1679"/>
      <c r="J88" s="2306"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60">
        <f>ROUND(C88*D89,0)</f>
        <v>169</v>
      </c>
      <c r="D89" s="2361">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6"/>
      <c r="D90" s="2361"/>
      <c r="E90" s="184" t="str">
        <f>IF(H88="-","土地取得成本中已包含该笔费用"," ")</f>
        <v xml:space="preserve"> </v>
      </c>
      <c r="F90" s="2146"/>
      <c r="G90" s="3306" t="s">
        <v>2129</v>
      </c>
      <c r="H90" s="3307"/>
      <c r="I90" s="1679"/>
      <c r="J90" s="2306"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60">
        <f>IF(H91="——",成本法!C33,I91)</f>
        <v>41051.858200000002</v>
      </c>
      <c r="D91" s="2361"/>
      <c r="E91" s="3337" t="s">
        <v>1419</v>
      </c>
      <c r="F91" s="3338"/>
      <c r="G91" s="3338"/>
      <c r="H91" s="1683" t="s">
        <v>3646</v>
      </c>
      <c r="I91" s="1684">
        <f>ROUND(面积清单!B71/10000,4)</f>
        <v>41051.858200000002</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60">
        <f>ROUND((C87+C90+C91)*D92,0)</f>
        <v>0</v>
      </c>
      <c r="D92" s="2367"/>
      <c r="E92" s="3337" t="s">
        <v>1422</v>
      </c>
      <c r="F92" s="3338"/>
      <c r="G92" s="3338"/>
      <c r="H92" s="3339"/>
      <c r="I92" s="1679"/>
      <c r="J92" s="2307"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60">
        <f ca="1">ROUND(D45*D93/(1+'数据-取费表'!C42),0)</f>
        <v>457</v>
      </c>
      <c r="D93" s="2361">
        <f>'数据-取费表'!B43</f>
        <v>6.000000000000001E-3</v>
      </c>
      <c r="E93" s="3337" t="s">
        <v>1406</v>
      </c>
      <c r="F93" s="3338"/>
      <c r="G93" s="3338"/>
      <c r="H93" s="333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6">
        <f>ROUND((C87+C90+C91)*D94,0)</f>
        <v>9353</v>
      </c>
      <c r="D94" s="2361">
        <v>0.2</v>
      </c>
      <c r="E94" s="3382" t="s">
        <v>1426</v>
      </c>
      <c r="F94" s="3383"/>
      <c r="G94" s="3383"/>
      <c r="H94" s="338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52">
        <f ca="1">ROUND(C85-C86,0)</f>
        <v>19676</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62">
        <f ca="1">IF(C95&lt;=0,0,C95/C86)</f>
        <v>0.34778920937914742</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63">
        <f ca="1">ROUND(IF(C95&lt;=0,0,IF(C96&gt;=200%,C95*60%-C86*35%,IF(C96&gt;=100%,C95*50%-C86*15%,IF(C96&gt;=50%,C95*40%-C86*5%,IF(C96&lt;50%,C95*30%,0))))),0)</f>
        <v>5903</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87" t="s">
        <v>1428</v>
      </c>
      <c r="B100" s="3288"/>
      <c r="C100" s="3288"/>
      <c r="D100" s="3322"/>
      <c r="E100" s="3288" t="s">
        <v>1429</v>
      </c>
      <c r="F100" s="3288"/>
      <c r="G100" s="3288"/>
      <c r="H100" s="3322"/>
      <c r="I100" s="121"/>
    </row>
    <row r="101" spans="1:35" ht="18.75" customHeight="1">
      <c r="A101" s="3330" t="s">
        <v>1430</v>
      </c>
      <c r="B101" s="3331"/>
      <c r="C101" s="2369" t="str">
        <f>C4</f>
        <v>成本法</v>
      </c>
      <c r="D101" s="2370" t="str">
        <f>D4</f>
        <v>收益法（汇总）</v>
      </c>
      <c r="E101" s="3300" t="s">
        <v>1431</v>
      </c>
      <c r="F101" s="3301"/>
      <c r="G101" s="1685" t="s">
        <v>1432</v>
      </c>
      <c r="H101" s="2379">
        <f ca="1">H118</f>
        <v>80062</v>
      </c>
      <c r="I101" s="121"/>
    </row>
    <row r="102" spans="1:35" ht="18.75" customHeight="1">
      <c r="A102" s="3332" t="s">
        <v>1433</v>
      </c>
      <c r="B102" s="2368" t="s">
        <v>1432</v>
      </c>
      <c r="C102" s="2369">
        <f ca="1">IF(D32="楼面单价",ROUND(C19,0),C19)</f>
        <v>36794</v>
      </c>
      <c r="D102" s="2370">
        <f ca="1">IF(D32="楼面单价",ROUND(D19,0),D19)</f>
        <v>40427</v>
      </c>
      <c r="E102" s="3300"/>
      <c r="F102" s="3301"/>
      <c r="G102" s="1685" t="s">
        <v>1434</v>
      </c>
      <c r="H102" s="2339">
        <f ca="1">I118</f>
        <v>16550</v>
      </c>
      <c r="I102" s="121"/>
    </row>
    <row r="103" spans="1:35" ht="42.75" customHeight="1">
      <c r="A103" s="3332"/>
      <c r="B103" s="2368" t="s">
        <v>1434</v>
      </c>
      <c r="C103" s="2371">
        <f ca="1">C20</f>
        <v>7606</v>
      </c>
      <c r="D103" s="2372">
        <f ca="1">D20</f>
        <v>8357</v>
      </c>
      <c r="E103" s="3293" t="s">
        <v>1435</v>
      </c>
      <c r="F103" s="3294"/>
      <c r="G103" s="1686" t="s">
        <v>1436</v>
      </c>
      <c r="H103" s="2379">
        <f>IF(D36="正常操作",H104+H105+H106,H105+H106)</f>
        <v>0</v>
      </c>
      <c r="I103" s="121"/>
    </row>
    <row r="104" spans="1:35" ht="18.75" customHeight="1">
      <c r="A104" s="3332" t="s">
        <v>1437</v>
      </c>
      <c r="B104" s="2373" t="s">
        <v>1432</v>
      </c>
      <c r="C104" s="2374">
        <f ca="1">H118</f>
        <v>80062</v>
      </c>
      <c r="D104" s="2375"/>
      <c r="E104" s="1553" t="s">
        <v>1438</v>
      </c>
      <c r="F104" s="1546"/>
      <c r="G104" s="1686" t="s">
        <v>1436</v>
      </c>
      <c r="H104" s="2380">
        <f>IF(D36="同一抵押权人同一抵押物续贷",C36&amp;"（续贷，未扣减，详见特别提示）",C36)</f>
        <v>0</v>
      </c>
      <c r="I104" s="121"/>
    </row>
    <row r="105" spans="1:35" ht="18.75" customHeight="1" thickBot="1">
      <c r="A105" s="3342"/>
      <c r="B105" s="2376" t="s">
        <v>1434</v>
      </c>
      <c r="C105" s="2377">
        <f ca="1">I118</f>
        <v>16550</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333" t="str">
        <f>IF(项目基本情况!E8="已注销","——","3.房地产抵押价值")</f>
        <v>3.房地产抵押价值</v>
      </c>
      <c r="F107" s="3301"/>
      <c r="G107" s="1685" t="s">
        <v>1432</v>
      </c>
      <c r="H107" s="2379">
        <f ca="1">IF(E107="——","——",H101-H103)</f>
        <v>80062</v>
      </c>
      <c r="I107" s="121"/>
    </row>
    <row r="108" spans="1:35" ht="18.75" customHeight="1">
      <c r="A108" s="121"/>
      <c r="B108" s="121"/>
      <c r="C108" s="121"/>
      <c r="D108" s="121"/>
      <c r="E108" s="3333"/>
      <c r="F108" s="3301"/>
      <c r="G108" s="1685" t="s">
        <v>1434</v>
      </c>
      <c r="H108" s="2339">
        <f ca="1">IF(H107=H101,H102,ROUND(H107*10000/'数据-汇总表'!E3,0))</f>
        <v>16550</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01"/>
      <c r="G109" s="1685" t="s">
        <v>1432</v>
      </c>
      <c r="H109" s="2382" t="str">
        <f>IF(E109="——","——",H101-H105-H106)</f>
        <v>——</v>
      </c>
      <c r="I109" s="121"/>
    </row>
    <row r="110" spans="1:35" ht="18.75" customHeight="1">
      <c r="A110" s="121"/>
      <c r="B110" s="121"/>
      <c r="C110" s="121"/>
      <c r="D110" s="121"/>
      <c r="E110" s="3333"/>
      <c r="F110" s="3301"/>
      <c r="G110" s="1685" t="s">
        <v>1434</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20"/>
      <c r="G111" s="1685" t="s">
        <v>1432</v>
      </c>
      <c r="H111" s="2379" t="str">
        <f>IF(E111="——","——",N59)</f>
        <v>——</v>
      </c>
      <c r="I111" s="121"/>
    </row>
    <row r="112" spans="1:35" ht="18.75" customHeight="1" thickBot="1">
      <c r="A112" s="121"/>
      <c r="B112" s="121"/>
      <c r="C112" s="121"/>
      <c r="D112" s="121"/>
      <c r="E112" s="3335"/>
      <c r="F112" s="3336"/>
      <c r="G112" s="1688" t="s">
        <v>1434</v>
      </c>
      <c r="H112" s="2383" t="str">
        <f>IF(E111="——","——",N61)</f>
        <v>——</v>
      </c>
      <c r="I112" s="121"/>
    </row>
    <row r="113" spans="1:27" ht="18.75" customHeight="1">
      <c r="A113" s="121"/>
      <c r="B113" s="121"/>
      <c r="C113" s="121"/>
      <c r="D113" s="121"/>
      <c r="E113" s="3343" t="s">
        <v>1440</v>
      </c>
      <c r="F113" s="3343"/>
      <c r="G113" s="3343"/>
      <c r="H113" s="3343"/>
      <c r="I113" s="121"/>
    </row>
    <row r="114" spans="1:27" ht="3.75" customHeight="1">
      <c r="A114" s="645"/>
      <c r="B114" s="645"/>
      <c r="C114" s="645"/>
      <c r="D114" s="645"/>
      <c r="E114" s="1669"/>
      <c r="F114" s="1669"/>
      <c r="G114" s="1669"/>
      <c r="H114" s="1669"/>
      <c r="I114" s="645"/>
    </row>
    <row r="115" spans="1:27" ht="18.75" customHeight="1">
      <c r="A115" s="3351" t="s">
        <v>1442</v>
      </c>
      <c r="B115" s="3352"/>
      <c r="C115" s="3352"/>
      <c r="D115" s="3352"/>
      <c r="E115" s="3352"/>
      <c r="F115" s="3352"/>
      <c r="G115" s="3352"/>
      <c r="H115" s="3352"/>
      <c r="I115" s="3353"/>
    </row>
    <row r="116" spans="1:27" ht="27" customHeight="1">
      <c r="A116" s="3308" t="s">
        <v>1443</v>
      </c>
      <c r="B116" s="3312" t="s">
        <v>1444</v>
      </c>
      <c r="C116" s="3312" t="s">
        <v>1445</v>
      </c>
      <c r="D116" s="3318" t="s">
        <v>1446</v>
      </c>
      <c r="E116" s="3319"/>
      <c r="F116" s="3350" t="s">
        <v>1447</v>
      </c>
      <c r="G116" s="3350"/>
      <c r="H116" s="3308" t="s">
        <v>1448</v>
      </c>
      <c r="I116" s="3308"/>
    </row>
    <row r="117" spans="1:27" ht="18.75" customHeight="1">
      <c r="A117" s="3308"/>
      <c r="B117" s="3313"/>
      <c r="C117" s="3313"/>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48377.229999999996</v>
      </c>
      <c r="C118" s="2148">
        <f>M19</f>
        <v>14991.03</v>
      </c>
      <c r="D118" s="2148">
        <f ca="1">ROUND(IF(D32="总价",C34,E118*B118/10000),0)</f>
        <v>16173</v>
      </c>
      <c r="E118" s="2148">
        <f ca="1">ROUND(IF(C33="自定义",IF(D32="楼面单价",C34,D118*10000/B118),I118-G118),0)</f>
        <v>3344</v>
      </c>
      <c r="F118" s="2148">
        <f ca="1">ROUND(IF(D32="总价",C35,G118*B118/10000),0)</f>
        <v>63889</v>
      </c>
      <c r="G118" s="2148">
        <f ca="1">ROUND(IF(D32="楼面单价",C35,F118*10000/B118),0)</f>
        <v>13206</v>
      </c>
      <c r="H118" s="2148">
        <f ca="1">ROUND(IF(D32="总价",C32,I118*B118/10000),0)</f>
        <v>80062</v>
      </c>
      <c r="I118" s="2148">
        <f ca="1">ROUND(IF(D32="楼面单价",C32,H118*10000/B118),0)</f>
        <v>16550</v>
      </c>
    </row>
    <row r="119" spans="1:27" ht="18.75" customHeight="1">
      <c r="A119" s="3308" t="s">
        <v>1452</v>
      </c>
      <c r="B119" s="3308"/>
      <c r="C119" s="3308"/>
      <c r="D119" s="3314" t="str">
        <f ca="1">NUMBERSTRING(INT(D118*10000),2)&amp;"元整"</f>
        <v>壹亿陆仟壹佰柒拾叁万元整</v>
      </c>
      <c r="E119" s="3315"/>
      <c r="F119" s="3314" t="str">
        <f ca="1">NUMBERSTRING(INT(F118*10000),2)&amp;"元整"</f>
        <v>陆亿叁仟捌佰捌拾玖万元整</v>
      </c>
      <c r="G119" s="3315"/>
      <c r="H119" s="3314" t="str">
        <f ca="1">NUMBERSTRING(INT(H118*10000),2)&amp;"元整"</f>
        <v>捌亿零陆拾贰万元整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4" t="s">
        <v>1452</v>
      </c>
      <c r="B121" s="3316"/>
      <c r="C121" s="3315"/>
      <c r="D121" s="3314" t="str">
        <f>IF(D120=0,"零元整",NUMBERSTRING(INT(D120*10000),2)&amp;"元整")</f>
        <v>零元整</v>
      </c>
      <c r="E121" s="3316"/>
      <c r="F121" s="3316"/>
      <c r="G121" s="3316"/>
      <c r="H121" s="3316"/>
      <c r="I121" s="3315"/>
      <c r="AA121" s="683"/>
    </row>
    <row r="122" spans="1:27" ht="18.75" customHeight="1">
      <c r="A122" s="3320" t="str">
        <f>IF(项目基本情况!B9="房地产市场价值","",MID(E107,3,LEN(E107)-2))</f>
        <v>房地产抵押价值</v>
      </c>
      <c r="B122" s="3320"/>
      <c r="C122" s="3320"/>
      <c r="D122" s="3309">
        <f ca="1">H107</f>
        <v>80062</v>
      </c>
      <c r="E122" s="3310"/>
      <c r="F122" s="3310"/>
      <c r="G122" s="3310"/>
      <c r="H122" s="3310"/>
      <c r="I122" s="3311"/>
      <c r="AA122" s="683"/>
    </row>
    <row r="123" spans="1:27" ht="18.75" customHeight="1">
      <c r="A123" s="3308" t="s">
        <v>1452</v>
      </c>
      <c r="B123" s="3308"/>
      <c r="C123" s="3308"/>
      <c r="D123" s="3314" t="str">
        <f ca="1">NUMBERSTRING(INT(D122*10000),2)&amp;"元整"</f>
        <v>捌亿零陆拾贰万元整</v>
      </c>
      <c r="E123" s="3316"/>
      <c r="F123" s="3316"/>
      <c r="G123" s="3316"/>
      <c r="H123" s="3316"/>
      <c r="I123" s="3315"/>
      <c r="AA123" s="683"/>
    </row>
    <row r="124" spans="1:27" ht="18.75" customHeight="1">
      <c r="A124" s="3320" t="str">
        <f>IF(项目基本情况!B9="房地产市场价值","",MID(E109,3,LEN(E109)-2))</f>
        <v/>
      </c>
      <c r="B124" s="3320"/>
      <c r="C124" s="3320"/>
      <c r="D124" s="3309" t="str">
        <f>H109</f>
        <v>——</v>
      </c>
      <c r="E124" s="3310"/>
      <c r="F124" s="3310"/>
      <c r="G124" s="3310"/>
      <c r="H124" s="3310"/>
      <c r="I124" s="3311"/>
      <c r="AA124" s="683"/>
    </row>
    <row r="125" spans="1:27" ht="18.75" customHeight="1">
      <c r="A125" s="3308" t="s">
        <v>1452</v>
      </c>
      <c r="B125" s="3308"/>
      <c r="C125" s="3308"/>
      <c r="D125" s="3314" t="e">
        <f>NUMBERSTRING(INT(D124*10000),2)&amp;"元整"</f>
        <v>#VALUE!</v>
      </c>
      <c r="E125" s="3316"/>
      <c r="F125" s="3316"/>
      <c r="G125" s="3316"/>
      <c r="H125" s="3316"/>
      <c r="I125" s="3315"/>
      <c r="AA125" s="683"/>
    </row>
    <row r="126" spans="1:27" ht="18.75" customHeight="1">
      <c r="A126" s="3320" t="str">
        <f>IF(项目基本情况!B9="房地产市场价值","",MID(E111,3,LEN(E111)-2))</f>
        <v/>
      </c>
      <c r="B126" s="3320"/>
      <c r="C126" s="3320"/>
      <c r="D126" s="3309" t="str">
        <f>H111</f>
        <v>——</v>
      </c>
      <c r="E126" s="3310"/>
      <c r="F126" s="3310"/>
      <c r="G126" s="3310"/>
      <c r="H126" s="3310"/>
      <c r="I126" s="3311"/>
      <c r="AA126" s="683"/>
    </row>
    <row r="127" spans="1:27" ht="18.75" customHeight="1">
      <c r="A127" s="3308" t="s">
        <v>1452</v>
      </c>
      <c r="B127" s="3308"/>
      <c r="C127" s="3308"/>
      <c r="D127" s="3314" t="e">
        <f>NUMBERSTRING(INT(D126*10000),2)&amp;"元整"</f>
        <v>#VALUE!</v>
      </c>
      <c r="E127" s="3316"/>
      <c r="F127" s="3316"/>
      <c r="G127" s="3316"/>
      <c r="H127" s="3316"/>
      <c r="I127" s="3315"/>
      <c r="AA127" s="683"/>
    </row>
    <row r="128" spans="1:27" ht="21.75" customHeight="1">
      <c r="A128" s="3317" t="s">
        <v>1453</v>
      </c>
      <c r="B128" s="3317"/>
      <c r="C128" s="3317"/>
      <c r="D128" s="3317"/>
      <c r="E128" s="3317"/>
      <c r="F128" s="3317"/>
      <c r="G128" s="3317"/>
      <c r="H128" s="3317"/>
      <c r="I128" s="3317"/>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JS0dn5JT5gDkQbf4QtFKNB4gXvWC6VCwIIoVb1NpIIljfFBPAv+i1TJeraFaBbj19J/3kv3EPFa73LBurWUwgA==" saltValue="LeU9GQi/maKZPnKWiUmaGQ=="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01" t="str">
        <f>项目基本情况!B1</f>
        <v>北京市房地产抵押价值预评估</v>
      </c>
      <c r="C37" s="3201"/>
      <c r="D37" s="3201"/>
      <c r="E37" s="3201"/>
      <c r="F37" s="3201"/>
      <c r="G37" s="3201"/>
      <c r="H37" s="3201"/>
      <c r="I37" s="320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20" sqref="I20"/>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2"/>
      <c r="C1" s="189"/>
      <c r="D1" s="189"/>
      <c r="E1" s="189"/>
      <c r="F1" s="189"/>
      <c r="G1" s="1061">
        <f>MATCH(B1,'数据-取费表'!A6:A16,0)+5</f>
        <v>8</v>
      </c>
    </row>
    <row r="2" spans="1:9" s="191" customFormat="1" ht="18" customHeight="1">
      <c r="A2" s="192" t="s">
        <v>1462</v>
      </c>
      <c r="B2" s="193">
        <f ca="1">IF(D2="——",C52,C52-E2)</f>
        <v>36794</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7606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4914</v>
      </c>
      <c r="D5" s="202" t="s">
        <v>1469</v>
      </c>
      <c r="E5" s="203" t="s">
        <v>1470</v>
      </c>
      <c r="F5" s="203" t="s">
        <v>1471</v>
      </c>
      <c r="G5" s="204"/>
    </row>
    <row r="6" spans="1:9" s="205" customFormat="1" ht="13.5" customHeight="1">
      <c r="A6" s="731" t="s">
        <v>1472</v>
      </c>
      <c r="B6" s="206" t="s">
        <v>1473</v>
      </c>
      <c r="C6" s="207">
        <f>基准地价修正!E33+基准地价修正!E42</f>
        <v>4769</v>
      </c>
      <c r="D6" s="208"/>
      <c r="E6" s="209"/>
      <c r="F6" s="209"/>
      <c r="G6" s="210"/>
    </row>
    <row r="7" spans="1:9" s="205" customFormat="1" ht="13.5" customHeight="1">
      <c r="A7" s="731" t="s">
        <v>1474</v>
      </c>
      <c r="B7" s="206" t="s">
        <v>1475</v>
      </c>
      <c r="C7" s="211">
        <f>ROUND(C6*F7,0)</f>
        <v>145</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2" t="s">
        <v>3619</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3"/>
      <c r="H9" s="3176"/>
      <c r="I9" s="1714" t="s">
        <v>1479</v>
      </c>
    </row>
    <row r="10" spans="1:9" s="205" customFormat="1" ht="13.5" customHeight="1">
      <c r="A10" s="732" t="s">
        <v>356</v>
      </c>
      <c r="B10" s="215" t="s">
        <v>1480</v>
      </c>
      <c r="C10" s="216">
        <f ca="1">ROUND(D10*E10/10000,0)</f>
        <v>968</v>
      </c>
      <c r="D10" s="794">
        <f ca="1">IF(B1="",'数据-汇总表'!E6,IF(INDIRECT("'数据-取费表'!c"&amp;$G$1)="住宅",INDIRECT("'数据-取费表'!s"&amp;$G$1),INDIRECT("'数据-取费表'!k"&amp;$G$1)+INDIRECT("'数据-取费表'!s"&amp;$G$1)))</f>
        <v>48377.229999999996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968</v>
      </c>
      <c r="D19" s="203">
        <f ca="1">D9+D10</f>
        <v>48377.229999999996</v>
      </c>
      <c r="E19" s="202">
        <f>'数据-取费表'!B31</f>
        <v>200</v>
      </c>
      <c r="F19" s="222"/>
      <c r="G19" s="1712" t="s">
        <v>436</v>
      </c>
    </row>
    <row r="20" spans="1:7" s="205" customFormat="1" ht="13.5" customHeight="1">
      <c r="A20" s="246" t="s">
        <v>1493</v>
      </c>
      <c r="B20" s="201" t="s">
        <v>1494</v>
      </c>
      <c r="C20" s="223">
        <f ca="1">ROUND((C5+C19)*F20,0)</f>
        <v>118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374</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309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61</v>
      </c>
      <c r="D24" s="229"/>
      <c r="E24" s="229"/>
      <c r="F24" s="230"/>
      <c r="G24" s="231" t="s">
        <v>1507</v>
      </c>
    </row>
    <row r="25" spans="1:7" s="205" customFormat="1" ht="24">
      <c r="A25" s="733" t="s">
        <v>1508</v>
      </c>
      <c r="B25" s="206" t="s">
        <v>1509</v>
      </c>
      <c r="C25" s="1041">
        <f ca="1">ROUND(IF('数据-取费表'!B22&lt;=1,C20*F22*'数据-取费表'!B23/2,C20*(POWER((1+F22),'数据-取费表'!B23/2)-1)),0)</f>
        <v>4</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6.4">
      <c r="A27" s="246" t="s">
        <v>1512</v>
      </c>
      <c r="B27" s="235" t="s">
        <v>1513</v>
      </c>
      <c r="C27" s="236">
        <f ca="1">C28</f>
        <v>480</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ROUND((C5+C19+C20)*F27*'数据-取费表'!B21/'数据-取费表'!B20,0)</f>
        <v>480</v>
      </c>
      <c r="D28" s="226"/>
      <c r="E28" s="227"/>
      <c r="F28" s="237"/>
      <c r="G28" s="238"/>
    </row>
    <row r="29" spans="1:7" s="205" customFormat="1" ht="13.5" customHeight="1">
      <c r="A29" s="733"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7414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25773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23624</v>
      </c>
      <c r="D34" s="208"/>
      <c r="E34" s="211"/>
      <c r="F34" s="248">
        <f ca="1">IF('数据-取费表'!B24=0,1,IF(B1="",'数据-取费表'!N16,INDIRECT("'数据-取费表'!n"&amp;$G$1)))</f>
        <v>1</v>
      </c>
      <c r="G34" s="210" t="s">
        <v>1526</v>
      </c>
    </row>
    <row r="35" spans="1:7" ht="13.5" customHeight="1">
      <c r="A35" s="733" t="s">
        <v>351</v>
      </c>
      <c r="B35" s="206" t="s">
        <v>1527</v>
      </c>
      <c r="C35" s="211">
        <f ca="1">ROUND(C34*F35,0)</f>
        <v>709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968</v>
      </c>
      <c r="D37" s="208">
        <f ca="1">D19</f>
        <v>48377.229999999996</v>
      </c>
      <c r="E37" s="240">
        <f>'数据-取费表'!B35</f>
        <v>200</v>
      </c>
      <c r="F37" s="250"/>
      <c r="G37" s="252" t="s">
        <v>1532</v>
      </c>
    </row>
    <row r="38" spans="1:7" ht="13.5" customHeight="1">
      <c r="A38" s="733" t="s">
        <v>354</v>
      </c>
      <c r="B38" s="206" t="s">
        <v>1533</v>
      </c>
      <c r="C38" s="211">
        <f ca="1">ROUND(C34*F38,0)</f>
        <v>472</v>
      </c>
      <c r="D38" s="211"/>
      <c r="E38" s="211"/>
      <c r="F38" s="250">
        <f>'数据-取费表'!B36</f>
        <v>0.02</v>
      </c>
      <c r="G38" s="210" t="s">
        <v>1528</v>
      </c>
    </row>
    <row r="39" spans="1:7" s="205" customFormat="1" ht="13.5" customHeight="1">
      <c r="A39" s="246" t="s">
        <v>1534</v>
      </c>
      <c r="B39" s="201" t="s">
        <v>1535</v>
      </c>
      <c r="C39" s="223">
        <f ca="1">ROUND(C33*F20,0)</f>
        <v>515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815</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799</v>
      </c>
      <c r="D42" s="229"/>
      <c r="E42" s="229"/>
      <c r="F42" s="230"/>
      <c r="G42" s="3397" t="s">
        <v>1544</v>
      </c>
    </row>
    <row r="43" spans="1:7" ht="13.5" customHeight="1">
      <c r="A43" s="733" t="s">
        <v>347</v>
      </c>
      <c r="B43" s="206" t="s">
        <v>1545</v>
      </c>
      <c r="C43" s="229">
        <f ca="1">ROUND(IF('数据-取费表'!B22&lt;=1,C39*F22*'数据-取费表'!B21/2,C39*(POWER((1+F22),'数据-取费表'!B21/2)-1)),0)</f>
        <v>16</v>
      </c>
      <c r="D43" s="229"/>
      <c r="E43" s="229"/>
      <c r="F43" s="230"/>
      <c r="G43" s="3398"/>
    </row>
    <row r="44" spans="1:7" ht="13.5" customHeight="1">
      <c r="A44" s="733" t="s">
        <v>348</v>
      </c>
      <c r="B44" s="206" t="s">
        <v>1546</v>
      </c>
      <c r="C44" s="229">
        <f ca="1">ROUND(IF('数据-取费表'!B22&lt;=1,C40*F22*'数据-取费表'!B21/2,C40*(POWER((1+F22),'数据-取费表'!B21/2)-1)),4)</f>
        <v>5.9999999999999995E-4</v>
      </c>
      <c r="D44" s="229"/>
      <c r="E44" s="229"/>
      <c r="F44" s="230"/>
      <c r="G44" s="3399"/>
    </row>
    <row r="45" spans="1:7" s="205" customFormat="1" ht="13.5" customHeight="1">
      <c r="A45" s="246" t="s">
        <v>1547</v>
      </c>
      <c r="B45" s="235" t="s">
        <v>1513</v>
      </c>
      <c r="C45" s="236">
        <f ca="1">C46</f>
        <v>2103</v>
      </c>
      <c r="D45" s="226">
        <f ca="1">C47</f>
        <v>1.6000000000000001E-3</v>
      </c>
      <c r="E45" s="227" t="s">
        <v>1539</v>
      </c>
      <c r="F45" s="237">
        <f ca="1">F27</f>
        <v>0.08</v>
      </c>
      <c r="G45" s="238" t="s">
        <v>1548</v>
      </c>
    </row>
    <row r="46" spans="1:7" s="205" customFormat="1" ht="13.5" customHeight="1">
      <c r="A46" s="733" t="s">
        <v>346</v>
      </c>
      <c r="B46" s="239" t="s">
        <v>1549</v>
      </c>
      <c r="C46" s="240">
        <f ca="1">ROUND((C33+C39)*F27,0)</f>
        <v>2103</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31591</v>
      </c>
      <c r="D49" s="223"/>
      <c r="E49" s="223"/>
      <c r="F49" s="255"/>
      <c r="G49" s="225" t="s">
        <v>1554</v>
      </c>
    </row>
    <row r="50" spans="1:7" s="249" customFormat="1" ht="24">
      <c r="A50" s="246" t="s">
        <v>1555</v>
      </c>
      <c r="B50" s="201" t="s">
        <v>1556</v>
      </c>
      <c r="C50" s="223"/>
      <c r="D50" s="223"/>
      <c r="E50" s="223"/>
      <c r="F50" s="255">
        <f>IF('数据-取费表'!B24=0,'数据-取费表'!N16,1)</f>
        <v>0.93</v>
      </c>
      <c r="G50" s="238" t="s">
        <v>1557</v>
      </c>
    </row>
    <row r="51" spans="1:7" ht="16.5" customHeight="1">
      <c r="A51" s="246" t="s">
        <v>1558</v>
      </c>
      <c r="B51" s="201" t="s">
        <v>1559</v>
      </c>
      <c r="C51" s="223">
        <f ca="1">ROUND(C49*F50,0)</f>
        <v>29380</v>
      </c>
      <c r="D51" s="223"/>
      <c r="E51" s="223"/>
      <c r="F51" s="255"/>
      <c r="G51" s="225" t="s">
        <v>1560</v>
      </c>
    </row>
    <row r="52" spans="1:7" s="199" customFormat="1" ht="16.8" thickBot="1">
      <c r="A52" s="256" t="s">
        <v>1561</v>
      </c>
      <c r="B52" s="257"/>
      <c r="C52" s="258">
        <f ca="1">C31+C51</f>
        <v>36794</v>
      </c>
      <c r="D52" s="257"/>
      <c r="E52" s="257"/>
      <c r="F52" s="257"/>
      <c r="G52" s="259"/>
    </row>
    <row r="55" spans="1:7" ht="15">
      <c r="B55" s="261" t="s">
        <v>1562</v>
      </c>
      <c r="C55" s="262"/>
    </row>
    <row r="56" spans="1:7">
      <c r="B56" s="264" t="s">
        <v>802</v>
      </c>
      <c r="C56" s="266">
        <f ca="1">1-C57</f>
        <v>0.20199999999999996</v>
      </c>
    </row>
    <row r="57" spans="1:7">
      <c r="B57" s="264" t="s">
        <v>803</v>
      </c>
      <c r="C57" s="265">
        <f ca="1">ROUND(C51/C52,3)</f>
        <v>0.79800000000000004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2"/>
      <c r="C1" s="1715"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31819.244900000002</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6577</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9675446</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9675446</v>
      </c>
      <c r="D8" s="213"/>
      <c r="E8" s="211"/>
      <c r="F8" s="212"/>
      <c r="G8" s="1712"/>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9675446</v>
      </c>
      <c r="D10" s="794">
        <f ca="1">IF(B1="",'数据-汇总表'!E6,IF(INDIRECT("'数据-取费表'!c"&amp;$G$1)="住宅",INDIRECT("'数据-取费表'!s"&amp;$G$1),INDIRECT("'数据-取费表'!k"&amp;$G$1)+INDIRECT("'数据-取费表'!s"&amp;$G$1)))</f>
        <v>48377.229999999996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9675446</v>
      </c>
      <c r="D19" s="203">
        <f ca="1">D9+D10</f>
        <v>48377.229999999996</v>
      </c>
      <c r="E19" s="202">
        <f>'数据-取费表'!B31</f>
        <v>200</v>
      </c>
      <c r="F19" s="222"/>
      <c r="G19" s="1712"/>
    </row>
    <row r="20" spans="1:7" s="205" customFormat="1" ht="13.5" customHeight="1">
      <c r="A20" s="246" t="s">
        <v>1574</v>
      </c>
      <c r="B20" s="201" t="s">
        <v>1575</v>
      </c>
      <c r="C20" s="223">
        <f ca="1">ROUND((C5+C19)*F20,0)</f>
        <v>387018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1230350</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609176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609176</v>
      </c>
      <c r="D24" s="229"/>
      <c r="E24" s="229"/>
      <c r="F24" s="230"/>
      <c r="G24" s="231" t="s">
        <v>1586</v>
      </c>
    </row>
    <row r="25" spans="1:7" s="205" customFormat="1" ht="24">
      <c r="A25" s="733" t="s">
        <v>1476</v>
      </c>
      <c r="B25" s="206" t="s">
        <v>1587</v>
      </c>
      <c r="C25" s="229">
        <f ca="1">ROUND(IF('数据-取费表'!B22&lt;=1,C20*F22*'数据-取费表'!B22/2,C20*(POWER((1+F22),'数据-取费表'!B22/2)-1)),0)</f>
        <v>11998</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6.4">
      <c r="A27" s="246" t="s">
        <v>1512</v>
      </c>
      <c r="B27" s="235" t="s">
        <v>1513</v>
      </c>
      <c r="C27" s="236">
        <f ca="1">C28</f>
        <v>1579033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ROUND((C5+C19+C20)*F27,0)</f>
        <v>1579033</v>
      </c>
      <c r="D28" s="226"/>
      <c r="E28" s="227"/>
      <c r="F28" s="237"/>
      <c r="G28" s="238"/>
    </row>
    <row r="29" spans="1:7" s="205" customFormat="1" ht="13.5" customHeight="1">
      <c r="A29" s="733"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24388635</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257731302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236243673</v>
      </c>
      <c r="D34" s="208"/>
      <c r="E34" s="211"/>
      <c r="F34" s="248"/>
      <c r="G34" s="210"/>
    </row>
    <row r="35" spans="1:7" ht="13.5" customHeight="1">
      <c r="A35" s="733" t="s">
        <v>351</v>
      </c>
      <c r="B35" s="206" t="s">
        <v>1527</v>
      </c>
      <c r="C35" s="211">
        <f ca="1">ROUND(C34*F35,0)</f>
        <v>7087310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9675446</v>
      </c>
      <c r="D37" s="208">
        <f ca="1">D19</f>
        <v>48377.229999999996</v>
      </c>
      <c r="E37" s="240">
        <f>'数据-取费表'!B35</f>
        <v>200</v>
      </c>
      <c r="F37" s="250"/>
      <c r="G37" s="252"/>
    </row>
    <row r="38" spans="1:7" ht="13.5" customHeight="1">
      <c r="A38" s="733" t="s">
        <v>354</v>
      </c>
      <c r="B38" s="206" t="s">
        <v>1533</v>
      </c>
      <c r="C38" s="211">
        <f ca="1">ROUND(C34*F38,0)</f>
        <v>4724873</v>
      </c>
      <c r="D38" s="211"/>
      <c r="E38" s="211"/>
      <c r="F38" s="250">
        <f>'数据-取费表'!B36</f>
        <v>0.02</v>
      </c>
      <c r="G38" s="210" t="s">
        <v>1528</v>
      </c>
    </row>
    <row r="39" spans="1:7" s="205" customFormat="1" ht="13.5" customHeight="1">
      <c r="A39" s="246" t="s">
        <v>1534</v>
      </c>
      <c r="B39" s="201" t="s">
        <v>1535</v>
      </c>
      <c r="C39" s="223">
        <f ca="1">ROUND(C33*F20,0)</f>
        <v>5154626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8149463</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7989670</v>
      </c>
      <c r="D42" s="229"/>
      <c r="E42" s="229"/>
      <c r="F42" s="230"/>
      <c r="G42" s="3397" t="s">
        <v>1591</v>
      </c>
    </row>
    <row r="43" spans="1:7" ht="13.5" customHeight="1">
      <c r="A43" s="733" t="s">
        <v>347</v>
      </c>
      <c r="B43" s="206" t="s">
        <v>1545</v>
      </c>
      <c r="C43" s="229">
        <f ca="1">ROUND(IF('数据-取费表'!B22&lt;=1,C39*F22*'数据-取费表'!B20/2,C39*(POWER((1+F22),'数据-取费表'!B20/2)-1)),0)</f>
        <v>159793</v>
      </c>
      <c r="D43" s="229"/>
      <c r="E43" s="229"/>
      <c r="F43" s="230"/>
      <c r="G43" s="3398"/>
    </row>
    <row r="44" spans="1:7" ht="13.5" customHeight="1">
      <c r="A44" s="733" t="s">
        <v>348</v>
      </c>
      <c r="B44" s="206" t="s">
        <v>1546</v>
      </c>
      <c r="C44" s="229">
        <f ca="1">ROUND(IF('数据-取费表'!B22&lt;=1,C40*F22*'数据-取费表'!B20/2,C40*(POWER((1+F22),'数据-取费表'!B20/2)-1)),4)</f>
        <v>5.9999999999999995E-4</v>
      </c>
      <c r="D44" s="229"/>
      <c r="E44" s="229"/>
      <c r="F44" s="230"/>
      <c r="G44" s="3399"/>
    </row>
    <row r="45" spans="1:7" s="205" customFormat="1" ht="13.5" customHeight="1">
      <c r="A45" s="246" t="s">
        <v>1547</v>
      </c>
      <c r="B45" s="235" t="s">
        <v>1513</v>
      </c>
      <c r="C45" s="236">
        <f ca="1">C46</f>
        <v>21030874</v>
      </c>
      <c r="D45" s="226">
        <f ca="1">C47</f>
        <v>1.6000000000000001E-3</v>
      </c>
      <c r="E45" s="227" t="s">
        <v>1539</v>
      </c>
      <c r="F45" s="237">
        <f ca="1">F27</f>
        <v>0.08</v>
      </c>
      <c r="G45" s="238" t="s">
        <v>1548</v>
      </c>
    </row>
    <row r="46" spans="1:7" s="205" customFormat="1" ht="13.5" customHeight="1">
      <c r="A46" s="733" t="s">
        <v>346</v>
      </c>
      <c r="B46" s="239" t="s">
        <v>1549</v>
      </c>
      <c r="C46" s="240">
        <f ca="1">ROUND((C33+C39)*F27,0)</f>
        <v>21030874</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315918080</v>
      </c>
      <c r="D49" s="223"/>
      <c r="E49" s="223"/>
      <c r="F49" s="255"/>
      <c r="G49" s="225" t="s">
        <v>1554</v>
      </c>
    </row>
    <row r="50" spans="1:7" s="249" customFormat="1">
      <c r="A50" s="246" t="s">
        <v>1555</v>
      </c>
      <c r="B50" s="201" t="s">
        <v>1556</v>
      </c>
      <c r="C50" s="223"/>
      <c r="D50" s="223"/>
      <c r="E50" s="223"/>
      <c r="F50" s="255">
        <f>IF('数据-取费表'!B24=0,'数据-取费表'!N16,1)</f>
        <v>0.93</v>
      </c>
      <c r="G50" s="238"/>
    </row>
    <row r="51" spans="1:7" ht="16.5" customHeight="1">
      <c r="A51" s="246" t="s">
        <v>1558</v>
      </c>
      <c r="B51" s="201" t="s">
        <v>1593</v>
      </c>
      <c r="C51" s="223">
        <f ca="1">ROUND(C49*F50,0)</f>
        <v>293803814</v>
      </c>
      <c r="D51" s="223"/>
      <c r="E51" s="223"/>
      <c r="F51" s="255"/>
      <c r="G51" s="225" t="s">
        <v>1560</v>
      </c>
    </row>
    <row r="52" spans="1:7" s="199" customFormat="1" ht="16.8" thickBot="1">
      <c r="A52" s="256" t="s">
        <v>1561</v>
      </c>
      <c r="B52" s="257"/>
      <c r="C52" s="258">
        <f ca="1">C31+C51</f>
        <v>318192449</v>
      </c>
      <c r="D52" s="257"/>
      <c r="E52" s="257"/>
      <c r="F52" s="257"/>
      <c r="G52" s="259"/>
    </row>
    <row r="55" spans="1:7" ht="15">
      <c r="B55" s="261" t="s">
        <v>1562</v>
      </c>
      <c r="C55" s="262"/>
    </row>
    <row r="56" spans="1:7">
      <c r="B56" s="264" t="s">
        <v>802</v>
      </c>
      <c r="C56" s="266">
        <f ca="1">1-C57</f>
        <v>7.6999999999999957E-2</v>
      </c>
    </row>
    <row r="57" spans="1:7">
      <c r="B57" s="264" t="s">
        <v>803</v>
      </c>
      <c r="C57" s="265">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E12" sqref="E1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21</v>
      </c>
      <c r="D1" s="1269" t="s">
        <v>43</v>
      </c>
      <c r="E1" s="1270" t="s">
        <v>678</v>
      </c>
      <c r="F1" s="998">
        <f ca="1">J53</f>
        <v>41.38</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39274</v>
      </c>
      <c r="C2" s="1287" t="s">
        <v>805</v>
      </c>
      <c r="D2" s="1287"/>
      <c r="E2" s="1293"/>
      <c r="F2" s="1294"/>
      <c r="G2" s="2477"/>
      <c r="H2" s="2467"/>
      <c r="I2" s="2467"/>
      <c r="J2" s="2467"/>
      <c r="K2" s="2468"/>
      <c r="L2" s="2467"/>
      <c r="M2" s="2467"/>
    </row>
    <row r="3" spans="1:37" ht="18" customHeight="1" thickBot="1">
      <c r="A3" s="1295" t="s">
        <v>806</v>
      </c>
      <c r="B3" s="1296">
        <f ca="1">IF(ISERROR(B2*10000/F43),0,ROUND(B2*10000/F43,0))</f>
        <v>13867</v>
      </c>
      <c r="C3" s="1287" t="s">
        <v>807</v>
      </c>
      <c r="D3" s="1287"/>
      <c r="E3" s="1293"/>
      <c r="F3" s="1294"/>
      <c r="G3" s="2477"/>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2468</v>
      </c>
      <c r="D5" s="1271" t="s">
        <v>693</v>
      </c>
      <c r="E5" s="1007"/>
      <c r="F5" s="1008"/>
      <c r="G5" s="1290"/>
      <c r="H5" s="290">
        <v>1</v>
      </c>
      <c r="I5" s="291" t="s">
        <v>692</v>
      </c>
      <c r="J5" s="1006">
        <f ca="1">J6+J10+J12</f>
        <v>0</v>
      </c>
      <c r="K5" s="1271" t="s">
        <v>693</v>
      </c>
      <c r="L5" s="1007"/>
      <c r="M5" s="1008"/>
    </row>
    <row r="6" spans="1:37" ht="18" customHeight="1">
      <c r="A6" s="1005" t="s">
        <v>398</v>
      </c>
      <c r="B6" s="3402" t="s">
        <v>694</v>
      </c>
      <c r="C6" s="1010">
        <f ca="1">ROUND(F6*F8*F7*(1-F9)/10000,0)</f>
        <v>2465</v>
      </c>
      <c r="D6" s="146" t="s">
        <v>2109</v>
      </c>
      <c r="E6" s="293" t="s">
        <v>696</v>
      </c>
      <c r="F6" s="294">
        <f ca="1">INDIRECT("'数据-取费表'!u"&amp;$G$1)</f>
        <v>2.65</v>
      </c>
      <c r="G6" s="1290"/>
      <c r="H6" s="1005" t="s">
        <v>398</v>
      </c>
      <c r="I6" s="3402" t="s">
        <v>694</v>
      </c>
      <c r="J6" s="292">
        <f ca="1">ROUND(M6*M8*M7*(1-M9)/10000,0)</f>
        <v>0</v>
      </c>
      <c r="K6" s="146" t="s">
        <v>2108</v>
      </c>
      <c r="L6" s="293" t="s">
        <v>696</v>
      </c>
      <c r="M6" s="294">
        <f ca="1">INDIRECT("'数据-取费表'!z"&amp;$G$1)</f>
        <v>0</v>
      </c>
    </row>
    <row r="7" spans="1:37" ht="18" customHeight="1">
      <c r="A7" s="1009"/>
      <c r="B7" s="3403"/>
      <c r="C7" s="1011"/>
      <c r="D7" s="298"/>
      <c r="E7" s="1012" t="s">
        <v>697</v>
      </c>
      <c r="F7" s="294">
        <f ca="1">IF(INDIRECT("'数据-取费表'!ah"&amp;$G$1)="",INDIRECT("'数据-取费表'!k"&amp;$G$1),INDIRECT("'数据-取费表'!ah"&amp;$G$1))</f>
        <v>28321.48</v>
      </c>
      <c r="G7" s="1290"/>
      <c r="H7" s="295"/>
      <c r="I7" s="3403"/>
      <c r="J7" s="297"/>
      <c r="K7" s="298"/>
      <c r="L7" s="293" t="s">
        <v>697</v>
      </c>
      <c r="M7" s="294">
        <f ca="1">F7</f>
        <v>28321.48</v>
      </c>
    </row>
    <row r="8" spans="1:37" ht="18" customHeight="1">
      <c r="A8" s="295"/>
      <c r="B8" s="3403"/>
      <c r="C8" s="297"/>
      <c r="D8" s="298"/>
      <c r="E8" s="293" t="s">
        <v>698</v>
      </c>
      <c r="F8" s="294">
        <f ca="1">INDIRECT("'数据-取费表'!ai"&amp;$G$1)</f>
        <v>365</v>
      </c>
      <c r="G8" s="1290"/>
      <c r="H8" s="295"/>
      <c r="I8" s="3403"/>
      <c r="J8" s="297"/>
      <c r="K8" s="298"/>
      <c r="L8" s="293" t="s">
        <v>698</v>
      </c>
      <c r="M8" s="294">
        <f ca="1">INDIRECT("'数据-取费表'!ai"&amp;$G$1)</f>
        <v>365</v>
      </c>
    </row>
    <row r="9" spans="1:37" ht="18" customHeight="1">
      <c r="A9" s="295"/>
      <c r="B9" s="3404"/>
      <c r="C9" s="297"/>
      <c r="D9" s="298"/>
      <c r="E9" s="293" t="s">
        <v>699</v>
      </c>
      <c r="F9" s="303">
        <f ca="1">INDIRECT("'数据-取费表'!w"&amp;$G$1)</f>
        <v>0.1</v>
      </c>
      <c r="G9" s="1290"/>
      <c r="H9" s="295"/>
      <c r="I9" s="3404"/>
      <c r="J9" s="297"/>
      <c r="K9" s="298"/>
      <c r="L9" s="304" t="s">
        <v>699</v>
      </c>
      <c r="M9" s="305">
        <f ca="1">INDIRECT("'数据-取费表'!ab"&amp;$G$1)</f>
        <v>0</v>
      </c>
    </row>
    <row r="10" spans="1:37" ht="18" customHeight="1">
      <c r="A10" s="1005" t="s">
        <v>402</v>
      </c>
      <c r="B10" s="1272" t="s">
        <v>700</v>
      </c>
      <c r="C10" s="307">
        <f ca="1">ROUND(IF(F10="押一",C6/12*F11,IF(F10="押二",C6/12*2*F11,IF(F10="押三",C6/12*3*F11,C11*F11))),0)</f>
        <v>3</v>
      </c>
      <c r="D10" s="149" t="s">
        <v>2117</v>
      </c>
      <c r="E10" s="304" t="s">
        <v>701</v>
      </c>
      <c r="F10" s="1052" t="s">
        <v>3694</v>
      </c>
      <c r="G10" s="1290"/>
      <c r="H10" s="1005" t="s">
        <v>402</v>
      </c>
      <c r="I10" s="1272" t="s">
        <v>700</v>
      </c>
      <c r="J10" s="292">
        <f ca="1">ROUND(IF(M10="押一",J6/12*M11,IF(M10="押二",J6/12*2*M11,IF(M10="押三",J6/12*3*M11,J11*M11))),0)</f>
        <v>0</v>
      </c>
      <c r="K10" s="149" t="s">
        <v>2116</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18781</v>
      </c>
      <c r="D13" s="1017" t="s">
        <v>705</v>
      </c>
      <c r="E13" s="1017" t="s">
        <v>706</v>
      </c>
      <c r="F13" s="1018">
        <f ca="1">INDIRECT("'数据-取费表'!y"&amp;$G$1)</f>
        <v>0.93</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14861</v>
      </c>
      <c r="D14" s="1255" t="s">
        <v>708</v>
      </c>
      <c r="E14" s="1253"/>
      <c r="F14" s="310"/>
      <c r="G14" s="1290"/>
      <c r="H14" s="927" t="s">
        <v>398</v>
      </c>
      <c r="I14" s="293" t="s">
        <v>709</v>
      </c>
      <c r="J14" s="21">
        <f ca="1">C29</f>
        <v>20195</v>
      </c>
      <c r="K14" s="12"/>
      <c r="L14" s="758"/>
      <c r="M14" s="759"/>
    </row>
    <row r="15" spans="1:37" s="1302" customFormat="1" ht="18" customHeight="1" thickBot="1">
      <c r="A15" s="927" t="s">
        <v>399</v>
      </c>
      <c r="B15" s="293" t="s">
        <v>710</v>
      </c>
      <c r="C15" s="21">
        <f ca="1">ROUND(C14*F15,0)</f>
        <v>446</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203</v>
      </c>
      <c r="K16" s="1023" t="s">
        <v>715</v>
      </c>
      <c r="L16" s="1024"/>
      <c r="M16" s="1008"/>
    </row>
    <row r="17" spans="1:37" s="1302" customFormat="1" ht="18" customHeight="1">
      <c r="A17" s="927" t="s">
        <v>681</v>
      </c>
      <c r="B17" s="293" t="s">
        <v>716</v>
      </c>
      <c r="C17" s="21">
        <f ca="1">ROUND(F17*(F43+INDIRECT("'数据-取费表'!S"&amp;$G$1))/10000,0)</f>
        <v>573</v>
      </c>
      <c r="D17" s="293" t="s">
        <v>717</v>
      </c>
      <c r="E17" s="293" t="s">
        <v>718</v>
      </c>
      <c r="F17" s="23">
        <f>'数据-取费表'!B35</f>
        <v>200</v>
      </c>
      <c r="G17" s="1301"/>
      <c r="H17" s="927" t="s">
        <v>398</v>
      </c>
      <c r="I17" s="293" t="s">
        <v>719</v>
      </c>
      <c r="J17" s="2138">
        <f ca="1">ROUND(IF(AND(项目基本情况!B11="自然人",项目基本情况!B10="北京市"),J6*M17/(1+'数据-取费表'!C42),J18+J19+J20),2)</f>
        <v>1.33</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297</v>
      </c>
      <c r="D18" s="293" t="s">
        <v>711</v>
      </c>
      <c r="E18" s="293" t="s">
        <v>712</v>
      </c>
      <c r="F18" s="313">
        <f>'数据-取费表'!B36</f>
        <v>0.02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16177</v>
      </c>
      <c r="D19" s="123" t="s">
        <v>726</v>
      </c>
      <c r="E19" s="1267"/>
      <c r="F19" s="23"/>
      <c r="G19" s="1290"/>
      <c r="H19" s="927" t="s">
        <v>399</v>
      </c>
      <c r="I19" s="293" t="s">
        <v>727</v>
      </c>
      <c r="J19" s="21">
        <f ca="1">IF(K19="按租金收入计税",ROUND(J6*M19/(1+'数据-取费表'!C42),2),ROUND(C29*M19*0.7,2))</f>
        <v>0</v>
      </c>
      <c r="K19" s="1276" t="s">
        <v>3338</v>
      </c>
      <c r="L19" s="293" t="s">
        <v>712</v>
      </c>
      <c r="M19" s="313">
        <f>IF(K19="按租金收入计税",'数据-取费表'!B51,'数据-取费表'!B50)</f>
        <v>0.12</v>
      </c>
    </row>
    <row r="20" spans="1:37" s="1302" customFormat="1" ht="18" customHeight="1">
      <c r="A20" s="927" t="s">
        <v>402</v>
      </c>
      <c r="B20" s="293" t="s">
        <v>728</v>
      </c>
      <c r="C20" s="21">
        <f ca="1">ROUND(C19*F20,0)</f>
        <v>324</v>
      </c>
      <c r="D20" s="314" t="s">
        <v>729</v>
      </c>
      <c r="E20" s="293" t="s">
        <v>712</v>
      </c>
      <c r="F20" s="313">
        <f>'数据-取费表'!B37</f>
        <v>0.02</v>
      </c>
      <c r="G20" s="1301"/>
      <c r="H20" s="927" t="s">
        <v>680</v>
      </c>
      <c r="I20" s="146" t="s">
        <v>730</v>
      </c>
      <c r="J20" s="22">
        <f ca="1">ROUND(M20*M21/10000,2)</f>
        <v>1.33</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8883.130000000001</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7"/>
      <c r="F22" s="23"/>
      <c r="G22" s="1290"/>
      <c r="H22" s="927" t="s">
        <v>402</v>
      </c>
      <c r="I22" s="293" t="s">
        <v>738</v>
      </c>
      <c r="J22" s="21">
        <f ca="1">ROUND(J14*M22,2)</f>
        <v>201.95</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511</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684</v>
      </c>
      <c r="I24" s="1026" t="s">
        <v>728</v>
      </c>
      <c r="J24" s="1027">
        <f ca="1">ROUND(J5*M24,2)</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3" t="s">
        <v>751</v>
      </c>
      <c r="E25" s="1267"/>
      <c r="F25" s="23"/>
      <c r="G25" s="1290"/>
      <c r="H25" s="1015" t="s">
        <v>394</v>
      </c>
      <c r="I25" s="1030" t="s">
        <v>752</v>
      </c>
      <c r="J25" s="301">
        <f ca="1">J5-J16</f>
        <v>-203</v>
      </c>
      <c r="K25" s="1031" t="s">
        <v>753</v>
      </c>
      <c r="L25" s="1032"/>
      <c r="M25" s="1033"/>
    </row>
    <row r="26" spans="1:37">
      <c r="A26" s="927" t="s">
        <v>397</v>
      </c>
      <c r="B26" s="293" t="s">
        <v>754</v>
      </c>
      <c r="C26" s="21">
        <f ca="1">ROUND((C19+C20)*F26,0)</f>
        <v>1650</v>
      </c>
      <c r="D26" s="314" t="s">
        <v>755</v>
      </c>
      <c r="E26" s="304" t="s">
        <v>756</v>
      </c>
      <c r="F26" s="303">
        <f ca="1">INDIRECT("'数据-取费表'!q"&amp;$G$1)</f>
        <v>0.1</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20195</v>
      </c>
      <c r="D29" s="1028"/>
      <c r="E29" s="1026"/>
      <c r="F29" s="1029"/>
      <c r="G29" s="1301"/>
      <c r="H29" s="324" t="s">
        <v>396</v>
      </c>
      <c r="I29" s="325" t="s">
        <v>768</v>
      </c>
      <c r="J29" s="326">
        <f ca="1">ROUND(J26/(1+F40)^F41,0)</f>
        <v>0</v>
      </c>
      <c r="K29" s="327" t="s">
        <v>769</v>
      </c>
      <c r="L29" s="328"/>
      <c r="M29" s="329">
        <f ca="1">INDIRECT("'数据-取费表'!k"&amp;$G$1)</f>
        <v>28321.48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660</v>
      </c>
      <c r="D30" s="1023" t="s">
        <v>715</v>
      </c>
      <c r="E30" s="1024"/>
      <c r="F30" s="1008"/>
      <c r="G30" s="1290"/>
      <c r="H30" s="2469"/>
      <c r="I30" s="1303"/>
      <c r="J30" s="1304"/>
      <c r="K30" s="121"/>
      <c r="L30" s="2470"/>
      <c r="M30" s="2471"/>
    </row>
    <row r="31" spans="1:37" ht="18" customHeight="1">
      <c r="A31" s="927" t="s">
        <v>398</v>
      </c>
      <c r="B31" s="293" t="s">
        <v>719</v>
      </c>
      <c r="C31" s="2138">
        <f ca="1">ROUND(IF(AND(项目基本情况!B11="自然人",项目基本情况!B10="北京市"),C6*F31/(1+'数据-取费表'!C42),C32+C33+C34),2)</f>
        <v>414.51</v>
      </c>
      <c r="D31" s="1255" t="s">
        <v>720</v>
      </c>
      <c r="E31" s="1254" t="s">
        <v>770</v>
      </c>
      <c r="F31" s="2137" t="str">
        <f>IF(项目基本情况!B11="企业","——",IF(M47="住宅",IF(F6*F7*F8/12/(1+'数据-取费表'!F30)&gt;100000,4%,2.5%),IF(F6*F7*F8/12/(1+'数据-取费表'!F30)&gt;100000,12%,7%)))</f>
        <v>——</v>
      </c>
      <c r="G31" s="1290"/>
      <c r="H31" s="2568" t="s">
        <v>2308</v>
      </c>
      <c r="I31" s="1303"/>
      <c r="J31" s="1304"/>
      <c r="K31" s="121"/>
      <c r="L31" s="2470"/>
      <c r="M31" s="2471"/>
    </row>
    <row r="32" spans="1:37" ht="18" customHeight="1">
      <c r="A32" s="927" t="s">
        <v>397</v>
      </c>
      <c r="B32" s="293" t="s">
        <v>723</v>
      </c>
      <c r="C32" s="21">
        <f ca="1">IF(项目基本情况!B11="自然人","——",ROUND(C6*F32/(1+'数据-取费表'!C42),2))</f>
        <v>131.47</v>
      </c>
      <c r="D32" s="1254" t="s">
        <v>724</v>
      </c>
      <c r="E32" s="293" t="s">
        <v>712</v>
      </c>
      <c r="F32" s="321">
        <f>'数据-取费表'!B41</f>
        <v>5.6000000000000001E-2</v>
      </c>
      <c r="G32" s="1290"/>
      <c r="H32" s="2469"/>
      <c r="I32" s="1303"/>
      <c r="J32" s="1304"/>
      <c r="K32" s="121"/>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281.70999999999998</v>
      </c>
      <c r="D33" s="1276" t="s">
        <v>3338</v>
      </c>
      <c r="E33" s="293" t="s">
        <v>712</v>
      </c>
      <c r="F33" s="313">
        <f>IF(D33="按票据","——",IF(D33="按租金收入计税",'数据-取费表'!B51,'数据-取费表'!B50))</f>
        <v>0.12</v>
      </c>
      <c r="G33" s="1290"/>
      <c r="H33" s="2472"/>
      <c r="I33" s="1303"/>
      <c r="J33" s="1304"/>
      <c r="K33" s="2473"/>
      <c r="L33" s="2472"/>
      <c r="M33" s="2472"/>
    </row>
    <row r="34" spans="1:18" ht="18" customHeight="1">
      <c r="A34" s="1005" t="s">
        <v>680</v>
      </c>
      <c r="B34" s="146" t="s">
        <v>730</v>
      </c>
      <c r="C34" s="22">
        <f ca="1">IF(项目基本情况!B11="自然人","——",ROUND(F34*F35/10000,2))</f>
        <v>1.33</v>
      </c>
      <c r="D34" s="315" t="s">
        <v>731</v>
      </c>
      <c r="E34" s="293" t="s">
        <v>732</v>
      </c>
      <c r="F34" s="316">
        <f>'数据-取费表'!B52</f>
        <v>1.5</v>
      </c>
      <c r="G34" s="1290"/>
      <c r="H34" s="2469"/>
      <c r="I34" s="1303"/>
      <c r="J34" s="1304"/>
      <c r="K34" s="2474"/>
      <c r="L34" s="2475"/>
      <c r="M34" s="2475"/>
    </row>
    <row r="35" spans="1:18" ht="18" customHeight="1">
      <c r="A35" s="1039"/>
      <c r="B35" s="1037"/>
      <c r="C35" s="26"/>
      <c r="D35" s="318"/>
      <c r="E35" s="293" t="s">
        <v>736</v>
      </c>
      <c r="F35" s="294">
        <f ca="1">INDIRECT("'数据-取费表'!r"&amp;$G$1)</f>
        <v>8883.130000000001</v>
      </c>
      <c r="G35" s="1290"/>
      <c r="H35" s="2469"/>
      <c r="I35" s="1303"/>
      <c r="J35" s="1304"/>
      <c r="K35" s="2473"/>
      <c r="L35" s="2472"/>
      <c r="M35" s="2472"/>
    </row>
    <row r="36" spans="1:18" ht="18" customHeight="1">
      <c r="A36" s="1038" t="s">
        <v>402</v>
      </c>
      <c r="B36" s="293" t="s">
        <v>738</v>
      </c>
      <c r="C36" s="21">
        <f ca="1">ROUND(C29*F36,2)</f>
        <v>201.95</v>
      </c>
      <c r="D36" s="1254" t="s">
        <v>771</v>
      </c>
      <c r="E36" s="293" t="s">
        <v>712</v>
      </c>
      <c r="F36" s="319">
        <f ca="1">INDIRECT("'数据-取费表'!Ak"&amp;$G$1)</f>
        <v>0.01</v>
      </c>
      <c r="G36" s="1290"/>
      <c r="H36" s="2472"/>
      <c r="I36" s="1303"/>
      <c r="J36" s="1304"/>
      <c r="K36" s="2329"/>
      <c r="L36" s="2472"/>
      <c r="M36" s="2472"/>
    </row>
    <row r="37" spans="1:18" ht="18" customHeight="1">
      <c r="A37" s="927" t="s">
        <v>437</v>
      </c>
      <c r="B37" s="293" t="s">
        <v>742</v>
      </c>
      <c r="C37" s="21">
        <f ca="1">ROUND(C13*F37,2)</f>
        <v>18.78</v>
      </c>
      <c r="D37" s="1254" t="s">
        <v>743</v>
      </c>
      <c r="E37" s="293" t="s">
        <v>744</v>
      </c>
      <c r="F37" s="320">
        <f ca="1">INDIRECT("'数据-取费表'!Al"&amp;$G$1)</f>
        <v>1E-3</v>
      </c>
      <c r="G37" s="1290"/>
      <c r="H37" s="2472"/>
      <c r="I37" s="1303"/>
      <c r="J37" s="1304"/>
      <c r="K37" s="2329"/>
      <c r="L37" s="2472"/>
      <c r="M37" s="2472"/>
    </row>
    <row r="38" spans="1:18" ht="18" customHeight="1" thickBot="1">
      <c r="A38" s="1025" t="s">
        <v>684</v>
      </c>
      <c r="B38" s="1026" t="s">
        <v>728</v>
      </c>
      <c r="C38" s="1027">
        <f ca="1">ROUND(C5*F38,2)</f>
        <v>24.68</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772</v>
      </c>
      <c r="C39" s="301">
        <f ca="1">C5-C30</f>
        <v>1808</v>
      </c>
      <c r="D39" s="1031" t="s">
        <v>773</v>
      </c>
      <c r="E39" s="1032"/>
      <c r="F39" s="1033"/>
      <c r="G39" s="1290"/>
      <c r="H39" s="2472"/>
      <c r="I39" s="1303"/>
      <c r="J39" s="1304"/>
      <c r="K39" s="2470"/>
      <c r="L39" s="2472"/>
      <c r="M39" s="2472"/>
    </row>
    <row r="40" spans="1:18" ht="18" customHeight="1">
      <c r="A40" s="290" t="s">
        <v>395</v>
      </c>
      <c r="B40" s="291" t="s">
        <v>774</v>
      </c>
      <c r="C40" s="292">
        <f ca="1">ROUND(C39*(1-((1+F42)/(1+F40))^F41)/(F40-F42),0)</f>
        <v>38869</v>
      </c>
      <c r="D40" s="315" t="s">
        <v>758</v>
      </c>
      <c r="E40" s="293" t="s">
        <v>759</v>
      </c>
      <c r="F40" s="303">
        <f ca="1">INDIRECT("'数据-取费表'!I"&amp;$G$1)</f>
        <v>5.5E-2</v>
      </c>
      <c r="G40" s="1290"/>
      <c r="H40" s="1364"/>
      <c r="I40" s="1303"/>
      <c r="J40" s="1304"/>
      <c r="K40" s="2470"/>
      <c r="L40" s="1364"/>
      <c r="M40" s="1364"/>
    </row>
    <row r="41" spans="1:18" ht="18" customHeight="1">
      <c r="A41" s="295"/>
      <c r="B41" s="296"/>
      <c r="C41" s="297"/>
      <c r="D41" s="322" t="s">
        <v>775</v>
      </c>
      <c r="E41" s="293" t="s">
        <v>763</v>
      </c>
      <c r="F41" s="323">
        <f ca="1">IF(INDIRECT("'数据-取费表'!af"&amp;$G$1)=0,INDIRECT("'数据-取费表'!ae"&amp;$G$1),INDIRECT("'数据-取费表'!af"&amp;$G$1))</f>
        <v>41.38</v>
      </c>
      <c r="G41" s="1290"/>
      <c r="H41" s="121">
        <f ca="1">C39/C5</f>
        <v>0.73257698541329008</v>
      </c>
      <c r="I41" s="1303"/>
      <c r="J41" s="1304"/>
      <c r="K41" s="2329"/>
      <c r="L41" s="121"/>
      <c r="M41" s="121"/>
    </row>
    <row r="42" spans="1:18" ht="18" customHeight="1">
      <c r="A42" s="299"/>
      <c r="B42" s="300"/>
      <c r="C42" s="301"/>
      <c r="D42" s="318"/>
      <c r="E42" s="293" t="s">
        <v>766</v>
      </c>
      <c r="F42" s="303">
        <f ca="1">INDIRECT("'数据-取费表'!v"&amp;$G$1)</f>
        <v>0.02</v>
      </c>
      <c r="G42" s="1290"/>
      <c r="H42" s="121"/>
      <c r="I42" s="1303"/>
      <c r="J42" s="1304"/>
      <c r="K42" s="2329"/>
      <c r="L42" s="121"/>
      <c r="M42" s="121"/>
    </row>
    <row r="43" spans="1:18" ht="18" customHeight="1" thickBot="1">
      <c r="A43" s="324" t="s">
        <v>396</v>
      </c>
      <c r="B43" s="325" t="s">
        <v>776</v>
      </c>
      <c r="C43" s="326">
        <f ca="1">ROUND(C40*10000/F43,0)</f>
        <v>13724</v>
      </c>
      <c r="D43" s="327" t="s">
        <v>777</v>
      </c>
      <c r="E43" s="328" t="s">
        <v>778</v>
      </c>
      <c r="F43" s="329">
        <f ca="1">INDIRECT("'数据-取费表'!k"&amp;$G$1)</f>
        <v>28321.48</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8" thickBot="1">
      <c r="A46" s="1309" t="s">
        <v>809</v>
      </c>
      <c r="C46" s="1310">
        <f ca="1">C68-C40</f>
        <v>-42465</v>
      </c>
      <c r="D46" s="1311" t="str">
        <f>C2</f>
        <v>万元</v>
      </c>
      <c r="E46" s="1305"/>
      <c r="F46" s="1305"/>
      <c r="I46" s="1312" t="s">
        <v>810</v>
      </c>
      <c r="J46" s="1313"/>
      <c r="K46" s="1314"/>
      <c r="L46" s="1315">
        <f ca="1">IF(M47="住宅",0,IF(L48&gt;J51,L60,J60))</f>
        <v>405</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0"/>
      <c r="I47" s="1319" t="s">
        <v>815</v>
      </c>
      <c r="J47" s="1320" t="s">
        <v>3615</v>
      </c>
      <c r="K47" s="1321" t="s">
        <v>816</v>
      </c>
      <c r="L47" s="1322">
        <f ca="1">INDIRECT("'数据-取费表'!d"&amp;$G$1)</f>
        <v>50</v>
      </c>
      <c r="M47" s="1286" t="str">
        <f>IF(ISNUMBER(FIND("住宅",C1)),"住宅","非住宅")</f>
        <v>非住宅</v>
      </c>
      <c r="O47" s="1323" t="s">
        <v>403</v>
      </c>
      <c r="P47" s="1324" t="s">
        <v>817</v>
      </c>
      <c r="Q47" s="1325">
        <f ca="1">C40+J29</f>
        <v>38869</v>
      </c>
      <c r="R47" s="1325" t="s">
        <v>818</v>
      </c>
    </row>
    <row r="48" spans="1:18" s="1290" customFormat="1" ht="40.200000000000003" thickBot="1">
      <c r="A48" s="1046" t="s">
        <v>438</v>
      </c>
      <c r="B48" s="291" t="s">
        <v>692</v>
      </c>
      <c r="C48" s="1266">
        <f ca="1">C49+C53+C55</f>
        <v>0</v>
      </c>
      <c r="D48" s="1048"/>
      <c r="E48" s="1049"/>
      <c r="F48" s="907"/>
      <c r="G48" s="680"/>
      <c r="H48" s="681"/>
      <c r="I48" s="1326" t="s">
        <v>819</v>
      </c>
      <c r="J48" s="1327" t="s">
        <v>3616</v>
      </c>
      <c r="K48" s="1328" t="s">
        <v>820</v>
      </c>
      <c r="L48" s="1329">
        <f ca="1">INDIRECT("'数据-取费表'!f"&amp;$G$1)</f>
        <v>41.38</v>
      </c>
      <c r="O48" s="1323" t="s">
        <v>404</v>
      </c>
      <c r="P48" s="1324" t="s">
        <v>821</v>
      </c>
      <c r="Q48" s="1325">
        <f ca="1">J60</f>
        <v>405</v>
      </c>
      <c r="R48" s="1325" t="s">
        <v>822</v>
      </c>
    </row>
    <row r="49" spans="1:18" s="1290" customFormat="1" ht="13.8" thickBot="1">
      <c r="A49" s="920" t="s">
        <v>439</v>
      </c>
      <c r="B49" s="1277" t="s">
        <v>779</v>
      </c>
      <c r="C49" s="1050">
        <f ca="1">ROUND(F49*F51*F50*(1-F52)/10000,0)</f>
        <v>0</v>
      </c>
      <c r="D49" s="991" t="s">
        <v>2110</v>
      </c>
      <c r="E49" s="1278" t="s">
        <v>780</v>
      </c>
      <c r="F49" s="996"/>
      <c r="H49" s="681"/>
      <c r="I49" s="1326" t="s">
        <v>823</v>
      </c>
      <c r="J49" s="1330">
        <f>'数据-取费表'!N18</f>
        <v>2020</v>
      </c>
      <c r="K49" s="1328" t="s">
        <v>824</v>
      </c>
      <c r="L49" s="1331"/>
      <c r="O49" s="1332" t="s">
        <v>405</v>
      </c>
      <c r="P49" s="1324" t="s">
        <v>825</v>
      </c>
      <c r="Q49" s="1325">
        <f ca="1">C29</f>
        <v>20195</v>
      </c>
      <c r="R49" s="1325" t="s">
        <v>818</v>
      </c>
    </row>
    <row r="50" spans="1:18" s="1290" customFormat="1" ht="13.8" thickBot="1">
      <c r="A50" s="921"/>
      <c r="B50" s="924"/>
      <c r="C50" s="1054"/>
      <c r="D50" s="898"/>
      <c r="E50" s="992" t="s">
        <v>697</v>
      </c>
      <c r="F50" s="993">
        <f ca="1">F7</f>
        <v>28321.48</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4">
        <f ca="1">F8</f>
        <v>365</v>
      </c>
      <c r="I51" s="1336" t="s">
        <v>829</v>
      </c>
      <c r="J51" s="1329">
        <f>IF(J49="",J50,J49+J50-YEAR('数据-取费表'!B2))</f>
        <v>56</v>
      </c>
      <c r="K51" s="1337" t="s">
        <v>830</v>
      </c>
      <c r="L51" s="1338">
        <f ca="1">ROUND(-PV(INDIRECT("'数据-取费表'!h"&amp;$G$1),J51,(C39-C13*C76),0),0)</f>
        <v>9225</v>
      </c>
      <c r="M51" s="1339"/>
      <c r="O51" s="1332" t="s">
        <v>407</v>
      </c>
      <c r="P51" s="1324" t="s">
        <v>831</v>
      </c>
      <c r="Q51" s="1335">
        <f>J52</f>
        <v>7.4999999999999997E-2</v>
      </c>
      <c r="R51" s="1325"/>
    </row>
    <row r="52" spans="1:18" s="1290" customFormat="1" ht="13.8" thickBot="1">
      <c r="A52" s="922"/>
      <c r="B52" s="924"/>
      <c r="C52" s="925"/>
      <c r="D52" s="898"/>
      <c r="E52" s="926" t="s">
        <v>699</v>
      </c>
      <c r="F52" s="990"/>
      <c r="I52" s="1340" t="s">
        <v>832</v>
      </c>
      <c r="J52" s="1341">
        <v>7.4999999999999997E-2</v>
      </c>
      <c r="K52" s="1340" t="s">
        <v>833</v>
      </c>
      <c r="L52" s="1341"/>
      <c r="O52" s="1332" t="s">
        <v>408</v>
      </c>
      <c r="P52" s="1324" t="s">
        <v>834</v>
      </c>
      <c r="Q52" s="1325">
        <f ca="1">J53</f>
        <v>41.38</v>
      </c>
      <c r="R52" s="1325" t="s">
        <v>835</v>
      </c>
    </row>
    <row r="53" spans="1:18" s="1290" customFormat="1" ht="36.6" thickBot="1">
      <c r="A53" s="1077" t="s">
        <v>440</v>
      </c>
      <c r="B53" s="1279" t="s">
        <v>700</v>
      </c>
      <c r="C53" s="307">
        <f ca="1">ROUND(IF(F53="押一",C49/12*F11,IF(F53="押二",C49/12*2*F11,IF(F53="押三",C49/12*3*F11,C54*F11))),0)</f>
        <v>0</v>
      </c>
      <c r="D53" s="149" t="s">
        <v>2116</v>
      </c>
      <c r="E53" s="304" t="s">
        <v>701</v>
      </c>
      <c r="F53" s="1052"/>
      <c r="I53" s="1342" t="s">
        <v>836</v>
      </c>
      <c r="J53" s="2004">
        <f ca="1">IF(M47="住宅",IF(D1="——",MAX(J51,L48),MAX(J51,L48-'数据-取费表'!B24)),IF(D1="——",MIN(J51,L48),MIN(J51,L48-'数据-取费表'!B24)))</f>
        <v>41.38</v>
      </c>
      <c r="K53" s="3400" t="s">
        <v>837</v>
      </c>
      <c r="L53" s="3401"/>
      <c r="O53" s="1323" t="s">
        <v>409</v>
      </c>
      <c r="P53" s="1324" t="s">
        <v>838</v>
      </c>
      <c r="Q53" s="1325">
        <f ca="1">Q47+Q48</f>
        <v>39274</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49"/>
      <c r="E55" s="1280"/>
      <c r="F55" s="1343"/>
      <c r="I55" s="1346" t="s">
        <v>840</v>
      </c>
      <c r="J55" s="1347">
        <f ca="1">ROUND(IF(J47="钢混",J57/J50,1-(1-2%)*(J50-J57)/J50),3)</f>
        <v>0.24399999999999999</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18781</v>
      </c>
      <c r="D56" s="1350"/>
      <c r="E56" s="1351"/>
      <c r="F56" s="1343"/>
      <c r="I56" s="1352" t="s">
        <v>842</v>
      </c>
      <c r="J56" s="1353" t="s">
        <v>3614</v>
      </c>
      <c r="K56" s="1326" t="s">
        <v>843</v>
      </c>
      <c r="L56" s="1329" t="str">
        <f ca="1">IF(L48&lt;J51,"——",L48-J53)</f>
        <v>——</v>
      </c>
      <c r="O56" s="1323" t="s">
        <v>403</v>
      </c>
      <c r="P56" s="1324" t="s">
        <v>817</v>
      </c>
      <c r="Q56" s="1325">
        <f ca="1">C40+J29</f>
        <v>38869</v>
      </c>
      <c r="R56" s="1325" t="s">
        <v>818</v>
      </c>
    </row>
    <row r="57" spans="1:18" s="1290" customFormat="1" ht="24.6" thickBot="1">
      <c r="A57" s="1354"/>
      <c r="B57" s="895" t="s">
        <v>767</v>
      </c>
      <c r="C57" s="229">
        <f ca="1">C29</f>
        <v>20195</v>
      </c>
      <c r="D57" s="1355"/>
      <c r="E57" s="1356"/>
      <c r="F57" s="1357"/>
      <c r="I57" s="1358" t="s">
        <v>844</v>
      </c>
      <c r="J57" s="1359">
        <f ca="1">IF(OR(M47="住宅",J51&lt;L48,J56="是"),"——",J51-L48)</f>
        <v>14.619999999999997</v>
      </c>
      <c r="K57" s="1326" t="s">
        <v>845</v>
      </c>
      <c r="L57" s="1329" t="str">
        <f ca="1">IF(L48&lt;J51,"——",IF(L55="比较法",L49,IF(L55="基准地价",L50,L51)))</f>
        <v>——</v>
      </c>
      <c r="O57" s="1323" t="s">
        <v>404</v>
      </c>
      <c r="P57" s="1324" t="s">
        <v>846</v>
      </c>
      <c r="Q57" s="1325">
        <f ca="1">L60</f>
        <v>0</v>
      </c>
      <c r="R57" s="1325" t="s">
        <v>847</v>
      </c>
    </row>
    <row r="58" spans="1:18" s="1290" customFormat="1" ht="24.6" thickBot="1">
      <c r="A58" s="306" t="s">
        <v>393</v>
      </c>
      <c r="B58" s="903" t="s">
        <v>714</v>
      </c>
      <c r="C58" s="307">
        <f ca="1">ROUND(C59+C64+C65+C66,0)</f>
        <v>222</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1</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8078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1" t="s">
        <v>853</v>
      </c>
      <c r="J60" s="1362">
        <f ca="1">IF(OR(M47="住宅",J51&lt;L48,J56="是"),"0",ROUND(J59/(1+J52)^J53,0))</f>
        <v>405</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IF(项目基本情况!B11="自然人","——",IF(D61="按租金收入计税",ROUND(C49*F61/(1+'数据-取费表'!C42),2),IF(D61="按房产原值计税",ROUND(C57*F61*0.7,2),INDIRECT("'数据-取费表'!Aj"&amp;$G$1))))</f>
        <v>0</v>
      </c>
      <c r="D61" s="1276" t="s">
        <v>3338</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IF(项目基本情况!B11="自然人","——",ROUND(F62*F63/10000,2))</f>
        <v>1.33</v>
      </c>
      <c r="D62" s="910" t="s">
        <v>786</v>
      </c>
      <c r="E62" s="895" t="s">
        <v>787</v>
      </c>
      <c r="F62" s="316">
        <f t="shared" si="0"/>
        <v>1.5</v>
      </c>
      <c r="I62" s="1365" t="s">
        <v>858</v>
      </c>
      <c r="J62" s="609" t="s">
        <v>859</v>
      </c>
      <c r="K62" s="609" t="s">
        <v>860</v>
      </c>
      <c r="L62" s="609" t="s">
        <v>861</v>
      </c>
      <c r="M62" s="1366" t="s">
        <v>862</v>
      </c>
      <c r="O62" s="1323" t="s">
        <v>409</v>
      </c>
      <c r="P62" s="1324" t="s">
        <v>863</v>
      </c>
      <c r="Q62" s="1325">
        <f ca="1">Q56+Q57</f>
        <v>38869</v>
      </c>
      <c r="R62" s="1325" t="s">
        <v>410</v>
      </c>
    </row>
    <row r="63" spans="1:18" s="1290" customFormat="1" ht="13.8" thickBot="1">
      <c r="A63" s="317"/>
      <c r="B63" s="901"/>
      <c r="C63" s="26"/>
      <c r="D63" s="911"/>
      <c r="E63" s="895" t="s">
        <v>788</v>
      </c>
      <c r="F63" s="294">
        <f t="shared" ca="1" si="0"/>
        <v>8883.130000000001</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ROUND(C57*F64,2)</f>
        <v>201.95</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18.78</v>
      </c>
      <c r="D65" s="909" t="s">
        <v>743</v>
      </c>
      <c r="E65" s="895" t="s">
        <v>744</v>
      </c>
      <c r="F65" s="320">
        <f t="shared" ca="1" si="0"/>
        <v>1E-3</v>
      </c>
      <c r="I65" s="1365" t="s">
        <v>867</v>
      </c>
      <c r="J65" s="609">
        <v>40</v>
      </c>
      <c r="K65" s="609">
        <v>30</v>
      </c>
      <c r="L65" s="609">
        <v>50</v>
      </c>
      <c r="M65" s="1367">
        <v>0.02</v>
      </c>
      <c r="O65" s="1323" t="s">
        <v>403</v>
      </c>
      <c r="P65" s="1324" t="s">
        <v>868</v>
      </c>
      <c r="Q65" s="1325">
        <f ca="1">C40+J29</f>
        <v>38869</v>
      </c>
      <c r="R65" s="1325" t="s">
        <v>818</v>
      </c>
    </row>
    <row r="66" spans="1:18" s="1290" customFormat="1" ht="16.2" thickBot="1">
      <c r="A66" s="927" t="s">
        <v>793</v>
      </c>
      <c r="B66" s="895" t="s">
        <v>728</v>
      </c>
      <c r="C66" s="21">
        <f ca="1">ROUND(C48*F66,2)</f>
        <v>0</v>
      </c>
      <c r="D66" s="909" t="s">
        <v>794</v>
      </c>
      <c r="E66" s="895" t="s">
        <v>712</v>
      </c>
      <c r="F66" s="303">
        <f t="shared" ca="1" si="0"/>
        <v>0.01</v>
      </c>
      <c r="O66" s="1323" t="s">
        <v>404</v>
      </c>
      <c r="P66" s="1324" t="s">
        <v>846</v>
      </c>
      <c r="Q66" s="1325">
        <f ca="1">L60</f>
        <v>0</v>
      </c>
      <c r="R66" s="1325" t="s">
        <v>869</v>
      </c>
    </row>
    <row r="67" spans="1:18" s="1290" customFormat="1" ht="24.6" thickBot="1">
      <c r="A67" s="902" t="s">
        <v>394</v>
      </c>
      <c r="B67" s="912" t="s">
        <v>752</v>
      </c>
      <c r="C67" s="307">
        <f ca="1">C48-C58</f>
        <v>-222</v>
      </c>
      <c r="D67" s="908" t="s">
        <v>753</v>
      </c>
      <c r="E67" s="913"/>
      <c r="F67" s="914"/>
      <c r="O67" s="1332" t="s">
        <v>405</v>
      </c>
      <c r="P67" s="1324" t="s">
        <v>850</v>
      </c>
      <c r="Q67" s="1368">
        <f ca="1">L51</f>
        <v>9225</v>
      </c>
      <c r="R67" s="1325" t="s">
        <v>870</v>
      </c>
    </row>
    <row r="68" spans="1:18" s="1290" customFormat="1" ht="16.2" thickBot="1">
      <c r="A68" s="892" t="s">
        <v>395</v>
      </c>
      <c r="B68" s="893" t="s">
        <v>774</v>
      </c>
      <c r="C68" s="292">
        <f ca="1">ROUND(C67*(1-((1+F70)/(1+F68))^F69)/(F68-F70),0)</f>
        <v>-3596</v>
      </c>
      <c r="D68" s="910" t="s">
        <v>758</v>
      </c>
      <c r="E68" s="895" t="s">
        <v>759</v>
      </c>
      <c r="F68" s="303">
        <f ca="1">F40</f>
        <v>5.5E-2</v>
      </c>
      <c r="O68" s="1332" t="s">
        <v>406</v>
      </c>
      <c r="P68" s="1369" t="s">
        <v>871</v>
      </c>
      <c r="Q68" s="1325">
        <f ca="1">ROUND(Q69-Q70*Q71,0)</f>
        <v>493</v>
      </c>
      <c r="R68" s="1325" t="s">
        <v>414</v>
      </c>
    </row>
    <row r="69" spans="1:18" s="1290" customFormat="1" ht="13.8" thickBot="1">
      <c r="A69" s="896"/>
      <c r="B69" s="897"/>
      <c r="C69" s="297"/>
      <c r="D69" s="915" t="s">
        <v>762</v>
      </c>
      <c r="E69" s="895" t="s">
        <v>763</v>
      </c>
      <c r="F69" s="323">
        <f ca="1">F41</f>
        <v>41.38</v>
      </c>
      <c r="O69" s="1332" t="s">
        <v>411</v>
      </c>
      <c r="P69" s="1369" t="s">
        <v>872</v>
      </c>
      <c r="Q69" s="1325">
        <f ca="1">C39</f>
        <v>1808</v>
      </c>
      <c r="R69" s="1325" t="s">
        <v>818</v>
      </c>
    </row>
    <row r="70" spans="1:18" s="1290" customFormat="1" ht="13.8" thickBot="1">
      <c r="A70" s="899"/>
      <c r="B70" s="900"/>
      <c r="C70" s="301"/>
      <c r="D70" s="911"/>
      <c r="E70" s="895" t="s">
        <v>766</v>
      </c>
      <c r="F70" s="990"/>
      <c r="O70" s="1332" t="s">
        <v>412</v>
      </c>
      <c r="P70" s="1369" t="s">
        <v>873</v>
      </c>
      <c r="Q70" s="1325">
        <f ca="1">C13</f>
        <v>18781</v>
      </c>
      <c r="R70" s="1325" t="s">
        <v>818</v>
      </c>
    </row>
    <row r="71" spans="1:18" s="1290" customFormat="1" ht="13.8" thickBot="1">
      <c r="A71" s="916" t="s">
        <v>396</v>
      </c>
      <c r="B71" s="917" t="s">
        <v>776</v>
      </c>
      <c r="C71" s="326">
        <f ca="1">ROUND(C68*10000/F71,0)</f>
        <v>-1270</v>
      </c>
      <c r="D71" s="918" t="s">
        <v>777</v>
      </c>
      <c r="E71" s="919" t="s">
        <v>778</v>
      </c>
      <c r="F71" s="329">
        <f ca="1">F43</f>
        <v>28321.48</v>
      </c>
      <c r="O71" s="1332" t="s">
        <v>413</v>
      </c>
      <c r="P71" s="1369" t="s">
        <v>874</v>
      </c>
      <c r="Q71" s="1335">
        <f ca="1">C76</f>
        <v>7.0000000000000007E-2</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1315</v>
      </c>
      <c r="D75" s="1290"/>
      <c r="E75" s="1290"/>
      <c r="F75" s="1290"/>
      <c r="K75" s="1307"/>
      <c r="L75" s="1290"/>
      <c r="O75" s="1323" t="s">
        <v>409</v>
      </c>
      <c r="P75" s="1324" t="s">
        <v>838</v>
      </c>
      <c r="Q75" s="1325">
        <f ca="1">Q65+Q66</f>
        <v>38869</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0.27300000000000002</v>
      </c>
    </row>
    <row r="80" spans="1:18">
      <c r="B80" s="330" t="s">
        <v>800</v>
      </c>
      <c r="C80" s="265">
        <f ca="1">ROUND(C75/C39,3)</f>
        <v>0.72699999999999998</v>
      </c>
    </row>
    <row r="81" spans="2:3">
      <c r="B81" s="261" t="s">
        <v>801</v>
      </c>
      <c r="C81" s="229"/>
    </row>
    <row r="82" spans="2:3">
      <c r="B82" s="264" t="s">
        <v>802</v>
      </c>
      <c r="C82" s="266">
        <f ca="1">1-C83</f>
        <v>0.51700000000000002</v>
      </c>
    </row>
    <row r="83" spans="2:3">
      <c r="B83" s="264" t="s">
        <v>803</v>
      </c>
      <c r="C83" s="265">
        <f ca="1">ROUND(C13/C40,3)</f>
        <v>0.48299999999999998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c r="D1" s="1269" t="s">
        <v>43</v>
      </c>
      <c r="E1" s="1270" t="s">
        <v>678</v>
      </c>
      <c r="F1" s="998">
        <f ca="1">J53</f>
        <v>0</v>
      </c>
      <c r="G1" s="1284">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#DIV/0!</v>
      </c>
      <c r="C2" s="1287" t="s">
        <v>879</v>
      </c>
      <c r="D2" s="1373" t="e">
        <f ca="1">C40+J29+L46</f>
        <v>#DIV/0!</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0</v>
      </c>
      <c r="D5" s="1271" t="s">
        <v>889</v>
      </c>
      <c r="E5" s="1007"/>
      <c r="F5" s="1008"/>
      <c r="G5" s="1290"/>
      <c r="H5" s="290">
        <v>1</v>
      </c>
      <c r="I5" s="291" t="s">
        <v>888</v>
      </c>
      <c r="J5" s="1006">
        <f ca="1">J6+J10+J12</f>
        <v>0</v>
      </c>
      <c r="K5" s="1271" t="s">
        <v>889</v>
      </c>
      <c r="L5" s="1007"/>
      <c r="M5" s="1008"/>
    </row>
    <row r="6" spans="1:37" ht="18" customHeight="1">
      <c r="A6" s="1005" t="s">
        <v>398</v>
      </c>
      <c r="B6" s="3402" t="s">
        <v>694</v>
      </c>
      <c r="C6" s="1010">
        <f ca="1">ROUND(F6*F8*F7*(1-F9),0)</f>
        <v>0</v>
      </c>
      <c r="D6" s="146" t="s">
        <v>2106</v>
      </c>
      <c r="E6" s="293" t="s">
        <v>696</v>
      </c>
      <c r="F6" s="294">
        <f ca="1">INDIRECT("'数据-取费表'!u"&amp;$G$1)</f>
        <v>0</v>
      </c>
      <c r="G6" s="1290"/>
      <c r="H6" s="1005" t="s">
        <v>398</v>
      </c>
      <c r="I6" s="3402" t="s">
        <v>694</v>
      </c>
      <c r="J6" s="292">
        <f ca="1">ROUND(M6*M8*M7*(1-M9),0)</f>
        <v>0</v>
      </c>
      <c r="K6" s="1282" t="s">
        <v>2107</v>
      </c>
      <c r="L6" s="293" t="s">
        <v>696</v>
      </c>
      <c r="M6" s="294">
        <f ca="1">INDIRECT("'数据-取费表'!z"&amp;$G$1)</f>
        <v>0</v>
      </c>
    </row>
    <row r="7" spans="1:37" ht="18" customHeight="1">
      <c r="A7" s="1009"/>
      <c r="B7" s="3403"/>
      <c r="C7" s="1011"/>
      <c r="D7" s="298"/>
      <c r="E7" s="1012" t="s">
        <v>697</v>
      </c>
      <c r="F7" s="294">
        <f ca="1">IF(INDIRECT("'数据-取费表'!ah"&amp;$G$1)="",INDIRECT("'数据-取费表'!k"&amp;$G$1),INDIRECT("'数据-取费表'!ah"&amp;$G$1))</f>
        <v>0</v>
      </c>
      <c r="G7" s="1290"/>
      <c r="H7" s="295"/>
      <c r="I7" s="3403"/>
      <c r="J7" s="297"/>
      <c r="K7" s="298"/>
      <c r="L7" s="293" t="s">
        <v>697</v>
      </c>
      <c r="M7" s="294">
        <f ca="1">F7</f>
        <v>0</v>
      </c>
    </row>
    <row r="8" spans="1:37" ht="18" customHeight="1">
      <c r="A8" s="295"/>
      <c r="B8" s="3403"/>
      <c r="C8" s="297"/>
      <c r="D8" s="298"/>
      <c r="E8" s="293" t="s">
        <v>698</v>
      </c>
      <c r="F8" s="294">
        <f ca="1">INDIRECT("'数据-取费表'!ai"&amp;$G$1)</f>
        <v>0</v>
      </c>
      <c r="G8" s="1290"/>
      <c r="H8" s="295"/>
      <c r="I8" s="3403"/>
      <c r="J8" s="297"/>
      <c r="K8" s="298"/>
      <c r="L8" s="293" t="s">
        <v>698</v>
      </c>
      <c r="M8" s="294">
        <f ca="1">INDIRECT("'数据-取费表'!ai"&amp;$G$1)</f>
        <v>0</v>
      </c>
    </row>
    <row r="9" spans="1:37" ht="18" customHeight="1">
      <c r="A9" s="295"/>
      <c r="B9" s="3404"/>
      <c r="C9" s="297"/>
      <c r="D9" s="298"/>
      <c r="E9" s="293" t="s">
        <v>699</v>
      </c>
      <c r="F9" s="303">
        <f ca="1">INDIRECT("'数据-取费表'!w"&amp;$G$1)</f>
        <v>0</v>
      </c>
      <c r="G9" s="1290"/>
      <c r="H9" s="295"/>
      <c r="I9" s="3404"/>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2"/>
      <c r="G10" s="1290"/>
      <c r="H10" s="1005" t="s">
        <v>402</v>
      </c>
      <c r="I10" s="1272" t="s">
        <v>700</v>
      </c>
      <c r="J10" s="292">
        <f ca="1">ROUND(IF(M10="押一",J6/12*M11,IF(M10="押二",J6/12*2*M11,IF(M10="押三",J6/12*3*M11,J11*M11))),0)</f>
        <v>0</v>
      </c>
      <c r="K10" s="1283" t="s">
        <v>2118</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ROUND(F17*(F43+INDIRECT("'数据-取费表'!S"&amp;$G$1)),0)</f>
        <v>0</v>
      </c>
      <c r="D17" s="293" t="s">
        <v>717</v>
      </c>
      <c r="E17" s="293" t="s">
        <v>718</v>
      </c>
      <c r="F17" s="23">
        <f>'数据-取费表'!B35</f>
        <v>200</v>
      </c>
      <c r="G17" s="1301"/>
      <c r="H17" s="927" t="s">
        <v>398</v>
      </c>
      <c r="I17" s="293"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0.02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3" t="s">
        <v>726</v>
      </c>
      <c r="E19" s="1267"/>
      <c r="F19" s="23"/>
      <c r="G19" s="1290"/>
      <c r="H19" s="927" t="s">
        <v>399</v>
      </c>
      <c r="I19" s="293" t="s">
        <v>727</v>
      </c>
      <c r="J19" s="21">
        <f ca="1">IF(K19="按租金收入计税",ROUND(J6*M19/(1+'数据-取费表'!C42),0),ROUND(C29*M19*0.7,0))</f>
        <v>0</v>
      </c>
      <c r="K19" s="1276" t="s">
        <v>3338</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7"/>
      <c r="F22" s="23"/>
      <c r="G22" s="1290"/>
      <c r="H22" s="927" t="s">
        <v>402</v>
      </c>
      <c r="I22" s="293" t="s">
        <v>738</v>
      </c>
      <c r="J22" s="21">
        <f ca="1">ROUND(J14*M22,0)</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684</v>
      </c>
      <c r="I24" s="1026" t="s">
        <v>728</v>
      </c>
      <c r="J24" s="1027">
        <f ca="1">ROUND(J5*M24,0)</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3" t="s">
        <v>751</v>
      </c>
      <c r="E25" s="1267"/>
      <c r="F25" s="23"/>
      <c r="G25" s="1290"/>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9"/>
      <c r="I30" s="1303"/>
      <c r="J30" s="1304"/>
      <c r="K30" s="121"/>
      <c r="L30" s="2470"/>
      <c r="M30" s="2471"/>
    </row>
    <row r="31" spans="1:37" ht="18" customHeight="1">
      <c r="A31" s="927" t="s">
        <v>398</v>
      </c>
      <c r="B31" s="293"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2308</v>
      </c>
      <c r="I31" s="1303"/>
      <c r="J31" s="1304"/>
      <c r="K31" s="121"/>
      <c r="L31" s="2470"/>
      <c r="M31" s="2471"/>
    </row>
    <row r="32" spans="1:37" ht="18" customHeight="1">
      <c r="A32" s="927" t="s">
        <v>397</v>
      </c>
      <c r="B32" s="293" t="s">
        <v>723</v>
      </c>
      <c r="C32" s="21">
        <f ca="1">IF(项目基本情况!B11="自然人","——",ROUND(C6*F32/(1+'数据-取费表'!C42),0))</f>
        <v>0</v>
      </c>
      <c r="D32" s="1254" t="s">
        <v>724</v>
      </c>
      <c r="E32" s="293" t="s">
        <v>712</v>
      </c>
      <c r="F32" s="321">
        <f>'数据-取费表'!B41</f>
        <v>5.6000000000000001E-2</v>
      </c>
      <c r="G32" s="1290"/>
      <c r="H32" s="2469"/>
      <c r="I32" s="1303"/>
      <c r="J32" s="1304"/>
      <c r="K32" s="121"/>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6" t="s">
        <v>3338</v>
      </c>
      <c r="E33" s="293" t="s">
        <v>712</v>
      </c>
      <c r="F33" s="313">
        <f>IF(D33="按票据","——",IF(D33="按租金收入计税",'数据-取费表'!B51,'数据-取费表'!B50))</f>
        <v>0.12</v>
      </c>
      <c r="G33" s="1290"/>
      <c r="H33" s="2472"/>
      <c r="I33" s="1303"/>
      <c r="J33" s="1304"/>
      <c r="K33" s="2473"/>
      <c r="L33" s="2472"/>
      <c r="M33" s="2472"/>
    </row>
    <row r="34" spans="1:18" ht="18" customHeight="1">
      <c r="A34" s="1005" t="s">
        <v>680</v>
      </c>
      <c r="B34" s="146" t="s">
        <v>730</v>
      </c>
      <c r="C34" s="22">
        <f ca="1">IF(项目基本情况!B11="自然人","——",ROUND(F34*F35,0))</f>
        <v>0</v>
      </c>
      <c r="D34" s="315" t="s">
        <v>731</v>
      </c>
      <c r="E34" s="293" t="s">
        <v>732</v>
      </c>
      <c r="F34" s="316">
        <f>'数据-取费表'!B52</f>
        <v>1.5</v>
      </c>
      <c r="G34" s="1290"/>
      <c r="H34" s="2469"/>
      <c r="I34" s="1303"/>
      <c r="J34" s="1304"/>
      <c r="K34" s="2474"/>
      <c r="L34" s="2475"/>
      <c r="M34" s="2475"/>
    </row>
    <row r="35" spans="1:18" ht="18" customHeight="1">
      <c r="A35" s="1039"/>
      <c r="B35" s="1037"/>
      <c r="C35" s="26"/>
      <c r="D35" s="318"/>
      <c r="E35" s="293" t="s">
        <v>736</v>
      </c>
      <c r="F35" s="294">
        <f ca="1">INDIRECT("'数据-取费表'!r"&amp;$G$1)</f>
        <v>0</v>
      </c>
      <c r="G35" s="1290"/>
      <c r="H35" s="2469"/>
      <c r="I35" s="1303"/>
      <c r="J35" s="1304"/>
      <c r="K35" s="2473"/>
      <c r="L35" s="2472"/>
      <c r="M35" s="2472"/>
    </row>
    <row r="36" spans="1:18" ht="18" customHeight="1">
      <c r="A36" s="1038" t="s">
        <v>402</v>
      </c>
      <c r="B36" s="293" t="s">
        <v>738</v>
      </c>
      <c r="C36" s="21">
        <f ca="1">ROUND(C29*F36,0)</f>
        <v>0</v>
      </c>
      <c r="D36" s="1254" t="s">
        <v>771</v>
      </c>
      <c r="E36" s="293" t="s">
        <v>712</v>
      </c>
      <c r="F36" s="319">
        <f ca="1">INDIRECT("'数据-取费表'!Ak"&amp;$G$1)</f>
        <v>0</v>
      </c>
      <c r="G36" s="1290"/>
      <c r="H36" s="2472"/>
      <c r="I36" s="1303"/>
      <c r="J36" s="1304"/>
      <c r="K36" s="2329"/>
      <c r="L36" s="2472"/>
      <c r="M36" s="2472"/>
    </row>
    <row r="37" spans="1:18" ht="18" customHeight="1">
      <c r="A37" s="927" t="s">
        <v>437</v>
      </c>
      <c r="B37" s="293" t="s">
        <v>742</v>
      </c>
      <c r="C37" s="21">
        <f ca="1">ROUND(C13*F37,0)</f>
        <v>0</v>
      </c>
      <c r="D37" s="1254" t="s">
        <v>743</v>
      </c>
      <c r="E37" s="293" t="s">
        <v>744</v>
      </c>
      <c r="F37" s="320">
        <f ca="1">INDIRECT("'数据-取费表'!Al"&amp;$G$1)</f>
        <v>0</v>
      </c>
      <c r="G37" s="1290"/>
      <c r="H37" s="2472"/>
      <c r="I37" s="1303"/>
      <c r="J37" s="1304"/>
      <c r="K37" s="2329"/>
      <c r="L37" s="2472"/>
      <c r="M37" s="2472"/>
    </row>
    <row r="38" spans="1:18" ht="18" customHeight="1" thickBot="1">
      <c r="A38" s="1025" t="s">
        <v>684</v>
      </c>
      <c r="B38" s="1026" t="s">
        <v>728</v>
      </c>
      <c r="C38" s="1027">
        <f ca="1">ROUND(C5*F38,0)</f>
        <v>0</v>
      </c>
      <c r="D38" s="1028" t="s">
        <v>748</v>
      </c>
      <c r="E38" s="1026" t="s">
        <v>744</v>
      </c>
      <c r="F38" s="1022">
        <f ca="1">INDIRECT("'数据-取费表'!Am"&amp;$G$1)</f>
        <v>0</v>
      </c>
      <c r="G38" s="1290"/>
      <c r="H38" s="2472"/>
      <c r="I38" s="1303"/>
      <c r="J38" s="1304"/>
      <c r="K38" s="2470"/>
      <c r="L38" s="2472"/>
      <c r="M38" s="2472"/>
    </row>
    <row r="39" spans="1:18" ht="24.6" customHeight="1" thickTop="1">
      <c r="A39" s="1015" t="s">
        <v>394</v>
      </c>
      <c r="B39" s="1030" t="s">
        <v>772</v>
      </c>
      <c r="C39" s="301">
        <f ca="1">C5-C30</f>
        <v>0</v>
      </c>
      <c r="D39" s="1031" t="s">
        <v>773</v>
      </c>
      <c r="E39" s="1032"/>
      <c r="F39" s="1033"/>
      <c r="G39" s="1290"/>
      <c r="H39" s="2472"/>
      <c r="I39" s="1303"/>
      <c r="J39" s="1304"/>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70"/>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1"/>
      <c r="I41" s="1303"/>
      <c r="J41" s="1304"/>
      <c r="K41" s="2329"/>
      <c r="L41" s="121"/>
      <c r="M41" s="121"/>
    </row>
    <row r="42" spans="1:18" ht="18" customHeight="1">
      <c r="A42" s="299"/>
      <c r="B42" s="300"/>
      <c r="C42" s="301"/>
      <c r="D42" s="318"/>
      <c r="E42" s="293" t="s">
        <v>766</v>
      </c>
      <c r="F42" s="303">
        <f ca="1">INDIRECT("'数据-取费表'!v"&amp;$G$1)</f>
        <v>0</v>
      </c>
      <c r="G42" s="1290"/>
      <c r="H42" s="121"/>
      <c r="I42" s="1303"/>
      <c r="J42" s="1304"/>
      <c r="K42" s="2329"/>
      <c r="L42" s="121"/>
      <c r="M42" s="121"/>
    </row>
    <row r="43" spans="1:18" ht="18" customHeight="1" thickBot="1">
      <c r="A43" s="324" t="s">
        <v>396</v>
      </c>
      <c r="B43" s="325" t="s">
        <v>776</v>
      </c>
      <c r="C43" s="326" t="e">
        <f ca="1">ROUND(C40/F43,0)</f>
        <v>#DIV/0!</v>
      </c>
      <c r="D43" s="327" t="s">
        <v>777</v>
      </c>
      <c r="E43" s="328" t="s">
        <v>778</v>
      </c>
      <c r="F43" s="329">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3354</v>
      </c>
      <c r="B45" s="1305"/>
      <c r="C45" s="1374" t="e">
        <f ca="1">ROUND((C68-C40)/10000,4)</f>
        <v>#DIV/0!</v>
      </c>
      <c r="D45" s="3129" t="s">
        <v>3355</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50">
        <f ca="1">ROUND(F49*F51*F50*(1-F52),0)</f>
        <v>0</v>
      </c>
      <c r="D49" s="991" t="s">
        <v>695</v>
      </c>
      <c r="E49" s="1278" t="s">
        <v>780</v>
      </c>
      <c r="F49" s="996"/>
      <c r="H49" s="681"/>
      <c r="I49" s="1326" t="s">
        <v>823</v>
      </c>
      <c r="J49" s="1330"/>
      <c r="K49" s="1328" t="s">
        <v>824</v>
      </c>
      <c r="L49" s="1331"/>
      <c r="O49" s="1332" t="s">
        <v>405</v>
      </c>
      <c r="P49" s="1324" t="s">
        <v>825</v>
      </c>
      <c r="Q49" s="1325">
        <f ca="1">C29</f>
        <v>0</v>
      </c>
      <c r="R49" s="1325" t="s">
        <v>818</v>
      </c>
    </row>
    <row r="50" spans="1:18" s="1290" customFormat="1" ht="13.8" thickBot="1">
      <c r="A50" s="921"/>
      <c r="B50" s="924"/>
      <c r="C50" s="925"/>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0.75" customHeight="1" thickBot="1">
      <c r="A53" s="1047" t="s">
        <v>440</v>
      </c>
      <c r="B53" s="314" t="s">
        <v>700</v>
      </c>
      <c r="C53" s="307">
        <f ca="1">ROUND(IF(F53="押一",C49/12*F11,IF(F53="押二",C49/12*2*F11,IF(F53="押三",C49/12*3*F11,C54*F11))),0)</f>
        <v>0</v>
      </c>
      <c r="D53" s="149" t="s">
        <v>2119</v>
      </c>
      <c r="E53" s="304" t="s">
        <v>701</v>
      </c>
      <c r="F53" s="1052"/>
      <c r="I53" s="1342" t="s">
        <v>836</v>
      </c>
      <c r="J53" s="2004">
        <f ca="1">IF(M47="住宅",IF(D1="——",MAX(J51,L48),MAX(J51,L48-'数据-取费表'!B24)),IF(D1="——",MIN(J51,L48),MIN(J51,L48-'数据-取费表'!B24)))</f>
        <v>0</v>
      </c>
      <c r="K53" s="3400" t="s">
        <v>837</v>
      </c>
      <c r="L53" s="3401"/>
      <c r="O53" s="1323" t="s">
        <v>409</v>
      </c>
      <c r="P53" s="1324" t="s">
        <v>838</v>
      </c>
      <c r="Q53" s="1325" t="e">
        <f ca="1">Q47+Q48</f>
        <v>#DIV/0!</v>
      </c>
      <c r="R53" s="1325" t="s">
        <v>410</v>
      </c>
    </row>
    <row r="54" spans="1:18" s="1290" customFormat="1" ht="13.8"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5" t="s">
        <v>767</v>
      </c>
      <c r="C57" s="229">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6" t="s">
        <v>393</v>
      </c>
      <c r="B58" s="903" t="s">
        <v>714</v>
      </c>
      <c r="C58" s="307">
        <f ca="1">ROUND(C59+C64+C65+C66,0)</f>
        <v>0</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IF(项目基本情况!B11="自然人","——",IF(D61="按租金收入计税",ROUND(C49*F61/(1+'数据-取费表'!C42),0),IF(D61="按房产原值计税",ROUND(C57*F61*0.7,0),INDIRECT("'数据-取费表'!Aj"&amp;$G$1))))</f>
        <v>0</v>
      </c>
      <c r="D61" s="1276" t="s">
        <v>3338</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IF(项目基本情况!B11="自然人","——",ROUND(F62*F63,0))</f>
        <v>0</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ROUND(C57*F64,0)</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7" t="s">
        <v>793</v>
      </c>
      <c r="B66" s="895" t="s">
        <v>728</v>
      </c>
      <c r="C66" s="21">
        <f ca="1">ROUND(C48*F66,0)</f>
        <v>0</v>
      </c>
      <c r="D66" s="909" t="s">
        <v>794</v>
      </c>
      <c r="E66" s="895" t="s">
        <v>712</v>
      </c>
      <c r="F66" s="303">
        <f t="shared" ca="1" si="0"/>
        <v>0</v>
      </c>
      <c r="O66" s="1323" t="s">
        <v>404</v>
      </c>
      <c r="P66" s="1324" t="s">
        <v>846</v>
      </c>
      <c r="Q66" s="1325" t="e">
        <f ca="1">L60</f>
        <v>#DIV/0!</v>
      </c>
      <c r="R66" s="1325" t="s">
        <v>869</v>
      </c>
    </row>
    <row r="67" spans="1:18" s="1290" customFormat="1" ht="24.6"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8" thickBot="1">
      <c r="A69" s="896"/>
      <c r="B69" s="897"/>
      <c r="C69" s="297"/>
      <c r="D69" s="915" t="s">
        <v>762</v>
      </c>
      <c r="E69" s="895" t="s">
        <v>763</v>
      </c>
      <c r="F69" s="323">
        <f ca="1">F41</f>
        <v>0</v>
      </c>
      <c r="O69" s="1332" t="s">
        <v>411</v>
      </c>
      <c r="P69" s="1369" t="s">
        <v>872</v>
      </c>
      <c r="Q69" s="1325">
        <f ca="1">C39</f>
        <v>0</v>
      </c>
      <c r="R69" s="1325" t="s">
        <v>818</v>
      </c>
    </row>
    <row r="70" spans="1:18" s="1290" customFormat="1" ht="13.8" thickBot="1">
      <c r="A70" s="899"/>
      <c r="B70" s="900"/>
      <c r="C70" s="301"/>
      <c r="D70" s="911"/>
      <c r="E70" s="895" t="s">
        <v>766</v>
      </c>
      <c r="F70" s="990"/>
      <c r="O70" s="1332" t="s">
        <v>412</v>
      </c>
      <c r="P70" s="1369" t="s">
        <v>873</v>
      </c>
      <c r="Q70" s="1325">
        <f ca="1">C13</f>
        <v>0</v>
      </c>
      <c r="R70" s="1325" t="s">
        <v>818</v>
      </c>
    </row>
    <row r="71" spans="1:18" s="1290" customFormat="1" ht="13.8" thickBot="1">
      <c r="A71" s="916" t="s">
        <v>396</v>
      </c>
      <c r="B71" s="917" t="s">
        <v>776</v>
      </c>
      <c r="C71" s="326" t="e">
        <f ca="1">ROUND(C68/F71,0)</f>
        <v>#DIV/0!</v>
      </c>
      <c r="D71" s="918" t="s">
        <v>777</v>
      </c>
      <c r="E71" s="919" t="s">
        <v>778</v>
      </c>
      <c r="F71" s="329">
        <f ca="1">F43</f>
        <v>0</v>
      </c>
      <c r="O71" s="1332" t="s">
        <v>413</v>
      </c>
      <c r="P71" s="1369" t="s">
        <v>874</v>
      </c>
      <c r="Q71" s="1335">
        <f ca="1">C76</f>
        <v>0</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1" t="s">
        <v>2317</v>
      </c>
      <c r="B2" s="2593" t="e">
        <f>IF(D2="——",C40,C40+E2)</f>
        <v>#DIV/0!</v>
      </c>
      <c r="C2" s="2594" t="s">
        <v>2318</v>
      </c>
      <c r="D2" s="3137" t="s">
        <v>3361</v>
      </c>
      <c r="E2" s="3138"/>
      <c r="F2" s="2596"/>
      <c r="G2" s="2597"/>
      <c r="H2" s="2598"/>
      <c r="I2" s="2599"/>
      <c r="J2" s="3405" t="s">
        <v>2319</v>
      </c>
      <c r="K2" s="3406"/>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407" t="s">
        <v>2329</v>
      </c>
      <c r="K3" s="3408"/>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407" t="s">
        <v>2331</v>
      </c>
      <c r="K4" s="3408"/>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409" t="s">
        <v>2335</v>
      </c>
      <c r="B6" s="3410"/>
      <c r="C6" s="3411"/>
      <c r="D6" s="2620"/>
      <c r="E6" s="2621"/>
      <c r="F6" s="2622"/>
      <c r="G6" s="2623"/>
      <c r="H6" s="2598"/>
      <c r="I6" s="2599"/>
      <c r="J6" s="3412">
        <v>1</v>
      </c>
      <c r="K6" s="3413"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412"/>
      <c r="K7" s="3414"/>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416" t="s">
        <v>2349</v>
      </c>
      <c r="C8" s="3417"/>
      <c r="D8" s="2639" t="s">
        <v>2350</v>
      </c>
      <c r="E8" s="2640" t="s">
        <v>2351</v>
      </c>
      <c r="F8" s="2641" t="s">
        <v>2352</v>
      </c>
      <c r="G8" s="2642"/>
      <c r="H8" s="2598"/>
      <c r="I8" s="2599"/>
      <c r="J8" s="3412"/>
      <c r="K8" s="3414"/>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416" t="s">
        <v>2355</v>
      </c>
      <c r="C9" s="3417"/>
      <c r="D9" s="2639">
        <f>ROUND(D6*E9,0)</f>
        <v>0</v>
      </c>
      <c r="E9" s="2643"/>
      <c r="F9" s="2644" t="s">
        <v>2356</v>
      </c>
      <c r="G9" s="2623"/>
      <c r="H9" s="2598"/>
      <c r="I9" s="2599"/>
      <c r="J9" s="3412"/>
      <c r="K9" s="3414"/>
      <c r="L9" s="2633" t="s">
        <v>2357</v>
      </c>
      <c r="M9" s="2634"/>
      <c r="N9" s="2610"/>
      <c r="O9" s="2635"/>
      <c r="P9" s="2635"/>
      <c r="Q9" s="2636">
        <v>365</v>
      </c>
      <c r="R9" s="2637">
        <f t="shared" si="0"/>
        <v>0</v>
      </c>
      <c r="S9" s="2591"/>
      <c r="T9" s="2591"/>
      <c r="U9" s="2591"/>
      <c r="V9" s="2599"/>
    </row>
    <row r="10" spans="1:22" s="2603" customFormat="1" ht="13.2" customHeight="1">
      <c r="A10" s="2638">
        <v>2</v>
      </c>
      <c r="B10" s="3416" t="s">
        <v>2358</v>
      </c>
      <c r="C10" s="3417"/>
      <c r="D10" s="2639">
        <f>ROUND(D6*E10,0)</f>
        <v>0</v>
      </c>
      <c r="E10" s="2643"/>
      <c r="F10" s="2644" t="s">
        <v>2359</v>
      </c>
      <c r="G10" s="2623"/>
      <c r="H10" s="2598"/>
      <c r="I10" s="2599"/>
      <c r="J10" s="3412"/>
      <c r="K10" s="3414"/>
      <c r="L10" s="2633" t="s">
        <v>2360</v>
      </c>
      <c r="M10" s="2634"/>
      <c r="N10" s="2610"/>
      <c r="O10" s="2635"/>
      <c r="P10" s="2635"/>
      <c r="Q10" s="2636">
        <v>365</v>
      </c>
      <c r="R10" s="2637">
        <f t="shared" si="0"/>
        <v>0</v>
      </c>
      <c r="S10" s="2591"/>
      <c r="T10" s="2591"/>
      <c r="U10" s="2591"/>
      <c r="V10" s="2599"/>
    </row>
    <row r="11" spans="1:22" s="2603" customFormat="1" ht="13.2" customHeight="1">
      <c r="A11" s="2638">
        <v>3</v>
      </c>
      <c r="B11" s="3416" t="s">
        <v>2361</v>
      </c>
      <c r="C11" s="3417"/>
      <c r="D11" s="2639">
        <f>D12+D14+D15+D16</f>
        <v>0</v>
      </c>
      <c r="E11" s="2645" t="e">
        <f>D11/D6</f>
        <v>#DIV/0!</v>
      </c>
      <c r="F11" s="2641"/>
      <c r="G11" s="2642"/>
      <c r="H11" s="2598"/>
      <c r="I11" s="2599"/>
      <c r="J11" s="3412"/>
      <c r="K11" s="3414"/>
      <c r="L11" s="2633" t="s">
        <v>2362</v>
      </c>
      <c r="M11" s="2634"/>
      <c r="N11" s="2610"/>
      <c r="O11" s="2635"/>
      <c r="P11" s="2635"/>
      <c r="Q11" s="2636">
        <v>365</v>
      </c>
      <c r="R11" s="2637">
        <f t="shared" si="0"/>
        <v>0</v>
      </c>
      <c r="S11" s="2591"/>
      <c r="T11" s="2591"/>
      <c r="U11" s="2591"/>
      <c r="V11" s="2599"/>
    </row>
    <row r="12" spans="1:22" s="2603" customFormat="1" ht="13.2" customHeight="1">
      <c r="A12" s="2646" t="s">
        <v>2363</v>
      </c>
      <c r="B12" s="3418" t="s">
        <v>2364</v>
      </c>
      <c r="C12" s="3419"/>
      <c r="D12" s="2647">
        <f>ROUND(D13*1.2%*(1-30%),0)</f>
        <v>0</v>
      </c>
      <c r="E12" s="2648">
        <v>1.2E-2</v>
      </c>
      <c r="F12" s="2641" t="s">
        <v>2365</v>
      </c>
      <c r="G12" s="2642"/>
      <c r="H12" s="2598"/>
      <c r="I12" s="2599"/>
      <c r="J12" s="3412"/>
      <c r="K12" s="3414"/>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412"/>
      <c r="K13" s="3414"/>
      <c r="L13" s="2633" t="s">
        <v>2368</v>
      </c>
      <c r="M13" s="2634"/>
      <c r="N13" s="2610"/>
      <c r="O13" s="2635"/>
      <c r="P13" s="2635"/>
      <c r="Q13" s="2636">
        <v>365</v>
      </c>
      <c r="R13" s="2637">
        <f t="shared" si="0"/>
        <v>0</v>
      </c>
      <c r="S13" s="2591"/>
      <c r="T13" s="2591"/>
      <c r="U13" s="2591"/>
      <c r="V13" s="2599"/>
    </row>
    <row r="14" spans="1:22" s="2603" customFormat="1" ht="13.2" customHeight="1">
      <c r="A14" s="2646" t="s">
        <v>2369</v>
      </c>
      <c r="B14" s="3418" t="s">
        <v>2370</v>
      </c>
      <c r="C14" s="3419"/>
      <c r="D14" s="2647">
        <f>ROUND(E14*B5/10000,0)</f>
        <v>0</v>
      </c>
      <c r="E14" s="2636"/>
      <c r="F14" s="2641" t="s">
        <v>2371</v>
      </c>
      <c r="G14" s="2642"/>
      <c r="H14" s="2598"/>
      <c r="I14" s="2599"/>
      <c r="J14" s="3412"/>
      <c r="K14" s="3415"/>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418" t="s">
        <v>2374</v>
      </c>
      <c r="C15" s="3419"/>
      <c r="D15" s="2647">
        <f>ROUND(D6*E15,0)</f>
        <v>0</v>
      </c>
      <c r="E15" s="2648">
        <v>5.5E-2</v>
      </c>
      <c r="F15" s="2641" t="s">
        <v>2375</v>
      </c>
      <c r="G15" s="2623"/>
      <c r="H15" s="2598"/>
      <c r="I15" s="2599"/>
      <c r="J15" s="3412">
        <v>2</v>
      </c>
      <c r="K15" s="3413"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418" t="s">
        <v>2383</v>
      </c>
      <c r="C16" s="3419"/>
      <c r="D16" s="2658">
        <f>D6*E16</f>
        <v>0</v>
      </c>
      <c r="E16" s="2659"/>
      <c r="F16" s="2644" t="s">
        <v>2384</v>
      </c>
      <c r="G16" s="2623"/>
      <c r="H16" s="2598"/>
      <c r="I16" s="2599"/>
      <c r="J16" s="3412"/>
      <c r="K16" s="3414"/>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420" t="s">
        <v>2386</v>
      </c>
      <c r="C17" s="3421"/>
      <c r="D17" s="2661">
        <f>ROUND(D6*E17,0)</f>
        <v>0</v>
      </c>
      <c r="E17" s="2662"/>
      <c r="F17" s="2663" t="s">
        <v>2387</v>
      </c>
      <c r="G17" s="2623"/>
      <c r="H17" s="2598"/>
      <c r="I17" s="2599"/>
      <c r="J17" s="3412"/>
      <c r="K17" s="3414"/>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412"/>
      <c r="K18" s="3414"/>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412"/>
      <c r="K19" s="3415"/>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2">
        <v>3</v>
      </c>
      <c r="K20" s="3413"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412"/>
      <c r="K21" s="3414"/>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412"/>
      <c r="K22" s="3414"/>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412"/>
      <c r="K23" s="3414"/>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412"/>
      <c r="K24" s="3415"/>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422">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42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405" t="s">
        <v>2319</v>
      </c>
      <c r="K32" s="3406"/>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407" t="s">
        <v>2329</v>
      </c>
      <c r="K33" s="3408"/>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407" t="s">
        <v>2331</v>
      </c>
      <c r="K34" s="340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412">
        <v>1</v>
      </c>
      <c r="K36" s="3413"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412"/>
      <c r="K37" s="3414"/>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2"/>
      <c r="K38" s="3414"/>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412"/>
      <c r="K39" s="3414"/>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412"/>
      <c r="K40" s="3415"/>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422">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42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71317-279C-4CE2-B0C4-A70BE89C6CB3}">
  <sheetPr>
    <tabColor rgb="FF92D050"/>
  </sheetPr>
  <dimension ref="A1:AK83"/>
  <sheetViews>
    <sheetView view="pageBreakPreview" zoomScale="70" zoomScaleNormal="70" zoomScaleSheetLayoutView="70" workbookViewId="0">
      <selection activeCell="F10" sqref="F1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3335</v>
      </c>
      <c r="D1" s="1269" t="s">
        <v>43</v>
      </c>
      <c r="E1" s="1270" t="s">
        <v>678</v>
      </c>
      <c r="F1" s="998">
        <f ca="1">J53</f>
        <v>41.38</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1153</v>
      </c>
      <c r="C2" s="1287" t="s">
        <v>805</v>
      </c>
      <c r="D2" s="1287"/>
      <c r="E2" s="1293"/>
      <c r="F2" s="1294"/>
      <c r="G2" s="2477"/>
      <c r="H2" s="2467"/>
      <c r="I2" s="2467"/>
      <c r="J2" s="2467"/>
      <c r="K2" s="2468"/>
      <c r="L2" s="2467"/>
      <c r="M2" s="2467"/>
    </row>
    <row r="3" spans="1:37" ht="18" customHeight="1" thickBot="1">
      <c r="A3" s="1295" t="s">
        <v>806</v>
      </c>
      <c r="B3" s="1296">
        <f ca="1">IF(ISERROR(B2*10000/F43),0,ROUND(B2*10000/F43,0))</f>
        <v>592</v>
      </c>
      <c r="C3" s="1287" t="s">
        <v>807</v>
      </c>
      <c r="D3" s="1287"/>
      <c r="E3" s="1293"/>
      <c r="F3" s="1294"/>
      <c r="G3" s="2477"/>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136</v>
      </c>
      <c r="D5" s="1271" t="s">
        <v>693</v>
      </c>
      <c r="E5" s="1007"/>
      <c r="F5" s="1008"/>
      <c r="G5" s="1290"/>
      <c r="H5" s="290">
        <v>1</v>
      </c>
      <c r="I5" s="291" t="s">
        <v>692</v>
      </c>
      <c r="J5" s="1006">
        <f ca="1">J6+J10+J12</f>
        <v>0</v>
      </c>
      <c r="K5" s="1271" t="s">
        <v>693</v>
      </c>
      <c r="L5" s="1007"/>
      <c r="M5" s="1008"/>
    </row>
    <row r="6" spans="1:37" ht="18" customHeight="1">
      <c r="A6" s="1005" t="s">
        <v>398</v>
      </c>
      <c r="B6" s="3402" t="s">
        <v>694</v>
      </c>
      <c r="C6" s="1010">
        <f ca="1">ROUND(F6*F8*F7*(1-F9)/10000,0)</f>
        <v>136</v>
      </c>
      <c r="D6" s="146" t="s">
        <v>2109</v>
      </c>
      <c r="E6" s="293" t="s">
        <v>696</v>
      </c>
      <c r="F6" s="294">
        <f ca="1">INDIRECT("'数据-取费表'!u"&amp;$G$1)</f>
        <v>400</v>
      </c>
      <c r="G6" s="1290"/>
      <c r="H6" s="1005" t="s">
        <v>398</v>
      </c>
      <c r="I6" s="3402" t="s">
        <v>694</v>
      </c>
      <c r="J6" s="292">
        <f ca="1">ROUND(M6*M8*M7*(1-M9)/10000,0)</f>
        <v>0</v>
      </c>
      <c r="K6" s="146" t="s">
        <v>2108</v>
      </c>
      <c r="L6" s="293" t="s">
        <v>696</v>
      </c>
      <c r="M6" s="294">
        <f ca="1">INDIRECT("'数据-取费表'!z"&amp;$G$1)</f>
        <v>0</v>
      </c>
    </row>
    <row r="7" spans="1:37" ht="18" customHeight="1">
      <c r="A7" s="1009"/>
      <c r="B7" s="3403"/>
      <c r="C7" s="1011"/>
      <c r="D7" s="298"/>
      <c r="E7" s="1012" t="s">
        <v>697</v>
      </c>
      <c r="F7" s="294">
        <f ca="1">IF(INDIRECT("'数据-取费表'!ah"&amp;$G$1)="",INDIRECT("'数据-取费表'!k"&amp;$G$1),INDIRECT("'数据-取费表'!ah"&amp;$G$1))</f>
        <v>315</v>
      </c>
      <c r="G7" s="1290"/>
      <c r="H7" s="295"/>
      <c r="I7" s="3403"/>
      <c r="J7" s="297"/>
      <c r="K7" s="298"/>
      <c r="L7" s="293" t="s">
        <v>697</v>
      </c>
      <c r="M7" s="294">
        <f ca="1">F7</f>
        <v>315</v>
      </c>
    </row>
    <row r="8" spans="1:37" ht="18" customHeight="1">
      <c r="A8" s="295"/>
      <c r="B8" s="3403"/>
      <c r="C8" s="297"/>
      <c r="D8" s="298"/>
      <c r="E8" s="293" t="s">
        <v>698</v>
      </c>
      <c r="F8" s="294">
        <f ca="1">INDIRECT("'数据-取费表'!ai"&amp;$G$1)</f>
        <v>12</v>
      </c>
      <c r="G8" s="1290"/>
      <c r="H8" s="295"/>
      <c r="I8" s="3403"/>
      <c r="J8" s="297"/>
      <c r="K8" s="298"/>
      <c r="L8" s="293" t="s">
        <v>698</v>
      </c>
      <c r="M8" s="294">
        <f ca="1">INDIRECT("'数据-取费表'!ai"&amp;$G$1)</f>
        <v>12</v>
      </c>
    </row>
    <row r="9" spans="1:37" ht="18" customHeight="1">
      <c r="A9" s="295"/>
      <c r="B9" s="3404"/>
      <c r="C9" s="297"/>
      <c r="D9" s="298"/>
      <c r="E9" s="293" t="s">
        <v>699</v>
      </c>
      <c r="F9" s="303">
        <f ca="1">INDIRECT("'数据-取费表'!w"&amp;$G$1)</f>
        <v>0.1</v>
      </c>
      <c r="G9" s="1290"/>
      <c r="H9" s="295"/>
      <c r="I9" s="3404"/>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2"/>
      <c r="G10" s="1290"/>
      <c r="H10" s="1005" t="s">
        <v>402</v>
      </c>
      <c r="I10" s="1272" t="s">
        <v>700</v>
      </c>
      <c r="J10" s="292">
        <f ca="1">ROUND(IF(M10="押一",J6/12*M11,IF(M10="押二",J6/12*2*M11,IF(M10="押三",J6/12*3*M11,J11*M11))),0)</f>
        <v>0</v>
      </c>
      <c r="K10" s="149" t="s">
        <v>2116</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10635</v>
      </c>
      <c r="D13" s="1017" t="s">
        <v>705</v>
      </c>
      <c r="E13" s="1017" t="s">
        <v>706</v>
      </c>
      <c r="F13" s="1018">
        <f ca="1">INDIRECT("'数据-取费表'!y"&amp;$G$1)</f>
        <v>0.93</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8763</v>
      </c>
      <c r="D14" s="1255" t="s">
        <v>708</v>
      </c>
      <c r="E14" s="1253"/>
      <c r="F14" s="310"/>
      <c r="G14" s="1290"/>
      <c r="H14" s="927" t="s">
        <v>398</v>
      </c>
      <c r="I14" s="293" t="s">
        <v>709</v>
      </c>
      <c r="J14" s="21">
        <f ca="1">C29</f>
        <v>11436</v>
      </c>
      <c r="K14" s="12"/>
      <c r="L14" s="758"/>
      <c r="M14" s="759"/>
    </row>
    <row r="15" spans="1:37" s="1302" customFormat="1" ht="18" customHeight="1" thickBot="1">
      <c r="A15" s="927" t="s">
        <v>399</v>
      </c>
      <c r="B15" s="293" t="s">
        <v>710</v>
      </c>
      <c r="C15" s="21">
        <f ca="1">ROUND(C14*F15,0)</f>
        <v>263</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58</v>
      </c>
      <c r="K16" s="1023" t="s">
        <v>715</v>
      </c>
      <c r="L16" s="1024"/>
      <c r="M16" s="1008"/>
    </row>
    <row r="17" spans="1:37" s="1302" customFormat="1" ht="18" customHeight="1">
      <c r="A17" s="927" t="s">
        <v>681</v>
      </c>
      <c r="B17" s="293" t="s">
        <v>716</v>
      </c>
      <c r="C17" s="21">
        <f ca="1">ROUND(F17*(F43+INDIRECT("'数据-取费表'!S"&amp;$G$1))/10000,0)</f>
        <v>394</v>
      </c>
      <c r="D17" s="293" t="s">
        <v>717</v>
      </c>
      <c r="E17" s="293" t="s">
        <v>718</v>
      </c>
      <c r="F17" s="23">
        <f>'数据-取费表'!B35</f>
        <v>200</v>
      </c>
      <c r="G17" s="1301"/>
      <c r="H17" s="927" t="s">
        <v>398</v>
      </c>
      <c r="I17" s="293" t="s">
        <v>719</v>
      </c>
      <c r="J17" s="2138">
        <f ca="1">ROUND(IF(AND(项目基本情况!B11="自然人",项目基本情况!B10="北京市"),J6*M17/(1+'数据-取费表'!C42),J18+J19+J20),2)</f>
        <v>0.92</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175</v>
      </c>
      <c r="D18" s="293" t="s">
        <v>711</v>
      </c>
      <c r="E18" s="293" t="s">
        <v>712</v>
      </c>
      <c r="F18" s="313">
        <f>'数据-取费表'!B36</f>
        <v>0.02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9595</v>
      </c>
      <c r="D19" s="123" t="s">
        <v>726</v>
      </c>
      <c r="E19" s="1267"/>
      <c r="F19" s="23"/>
      <c r="G19" s="1290"/>
      <c r="H19" s="927" t="s">
        <v>399</v>
      </c>
      <c r="I19" s="293" t="s">
        <v>727</v>
      </c>
      <c r="J19" s="21">
        <f ca="1">IF(K19="按租金收入计税",ROUND(J6*M19/(1+'数据-取费表'!C42),2),ROUND(C29*M19*0.7,2))</f>
        <v>0</v>
      </c>
      <c r="K19" s="1276" t="s">
        <v>3338</v>
      </c>
      <c r="L19" s="293" t="s">
        <v>712</v>
      </c>
      <c r="M19" s="313">
        <f>IF(K19="按租金收入计税",'数据-取费表'!B51,'数据-取费表'!B50)</f>
        <v>0.12</v>
      </c>
    </row>
    <row r="20" spans="1:37" s="1302" customFormat="1" ht="18" customHeight="1">
      <c r="A20" s="927" t="s">
        <v>402</v>
      </c>
      <c r="B20" s="293" t="s">
        <v>728</v>
      </c>
      <c r="C20" s="21">
        <f ca="1">ROUND(C19*F20,0)</f>
        <v>192</v>
      </c>
      <c r="D20" s="314" t="s">
        <v>729</v>
      </c>
      <c r="E20" s="293" t="s">
        <v>712</v>
      </c>
      <c r="F20" s="313">
        <f>'数据-取费表'!B37</f>
        <v>0.02</v>
      </c>
      <c r="G20" s="1301"/>
      <c r="H20" s="927" t="s">
        <v>680</v>
      </c>
      <c r="I20" s="146" t="s">
        <v>730</v>
      </c>
      <c r="J20" s="22">
        <f ca="1">ROUND(M20*M21/10000,2)</f>
        <v>0.92</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6107.9000000000005</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7"/>
      <c r="F22" s="23"/>
      <c r="G22" s="1290"/>
      <c r="H22" s="927" t="s">
        <v>402</v>
      </c>
      <c r="I22" s="293" t="s">
        <v>738</v>
      </c>
      <c r="J22" s="21">
        <f ca="1">ROUND(J14*M22,2)</f>
        <v>57.18</v>
      </c>
      <c r="K22" s="1254" t="s">
        <v>739</v>
      </c>
      <c r="L22" s="293" t="s">
        <v>712</v>
      </c>
      <c r="M22" s="319">
        <f ca="1">INDIRECT("'数据-取费表'!Ak"&amp;$G$1)</f>
        <v>5.0000000000000001E-3</v>
      </c>
    </row>
    <row r="23" spans="1:37" s="1302" customFormat="1" ht="18" customHeight="1">
      <c r="A23" s="927" t="s">
        <v>397</v>
      </c>
      <c r="B23" s="293" t="s">
        <v>740</v>
      </c>
      <c r="C23" s="21">
        <f ca="1">IF('数据-取费表'!B22&lt;=1,ROUND(C19*F24*F23/2,0)+ROUND(C20*F24*F23/2,0),ROUND(C19*(POWER((1+F24),F23/2)-1),0)+ROUND(C20*(POWER((1+F24),F23/2)-1),0))</f>
        <v>303</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712</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683</v>
      </c>
      <c r="I24" s="1026" t="s">
        <v>728</v>
      </c>
      <c r="J24" s="1027">
        <f ca="1">ROUND(J5*M24,2)</f>
        <v>0</v>
      </c>
      <c r="K24" s="1028" t="s">
        <v>748</v>
      </c>
      <c r="L24" s="1026" t="s">
        <v>712</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3" t="s">
        <v>751</v>
      </c>
      <c r="E25" s="1267"/>
      <c r="F25" s="23"/>
      <c r="G25" s="1290"/>
      <c r="H25" s="1015" t="s">
        <v>394</v>
      </c>
      <c r="I25" s="1030" t="s">
        <v>752</v>
      </c>
      <c r="J25" s="301">
        <f ca="1">J5-J16</f>
        <v>-58</v>
      </c>
      <c r="K25" s="1031" t="s">
        <v>753</v>
      </c>
      <c r="L25" s="1032"/>
      <c r="M25" s="1033"/>
    </row>
    <row r="26" spans="1:37">
      <c r="A26" s="927" t="s">
        <v>397</v>
      </c>
      <c r="B26" s="293" t="s">
        <v>754</v>
      </c>
      <c r="C26" s="21">
        <f ca="1">ROUND((C19+C20)*F26,0)</f>
        <v>489</v>
      </c>
      <c r="D26" s="314" t="s">
        <v>755</v>
      </c>
      <c r="E26" s="304" t="s">
        <v>756</v>
      </c>
      <c r="F26" s="303">
        <f ca="1">INDIRECT("'数据-取费表'!q"&amp;$G$1)</f>
        <v>0.05</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11436</v>
      </c>
      <c r="D29" s="1028"/>
      <c r="E29" s="1026"/>
      <c r="F29" s="1029"/>
      <c r="G29" s="1301"/>
      <c r="H29" s="324" t="s">
        <v>396</v>
      </c>
      <c r="I29" s="325" t="s">
        <v>768</v>
      </c>
      <c r="J29" s="326">
        <f ca="1">ROUND(J26/(1+F40)^F41,0)</f>
        <v>0</v>
      </c>
      <c r="K29" s="327" t="s">
        <v>769</v>
      </c>
      <c r="L29" s="328"/>
      <c r="M29" s="329">
        <f ca="1">INDIRECT("'数据-取费表'!k"&amp;$G$1)</f>
        <v>19473.41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93</v>
      </c>
      <c r="D30" s="1023" t="s">
        <v>715</v>
      </c>
      <c r="E30" s="1024"/>
      <c r="F30" s="1008"/>
      <c r="G30" s="1290"/>
      <c r="H30" s="2469"/>
      <c r="I30" s="1303"/>
      <c r="J30" s="1304"/>
      <c r="K30" s="121"/>
      <c r="L30" s="2470"/>
      <c r="M30" s="2471"/>
    </row>
    <row r="31" spans="1:37" ht="18" customHeight="1">
      <c r="A31" s="927" t="s">
        <v>398</v>
      </c>
      <c r="B31" s="293" t="s">
        <v>719</v>
      </c>
      <c r="C31" s="2138">
        <f ca="1">ROUND(IF(AND(项目基本情况!B11="自然人",项目基本情况!B10="北京市"),C6*F31/(1+'数据-取费表'!C42),C32+C33+C34),2)</f>
        <v>23.71</v>
      </c>
      <c r="D31" s="1255" t="s">
        <v>720</v>
      </c>
      <c r="E31" s="1254" t="s">
        <v>770</v>
      </c>
      <c r="F31" s="2137" t="str">
        <f>IF(项目基本情况!B11="企业","——",IF(M47="住宅",IF(F6*F7*F8/12/(1+'数据-取费表'!F30)&gt;100000,4%,2.5%),IF(F6*F7*F8/12/(1+'数据-取费表'!F30)&gt;100000,12%,7%)))</f>
        <v>——</v>
      </c>
      <c r="G31" s="1290"/>
      <c r="H31" s="2568" t="s">
        <v>2308</v>
      </c>
      <c r="I31" s="1303"/>
      <c r="J31" s="1304"/>
      <c r="K31" s="121"/>
      <c r="L31" s="2470"/>
      <c r="M31" s="2471"/>
    </row>
    <row r="32" spans="1:37" ht="18" customHeight="1">
      <c r="A32" s="927" t="s">
        <v>397</v>
      </c>
      <c r="B32" s="293" t="s">
        <v>723</v>
      </c>
      <c r="C32" s="21">
        <f ca="1">IF(项目基本情况!B11="自然人","——",ROUND(C6*F32/(1+'数据-取费表'!C42),2))</f>
        <v>7.25</v>
      </c>
      <c r="D32" s="1254" t="s">
        <v>724</v>
      </c>
      <c r="E32" s="293" t="s">
        <v>712</v>
      </c>
      <c r="F32" s="321">
        <f>'数据-取费表'!B41</f>
        <v>5.6000000000000001E-2</v>
      </c>
      <c r="G32" s="1290"/>
      <c r="H32" s="2469"/>
      <c r="I32" s="1303"/>
      <c r="J32" s="1304"/>
      <c r="K32" s="121"/>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15.54</v>
      </c>
      <c r="D33" s="1276" t="s">
        <v>3338</v>
      </c>
      <c r="E33" s="293" t="s">
        <v>712</v>
      </c>
      <c r="F33" s="313">
        <f>IF(D33="按票据","——",IF(D33="按租金收入计税",'数据-取费表'!B51,'数据-取费表'!B50))</f>
        <v>0.12</v>
      </c>
      <c r="G33" s="1290"/>
      <c r="H33" s="2472"/>
      <c r="I33" s="1303"/>
      <c r="J33" s="1304"/>
      <c r="K33" s="2473"/>
      <c r="L33" s="2472"/>
      <c r="M33" s="2472"/>
    </row>
    <row r="34" spans="1:18" ht="18" customHeight="1">
      <c r="A34" s="1005" t="s">
        <v>680</v>
      </c>
      <c r="B34" s="146" t="s">
        <v>730</v>
      </c>
      <c r="C34" s="22">
        <f ca="1">IF(项目基本情况!B11="自然人","——",ROUND(F34*F35/10000,2))</f>
        <v>0.92</v>
      </c>
      <c r="D34" s="315" t="s">
        <v>731</v>
      </c>
      <c r="E34" s="293" t="s">
        <v>732</v>
      </c>
      <c r="F34" s="316">
        <f>'数据-取费表'!B52</f>
        <v>1.5</v>
      </c>
      <c r="G34" s="1290"/>
      <c r="H34" s="2469"/>
      <c r="I34" s="1303"/>
      <c r="J34" s="1304"/>
      <c r="K34" s="2474"/>
      <c r="L34" s="2475"/>
      <c r="M34" s="2475"/>
    </row>
    <row r="35" spans="1:18" ht="18" customHeight="1">
      <c r="A35" s="1039"/>
      <c r="B35" s="1037"/>
      <c r="C35" s="26"/>
      <c r="D35" s="318"/>
      <c r="E35" s="293" t="s">
        <v>736</v>
      </c>
      <c r="F35" s="294">
        <f ca="1">INDIRECT("'数据-取费表'!r"&amp;$G$1)</f>
        <v>6107.9000000000005</v>
      </c>
      <c r="G35" s="1290"/>
      <c r="H35" s="2469"/>
      <c r="I35" s="1303"/>
      <c r="J35" s="1304"/>
      <c r="K35" s="2473"/>
      <c r="L35" s="2472"/>
      <c r="M35" s="2472"/>
    </row>
    <row r="36" spans="1:18" ht="18" customHeight="1">
      <c r="A36" s="1038" t="s">
        <v>402</v>
      </c>
      <c r="B36" s="293" t="s">
        <v>738</v>
      </c>
      <c r="C36" s="21">
        <f ca="1">ROUND(C29*F36,2)</f>
        <v>57.18</v>
      </c>
      <c r="D36" s="1254" t="s">
        <v>771</v>
      </c>
      <c r="E36" s="293" t="s">
        <v>712</v>
      </c>
      <c r="F36" s="319">
        <f ca="1">INDIRECT("'数据-取费表'!Ak"&amp;$G$1)</f>
        <v>5.0000000000000001E-3</v>
      </c>
      <c r="G36" s="1290"/>
      <c r="H36" s="2472"/>
      <c r="I36" s="1303"/>
      <c r="J36" s="1304"/>
      <c r="K36" s="2329"/>
      <c r="L36" s="2472"/>
      <c r="M36" s="2472"/>
    </row>
    <row r="37" spans="1:18" ht="18" customHeight="1">
      <c r="A37" s="927" t="s">
        <v>437</v>
      </c>
      <c r="B37" s="293" t="s">
        <v>742</v>
      </c>
      <c r="C37" s="21">
        <f ca="1">ROUND(C13*F37,2)</f>
        <v>10.64</v>
      </c>
      <c r="D37" s="1254" t="s">
        <v>743</v>
      </c>
      <c r="E37" s="293" t="s">
        <v>712</v>
      </c>
      <c r="F37" s="320">
        <f ca="1">INDIRECT("'数据-取费表'!Al"&amp;$G$1)</f>
        <v>1E-3</v>
      </c>
      <c r="G37" s="1290"/>
      <c r="H37" s="2472"/>
      <c r="I37" s="1303"/>
      <c r="J37" s="1304"/>
      <c r="K37" s="2329"/>
      <c r="L37" s="2472"/>
      <c r="M37" s="2472"/>
    </row>
    <row r="38" spans="1:18" ht="18" customHeight="1" thickBot="1">
      <c r="A38" s="1025" t="s">
        <v>683</v>
      </c>
      <c r="B38" s="1026" t="s">
        <v>728</v>
      </c>
      <c r="C38" s="1027">
        <f ca="1">ROUND(C5*F38,2)</f>
        <v>1.36</v>
      </c>
      <c r="D38" s="1028" t="s">
        <v>748</v>
      </c>
      <c r="E38" s="1026" t="s">
        <v>712</v>
      </c>
      <c r="F38" s="1022">
        <f ca="1">INDIRECT("'数据-取费表'!Am"&amp;$G$1)</f>
        <v>0.01</v>
      </c>
      <c r="G38" s="1290"/>
      <c r="H38" s="2472"/>
      <c r="I38" s="1303"/>
      <c r="J38" s="1304"/>
      <c r="K38" s="2470"/>
      <c r="L38" s="2472"/>
      <c r="M38" s="2472"/>
    </row>
    <row r="39" spans="1:18" ht="24.6" customHeight="1" thickTop="1">
      <c r="A39" s="1015" t="s">
        <v>394</v>
      </c>
      <c r="B39" s="1030" t="s">
        <v>752</v>
      </c>
      <c r="C39" s="301">
        <f ca="1">C5-C30</f>
        <v>43</v>
      </c>
      <c r="D39" s="1031" t="s">
        <v>753</v>
      </c>
      <c r="E39" s="1032"/>
      <c r="F39" s="1033"/>
      <c r="G39" s="1290"/>
      <c r="H39" s="2472"/>
      <c r="I39" s="1303"/>
      <c r="J39" s="1304"/>
      <c r="K39" s="2470"/>
      <c r="L39" s="2472"/>
      <c r="M39" s="2472"/>
    </row>
    <row r="40" spans="1:18" ht="18" customHeight="1">
      <c r="A40" s="290" t="s">
        <v>395</v>
      </c>
      <c r="B40" s="291" t="s">
        <v>774</v>
      </c>
      <c r="C40" s="292">
        <f ca="1">ROUND(C39*(1-((1+F42)/(1+F40))^F41)/(F40-F42),0)</f>
        <v>924</v>
      </c>
      <c r="D40" s="315" t="s">
        <v>758</v>
      </c>
      <c r="E40" s="293" t="s">
        <v>759</v>
      </c>
      <c r="F40" s="303">
        <f ca="1">INDIRECT("'数据-取费表'!I"&amp;$G$1)</f>
        <v>5.5E-2</v>
      </c>
      <c r="G40" s="1290"/>
      <c r="H40" s="1364"/>
      <c r="I40" s="1303"/>
      <c r="J40" s="1304"/>
      <c r="K40" s="2470"/>
      <c r="L40" s="1364"/>
      <c r="M40" s="1364"/>
    </row>
    <row r="41" spans="1:18" ht="18" customHeight="1">
      <c r="A41" s="295"/>
      <c r="B41" s="296"/>
      <c r="C41" s="297"/>
      <c r="D41" s="322" t="s">
        <v>775</v>
      </c>
      <c r="E41" s="293" t="s">
        <v>763</v>
      </c>
      <c r="F41" s="323">
        <f ca="1">IF(INDIRECT("'数据-取费表'!af"&amp;$G$1)=0,INDIRECT("'数据-取费表'!ae"&amp;$G$1),INDIRECT("'数据-取费表'!af"&amp;$G$1))</f>
        <v>41.38</v>
      </c>
      <c r="G41" s="1290"/>
      <c r="H41" s="121"/>
      <c r="I41" s="1303"/>
      <c r="J41" s="1304"/>
      <c r="K41" s="2329"/>
      <c r="L41" s="121"/>
      <c r="M41" s="121"/>
    </row>
    <row r="42" spans="1:18" ht="18" customHeight="1">
      <c r="A42" s="299"/>
      <c r="B42" s="300"/>
      <c r="C42" s="301"/>
      <c r="D42" s="318"/>
      <c r="E42" s="293" t="s">
        <v>766</v>
      </c>
      <c r="F42" s="303">
        <f ca="1">INDIRECT("'数据-取费表'!v"&amp;$G$1)</f>
        <v>0.02</v>
      </c>
      <c r="G42" s="1290"/>
      <c r="H42" s="121"/>
      <c r="I42" s="1303"/>
      <c r="J42" s="1304"/>
      <c r="K42" s="2329"/>
      <c r="L42" s="121"/>
      <c r="M42" s="121"/>
    </row>
    <row r="43" spans="1:18" ht="18" customHeight="1" thickBot="1">
      <c r="A43" s="324" t="s">
        <v>396</v>
      </c>
      <c r="B43" s="325" t="s">
        <v>776</v>
      </c>
      <c r="C43" s="326">
        <f ca="1">ROUND(C40*10000/F43,0)</f>
        <v>474</v>
      </c>
      <c r="D43" s="327" t="s">
        <v>777</v>
      </c>
      <c r="E43" s="328" t="s">
        <v>778</v>
      </c>
      <c r="F43" s="329">
        <f ca="1">INDIRECT("'数据-取费表'!k"&amp;$G$1)</f>
        <v>19473.41</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8" thickBot="1">
      <c r="A46" s="1309" t="s">
        <v>809</v>
      </c>
      <c r="C46" s="1310">
        <f ca="1">C68-C40</f>
        <v>-2042</v>
      </c>
      <c r="D46" s="1311" t="str">
        <f>C2</f>
        <v>万元</v>
      </c>
      <c r="E46" s="1305"/>
      <c r="F46" s="1305"/>
      <c r="I46" s="1312" t="s">
        <v>810</v>
      </c>
      <c r="J46" s="1313"/>
      <c r="K46" s="1314"/>
      <c r="L46" s="1315">
        <f ca="1">IF(M47="住宅",0,IF(L48&gt;J51,L60,J60))</f>
        <v>229</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0"/>
      <c r="I47" s="1319" t="s">
        <v>815</v>
      </c>
      <c r="J47" s="1320" t="s">
        <v>3615</v>
      </c>
      <c r="K47" s="1321" t="s">
        <v>816</v>
      </c>
      <c r="L47" s="1322">
        <f ca="1">INDIRECT("'数据-取费表'!d"&amp;$G$1)</f>
        <v>50</v>
      </c>
      <c r="M47" s="1286" t="str">
        <f>IF(ISNUMBER(FIND("住宅",C1)),"住宅","非住宅")</f>
        <v>非住宅</v>
      </c>
      <c r="O47" s="1323" t="s">
        <v>403</v>
      </c>
      <c r="P47" s="1324" t="s">
        <v>817</v>
      </c>
      <c r="Q47" s="1325">
        <f ca="1">C40+J29</f>
        <v>924</v>
      </c>
      <c r="R47" s="1325" t="s">
        <v>818</v>
      </c>
    </row>
    <row r="48" spans="1:18" s="1290" customFormat="1" ht="40.200000000000003" thickBot="1">
      <c r="A48" s="1046" t="s">
        <v>438</v>
      </c>
      <c r="B48" s="291" t="s">
        <v>692</v>
      </c>
      <c r="C48" s="1266">
        <f ca="1">C49+C53+C55</f>
        <v>0</v>
      </c>
      <c r="D48" s="1048"/>
      <c r="E48" s="1049"/>
      <c r="F48" s="907"/>
      <c r="G48" s="680"/>
      <c r="H48" s="681"/>
      <c r="I48" s="1326" t="s">
        <v>819</v>
      </c>
      <c r="J48" s="1327" t="s">
        <v>3616</v>
      </c>
      <c r="K48" s="1328" t="s">
        <v>820</v>
      </c>
      <c r="L48" s="1329">
        <f ca="1">INDIRECT("'数据-取费表'!f"&amp;$G$1)</f>
        <v>41.38</v>
      </c>
      <c r="O48" s="1323" t="s">
        <v>404</v>
      </c>
      <c r="P48" s="1324" t="s">
        <v>821</v>
      </c>
      <c r="Q48" s="1325">
        <f ca="1">J60</f>
        <v>229</v>
      </c>
      <c r="R48" s="1325" t="s">
        <v>822</v>
      </c>
    </row>
    <row r="49" spans="1:18" s="1290" customFormat="1" ht="13.8" thickBot="1">
      <c r="A49" s="920" t="s">
        <v>439</v>
      </c>
      <c r="B49" s="1277" t="s">
        <v>779</v>
      </c>
      <c r="C49" s="1050">
        <f ca="1">ROUND(F49*F51*F50*(1-F52)/10000,0)</f>
        <v>0</v>
      </c>
      <c r="D49" s="991" t="s">
        <v>2108</v>
      </c>
      <c r="E49" s="1278" t="s">
        <v>780</v>
      </c>
      <c r="F49" s="996"/>
      <c r="H49" s="681"/>
      <c r="I49" s="1326" t="s">
        <v>823</v>
      </c>
      <c r="J49" s="1330">
        <f>'数据-取费表'!N18</f>
        <v>2020</v>
      </c>
      <c r="K49" s="1328" t="s">
        <v>824</v>
      </c>
      <c r="L49" s="1331"/>
      <c r="O49" s="1332" t="s">
        <v>405</v>
      </c>
      <c r="P49" s="1324" t="s">
        <v>825</v>
      </c>
      <c r="Q49" s="1325">
        <f ca="1">C29</f>
        <v>11436</v>
      </c>
      <c r="R49" s="1325" t="s">
        <v>818</v>
      </c>
    </row>
    <row r="50" spans="1:18" s="1290" customFormat="1" ht="13.8" thickBot="1">
      <c r="A50" s="921"/>
      <c r="B50" s="924"/>
      <c r="C50" s="1054"/>
      <c r="D50" s="898"/>
      <c r="E50" s="992" t="s">
        <v>697</v>
      </c>
      <c r="F50" s="993">
        <f ca="1">F7</f>
        <v>315</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4">
        <f ca="1">F8</f>
        <v>12</v>
      </c>
      <c r="I51" s="1336" t="s">
        <v>829</v>
      </c>
      <c r="J51" s="1329">
        <f>IF(J49="",J50,J49+J50-YEAR('数据-取费表'!B2))</f>
        <v>56</v>
      </c>
      <c r="K51" s="1337" t="s">
        <v>830</v>
      </c>
      <c r="L51" s="1338">
        <f ca="1">ROUND(-PV(INDIRECT("'数据-取费表'!h"&amp;$G$1),J51,(C39-C13*C76),0),0)</f>
        <v>-13116</v>
      </c>
      <c r="M51" s="1339"/>
      <c r="O51" s="1332" t="s">
        <v>407</v>
      </c>
      <c r="P51" s="1324" t="s">
        <v>831</v>
      </c>
      <c r="Q51" s="1335">
        <f>J52</f>
        <v>7.4999999999999997E-2</v>
      </c>
      <c r="R51" s="1325"/>
    </row>
    <row r="52" spans="1:18" s="1290" customFormat="1" ht="13.8" thickBot="1">
      <c r="A52" s="922"/>
      <c r="B52" s="924"/>
      <c r="C52" s="925"/>
      <c r="D52" s="898"/>
      <c r="E52" s="926" t="s">
        <v>699</v>
      </c>
      <c r="F52" s="990"/>
      <c r="I52" s="1340" t="s">
        <v>832</v>
      </c>
      <c r="J52" s="1341">
        <v>7.4999999999999997E-2</v>
      </c>
      <c r="K52" s="1340" t="s">
        <v>833</v>
      </c>
      <c r="L52" s="1341"/>
      <c r="O52" s="1332" t="s">
        <v>408</v>
      </c>
      <c r="P52" s="1324" t="s">
        <v>834</v>
      </c>
      <c r="Q52" s="1325">
        <f ca="1">J53</f>
        <v>41.38</v>
      </c>
      <c r="R52" s="1325" t="s">
        <v>835</v>
      </c>
    </row>
    <row r="53" spans="1:18" s="1290" customFormat="1" ht="36.6" thickBot="1">
      <c r="A53" s="1077" t="s">
        <v>440</v>
      </c>
      <c r="B53" s="1279" t="s">
        <v>700</v>
      </c>
      <c r="C53" s="307">
        <f ca="1">ROUND(IF(F53="押一",C49/12*F11,IF(F53="押二",C49/12*2*F11,IF(F53="押三",C49/12*3*F11,C54*F11))),0)</f>
        <v>0</v>
      </c>
      <c r="D53" s="149" t="s">
        <v>2116</v>
      </c>
      <c r="E53" s="304" t="s">
        <v>701</v>
      </c>
      <c r="F53" s="1052"/>
      <c r="I53" s="1342" t="s">
        <v>836</v>
      </c>
      <c r="J53" s="2004">
        <f ca="1">IF(M47="住宅",IF(D1="——",MAX(J51,L48),MAX(J51,L48-'数据-取费表'!B24)),IF(D1="——",MIN(J51,L48),MIN(J51,L48-'数据-取费表'!B24)))</f>
        <v>41.38</v>
      </c>
      <c r="K53" s="3400" t="s">
        <v>837</v>
      </c>
      <c r="L53" s="3401"/>
      <c r="O53" s="1323" t="s">
        <v>409</v>
      </c>
      <c r="P53" s="1324" t="s">
        <v>838</v>
      </c>
      <c r="Q53" s="1325">
        <f ca="1">Q47+Q48</f>
        <v>1153</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49"/>
      <c r="E55" s="1280"/>
      <c r="F55" s="1343"/>
      <c r="I55" s="1346" t="s">
        <v>840</v>
      </c>
      <c r="J55" s="1347">
        <f ca="1">ROUND(IF(J47="钢混",J57/J50,1-(1-2%)*(J50-J57)/J50),3)</f>
        <v>0.24399999999999999</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10635</v>
      </c>
      <c r="D56" s="1350"/>
      <c r="E56" s="1351"/>
      <c r="F56" s="1343"/>
      <c r="I56" s="1352" t="s">
        <v>842</v>
      </c>
      <c r="J56" s="1353" t="s">
        <v>3614</v>
      </c>
      <c r="K56" s="1326" t="s">
        <v>843</v>
      </c>
      <c r="L56" s="1329" t="str">
        <f ca="1">IF(L48&lt;J51,"——",L48-J53)</f>
        <v>——</v>
      </c>
      <c r="O56" s="1323" t="s">
        <v>403</v>
      </c>
      <c r="P56" s="1324" t="s">
        <v>817</v>
      </c>
      <c r="Q56" s="1325">
        <f ca="1">C40+J29</f>
        <v>924</v>
      </c>
      <c r="R56" s="1325" t="s">
        <v>818</v>
      </c>
    </row>
    <row r="57" spans="1:18" s="1290" customFormat="1" ht="24.6" thickBot="1">
      <c r="A57" s="1354"/>
      <c r="B57" s="895" t="s">
        <v>767</v>
      </c>
      <c r="C57" s="229">
        <f ca="1">C29</f>
        <v>11436</v>
      </c>
      <c r="D57" s="1355"/>
      <c r="E57" s="1356"/>
      <c r="F57" s="1357"/>
      <c r="I57" s="1358" t="s">
        <v>844</v>
      </c>
      <c r="J57" s="1359">
        <f ca="1">IF(OR(M47="住宅",J51&lt;L48,J56="是"),"——",J51-L48)</f>
        <v>14.619999999999997</v>
      </c>
      <c r="K57" s="1326" t="s">
        <v>845</v>
      </c>
      <c r="L57" s="1329" t="str">
        <f ca="1">IF(L48&lt;J51,"——",IF(L55="比较法",L49,IF(L55="基准地价",L50,L51)))</f>
        <v>——</v>
      </c>
      <c r="O57" s="1323" t="s">
        <v>404</v>
      </c>
      <c r="P57" s="1324" t="s">
        <v>846</v>
      </c>
      <c r="Q57" s="1325">
        <f ca="1">L60</f>
        <v>0</v>
      </c>
      <c r="R57" s="1325" t="s">
        <v>847</v>
      </c>
    </row>
    <row r="58" spans="1:18" s="1290" customFormat="1" ht="24.6" thickBot="1">
      <c r="A58" s="306" t="s">
        <v>393</v>
      </c>
      <c r="B58" s="903" t="s">
        <v>714</v>
      </c>
      <c r="C58" s="307">
        <f ca="1">ROUND(C59+C64+C65+C66,0)</f>
        <v>69</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1</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4574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1" t="s">
        <v>853</v>
      </c>
      <c r="J60" s="1362">
        <f ca="1">IF(OR(M47="住宅",J51&lt;L48,J56="是"),"0",ROUND(J59/(1+J52)^J53,0))</f>
        <v>229</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727</v>
      </c>
      <c r="C61" s="21">
        <f ca="1">IF(项目基本情况!B11="自然人","——",IF(D61="按租金收入计税",ROUND(C49*F61/(1+'数据-取费表'!C42),2),IF(D61="按房产原值计税",ROUND(C57*F61*0.7,2),INDIRECT("'数据-取费表'!Aj"&amp;$G$1))))</f>
        <v>0</v>
      </c>
      <c r="D61" s="1276" t="s">
        <v>3338</v>
      </c>
      <c r="E61" s="895" t="s">
        <v>712</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730</v>
      </c>
      <c r="C62" s="22">
        <f ca="1">IF(项目基本情况!B11="自然人","——",ROUND(F62*F63/10000,2))</f>
        <v>0.92</v>
      </c>
      <c r="D62" s="910" t="s">
        <v>731</v>
      </c>
      <c r="E62" s="895" t="s">
        <v>732</v>
      </c>
      <c r="F62" s="316">
        <f t="shared" si="0"/>
        <v>1.5</v>
      </c>
      <c r="I62" s="1365" t="s">
        <v>858</v>
      </c>
      <c r="J62" s="609" t="s">
        <v>859</v>
      </c>
      <c r="K62" s="609" t="s">
        <v>860</v>
      </c>
      <c r="L62" s="609" t="s">
        <v>861</v>
      </c>
      <c r="M62" s="1366" t="s">
        <v>862</v>
      </c>
      <c r="O62" s="1323" t="s">
        <v>409</v>
      </c>
      <c r="P62" s="1324" t="s">
        <v>838</v>
      </c>
      <c r="Q62" s="1325">
        <f ca="1">Q56+Q57</f>
        <v>924</v>
      </c>
      <c r="R62" s="1325" t="s">
        <v>410</v>
      </c>
    </row>
    <row r="63" spans="1:18" s="1290" customFormat="1" ht="13.8" thickBot="1">
      <c r="A63" s="317"/>
      <c r="B63" s="901"/>
      <c r="C63" s="26"/>
      <c r="D63" s="911"/>
      <c r="E63" s="895" t="s">
        <v>736</v>
      </c>
      <c r="F63" s="294">
        <f t="shared" ca="1" si="0"/>
        <v>6107.9000000000005</v>
      </c>
      <c r="I63" s="1365" t="s">
        <v>864</v>
      </c>
      <c r="J63" s="609">
        <v>70</v>
      </c>
      <c r="K63" s="609">
        <v>50</v>
      </c>
      <c r="L63" s="609">
        <v>80</v>
      </c>
      <c r="M63" s="1367">
        <v>0.02</v>
      </c>
      <c r="O63" s="1308" t="s">
        <v>865</v>
      </c>
      <c r="P63" s="1287"/>
      <c r="Q63" s="1287"/>
      <c r="R63" s="1287"/>
    </row>
    <row r="64" spans="1:18" s="1290" customFormat="1" ht="13.8" thickBot="1">
      <c r="A64" s="927" t="s">
        <v>402</v>
      </c>
      <c r="B64" s="895" t="s">
        <v>738</v>
      </c>
      <c r="C64" s="21">
        <f ca="1">ROUND(C57*F64,2)</f>
        <v>57.18</v>
      </c>
      <c r="D64" s="909" t="s">
        <v>771</v>
      </c>
      <c r="E64" s="895" t="s">
        <v>712</v>
      </c>
      <c r="F64" s="319">
        <f t="shared" ca="1" si="0"/>
        <v>5.0000000000000001E-3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10.64</v>
      </c>
      <c r="D65" s="909" t="s">
        <v>743</v>
      </c>
      <c r="E65" s="895" t="s">
        <v>712</v>
      </c>
      <c r="F65" s="320">
        <f t="shared" ca="1" si="0"/>
        <v>1E-3</v>
      </c>
      <c r="I65" s="1365" t="s">
        <v>867</v>
      </c>
      <c r="J65" s="609">
        <v>40</v>
      </c>
      <c r="K65" s="609">
        <v>30</v>
      </c>
      <c r="L65" s="609">
        <v>50</v>
      </c>
      <c r="M65" s="1367">
        <v>0.02</v>
      </c>
      <c r="O65" s="1323" t="s">
        <v>403</v>
      </c>
      <c r="P65" s="1324" t="s">
        <v>817</v>
      </c>
      <c r="Q65" s="1325">
        <f ca="1">C40+J29</f>
        <v>924</v>
      </c>
      <c r="R65" s="1325" t="s">
        <v>818</v>
      </c>
    </row>
    <row r="66" spans="1:18" s="1290" customFormat="1" ht="16.2" thickBot="1">
      <c r="A66" s="927" t="s">
        <v>793</v>
      </c>
      <c r="B66" s="895" t="s">
        <v>728</v>
      </c>
      <c r="C66" s="21">
        <f ca="1">ROUND(C48*F66,2)</f>
        <v>0</v>
      </c>
      <c r="D66" s="909" t="s">
        <v>748</v>
      </c>
      <c r="E66" s="895" t="s">
        <v>712</v>
      </c>
      <c r="F66" s="303">
        <f t="shared" ca="1" si="0"/>
        <v>0.01</v>
      </c>
      <c r="O66" s="1323" t="s">
        <v>404</v>
      </c>
      <c r="P66" s="1324" t="s">
        <v>846</v>
      </c>
      <c r="Q66" s="1325">
        <f ca="1">L60</f>
        <v>0</v>
      </c>
      <c r="R66" s="1325" t="s">
        <v>869</v>
      </c>
    </row>
    <row r="67" spans="1:18" s="1290" customFormat="1" ht="24.6" thickBot="1">
      <c r="A67" s="902" t="s">
        <v>394</v>
      </c>
      <c r="B67" s="912" t="s">
        <v>752</v>
      </c>
      <c r="C67" s="307">
        <f ca="1">C48-C58</f>
        <v>-69</v>
      </c>
      <c r="D67" s="908" t="s">
        <v>753</v>
      </c>
      <c r="E67" s="913"/>
      <c r="F67" s="914"/>
      <c r="O67" s="1332" t="s">
        <v>405</v>
      </c>
      <c r="P67" s="1324" t="s">
        <v>850</v>
      </c>
      <c r="Q67" s="1368">
        <f ca="1">L51</f>
        <v>-13116</v>
      </c>
      <c r="R67" s="1325" t="s">
        <v>870</v>
      </c>
    </row>
    <row r="68" spans="1:18" s="1290" customFormat="1" ht="16.2" thickBot="1">
      <c r="A68" s="892" t="s">
        <v>395</v>
      </c>
      <c r="B68" s="893" t="s">
        <v>774</v>
      </c>
      <c r="C68" s="292">
        <f ca="1">ROUND(C67*(1-((1+F70)/(1+F68))^F69)/(F68-F70),0)</f>
        <v>-1118</v>
      </c>
      <c r="D68" s="910" t="s">
        <v>758</v>
      </c>
      <c r="E68" s="895" t="s">
        <v>759</v>
      </c>
      <c r="F68" s="303">
        <f ca="1">F40</f>
        <v>5.5E-2</v>
      </c>
      <c r="O68" s="1332" t="s">
        <v>406</v>
      </c>
      <c r="P68" s="1369" t="s">
        <v>871</v>
      </c>
      <c r="Q68" s="1325">
        <f ca="1">ROUND(Q69-Q70*Q71,0)</f>
        <v>-701</v>
      </c>
      <c r="R68" s="1325" t="s">
        <v>414</v>
      </c>
    </row>
    <row r="69" spans="1:18" s="1290" customFormat="1" ht="13.8" thickBot="1">
      <c r="A69" s="896"/>
      <c r="B69" s="897"/>
      <c r="C69" s="297"/>
      <c r="D69" s="915" t="s">
        <v>762</v>
      </c>
      <c r="E69" s="895" t="s">
        <v>763</v>
      </c>
      <c r="F69" s="323">
        <f ca="1">F41</f>
        <v>41.38</v>
      </c>
      <c r="O69" s="1332" t="s">
        <v>411</v>
      </c>
      <c r="P69" s="1369" t="s">
        <v>872</v>
      </c>
      <c r="Q69" s="1325">
        <f ca="1">C39</f>
        <v>43</v>
      </c>
      <c r="R69" s="1325" t="s">
        <v>818</v>
      </c>
    </row>
    <row r="70" spans="1:18" s="1290" customFormat="1" ht="13.8" thickBot="1">
      <c r="A70" s="899"/>
      <c r="B70" s="900"/>
      <c r="C70" s="301"/>
      <c r="D70" s="911"/>
      <c r="E70" s="895" t="s">
        <v>766</v>
      </c>
      <c r="F70" s="990"/>
      <c r="O70" s="1332" t="s">
        <v>412</v>
      </c>
      <c r="P70" s="1369" t="s">
        <v>873</v>
      </c>
      <c r="Q70" s="1325">
        <f ca="1">C13</f>
        <v>10635</v>
      </c>
      <c r="R70" s="1325" t="s">
        <v>818</v>
      </c>
    </row>
    <row r="71" spans="1:18" s="1290" customFormat="1" ht="13.8" thickBot="1">
      <c r="A71" s="916" t="s">
        <v>396</v>
      </c>
      <c r="B71" s="917" t="s">
        <v>776</v>
      </c>
      <c r="C71" s="326">
        <f ca="1">ROUND(C68*10000/F71,0)</f>
        <v>-574</v>
      </c>
      <c r="D71" s="918" t="s">
        <v>777</v>
      </c>
      <c r="E71" s="919" t="s">
        <v>778</v>
      </c>
      <c r="F71" s="329">
        <f ca="1">F43</f>
        <v>19473.41</v>
      </c>
      <c r="O71" s="1332" t="s">
        <v>413</v>
      </c>
      <c r="P71" s="1369" t="s">
        <v>874</v>
      </c>
      <c r="Q71" s="1335">
        <f ca="1">C76</f>
        <v>7.0000000000000007E-2</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744</v>
      </c>
      <c r="D75" s="1290"/>
      <c r="E75" s="1290"/>
      <c r="F75" s="1290"/>
      <c r="K75" s="1307"/>
      <c r="L75" s="1290"/>
      <c r="O75" s="1323" t="s">
        <v>409</v>
      </c>
      <c r="P75" s="1324" t="s">
        <v>838</v>
      </c>
      <c r="Q75" s="1325">
        <f ca="1">Q65+Q66</f>
        <v>924</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-16.302</v>
      </c>
    </row>
    <row r="80" spans="1:18">
      <c r="B80" s="330" t="s">
        <v>800</v>
      </c>
      <c r="C80" s="265">
        <f ca="1">ROUND(C75/C39,3)</f>
        <v>17.302</v>
      </c>
    </row>
    <row r="81" spans="2:3">
      <c r="B81" s="261" t="s">
        <v>801</v>
      </c>
      <c r="C81" s="229"/>
    </row>
    <row r="82" spans="2:3">
      <c r="B82" s="264" t="s">
        <v>802</v>
      </c>
      <c r="C82" s="266">
        <f ca="1">1-C83</f>
        <v>-10.51</v>
      </c>
    </row>
    <row r="83" spans="2:3">
      <c r="B83" s="264" t="s">
        <v>803</v>
      </c>
      <c r="C83" s="265">
        <f ca="1">ROUND(C13/C40,3)</f>
        <v>11.51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EF93D89C-E7E3-421C-AC05-A2E2FFC4F000}">
      <formula1>"在建（套用方法）,土地（套用方法）,——"</formula1>
    </dataValidation>
    <dataValidation type="list" allowBlank="1" showInputMessage="1" showErrorMessage="1" sqref="M10 F10 F53" xr:uid="{DCF9E51C-75F8-40DD-9354-7898C8CFD23D}">
      <formula1>"押一,押二,押三,自定义"</formula1>
    </dataValidation>
    <dataValidation type="list" allowBlank="1" showInputMessage="1" showErrorMessage="1" sqref="L55" xr:uid="{A5757D39-FEA7-43A2-8885-C447A6D08EAD}">
      <formula1>"比较法,基准地价,收益还原"</formula1>
    </dataValidation>
    <dataValidation type="list" allowBlank="1" showInputMessage="1" showErrorMessage="1" sqref="J56" xr:uid="{DAB00869-A057-44FD-A6AF-BB0570558329}">
      <formula1>估价范围判定</formula1>
    </dataValidation>
    <dataValidation type="list" allowBlank="1" showInputMessage="1" showErrorMessage="1" sqref="J48" xr:uid="{56B75E68-8FDB-4923-B6FA-A9156BFF88B9}">
      <formula1>"非生产用房,生产用房,受腐蚀的生产用房"</formula1>
    </dataValidation>
    <dataValidation type="list" allowBlank="1" showInputMessage="1" showErrorMessage="1" sqref="J47" xr:uid="{98F87387-AA75-490C-9017-F960AA0AFB7A}">
      <formula1>"钢,钢混,砖混"</formula1>
    </dataValidation>
    <dataValidation type="list" allowBlank="1" showInputMessage="1" showErrorMessage="1" sqref="C1" xr:uid="{35807B18-BA28-4A39-A925-A3AE2F0E126D}">
      <formula1>项目类型</formula1>
    </dataValidation>
    <dataValidation type="list" allowBlank="1" showInputMessage="1" showErrorMessage="1" sqref="D33 D61" xr:uid="{1F2C3013-88B6-46EA-80FC-83AE79BA1FBD}">
      <formula1>"按租金收入计税,按房产原值计税,按票据"</formula1>
    </dataValidation>
    <dataValidation type="list" allowBlank="1" showInputMessage="1" showErrorMessage="1" sqref="K19" xr:uid="{16090ECB-D835-4977-9CFB-79C802BB19A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1658</v>
      </c>
      <c r="B1" s="1724"/>
      <c r="C1" s="1724"/>
      <c r="D1" s="1724"/>
      <c r="E1" s="1725"/>
      <c r="F1" s="2478"/>
      <c r="G1" s="458"/>
      <c r="H1" s="458"/>
      <c r="I1" s="458"/>
      <c r="J1" s="458"/>
      <c r="K1" s="458"/>
      <c r="L1" s="458"/>
      <c r="M1" s="458"/>
      <c r="N1" s="458"/>
      <c r="O1" s="458"/>
      <c r="P1" s="458"/>
      <c r="Q1" s="458"/>
      <c r="R1" s="458"/>
      <c r="S1" s="458"/>
    </row>
    <row r="2" spans="1:22" ht="15.6">
      <c r="A2" s="1726" t="s">
        <v>1462</v>
      </c>
      <c r="B2" s="810">
        <f ca="1">SUMIF(B6:B13,"&lt;&gt;#ref!",B6:B13)</f>
        <v>40427</v>
      </c>
      <c r="C2" s="1727" t="s">
        <v>1651</v>
      </c>
      <c r="D2" s="1728" t="s">
        <v>1652</v>
      </c>
      <c r="E2" s="2391">
        <f>SUM(E6:E13)</f>
        <v>48377.229999999996</v>
      </c>
      <c r="F2" s="2478"/>
      <c r="G2" s="458"/>
      <c r="H2" s="458"/>
      <c r="I2" s="458"/>
      <c r="J2" s="458"/>
      <c r="K2" s="458"/>
      <c r="L2" s="458"/>
      <c r="M2" s="458"/>
      <c r="N2" s="458"/>
      <c r="O2" s="458"/>
      <c r="P2" s="458"/>
      <c r="Q2" s="458"/>
      <c r="R2" s="458"/>
      <c r="S2" s="458"/>
    </row>
    <row r="3" spans="1:22" ht="15.6">
      <c r="A3" s="1726" t="s">
        <v>686</v>
      </c>
      <c r="B3" s="2385">
        <f ca="1">ROUND(B2*10000/E2,0)</f>
        <v>8357</v>
      </c>
      <c r="C3" s="1727" t="s">
        <v>1659</v>
      </c>
      <c r="D3" s="2478"/>
      <c r="E3" s="2481"/>
      <c r="F3" s="2478"/>
      <c r="G3" s="458"/>
      <c r="H3" s="458"/>
      <c r="I3" s="458"/>
      <c r="J3" s="458"/>
      <c r="K3" s="458"/>
      <c r="L3" s="458"/>
      <c r="M3" s="458"/>
      <c r="N3" s="458"/>
      <c r="O3" s="458"/>
      <c r="P3" s="458"/>
      <c r="Q3" s="458"/>
      <c r="R3" s="458"/>
      <c r="S3" s="458"/>
    </row>
    <row r="4" spans="1:22" ht="15.6">
      <c r="A4" s="2482"/>
      <c r="B4" s="2478"/>
      <c r="C4" s="2478"/>
      <c r="D4" s="2478"/>
      <c r="E4" s="2481"/>
      <c r="F4" s="2478"/>
      <c r="G4" s="458"/>
      <c r="H4" s="458"/>
      <c r="I4" s="458"/>
      <c r="J4" s="458"/>
      <c r="K4" s="458"/>
      <c r="L4" s="458"/>
      <c r="M4" s="458"/>
      <c r="N4" s="458"/>
      <c r="O4" s="458"/>
      <c r="P4" s="458"/>
      <c r="Q4" s="458"/>
      <c r="R4" s="458"/>
      <c r="S4" s="458"/>
    </row>
    <row r="5" spans="1:22" ht="14.4">
      <c r="A5" s="2387" t="s">
        <v>1653</v>
      </c>
      <c r="B5" s="3424" t="s">
        <v>1654</v>
      </c>
      <c r="C5" s="3425"/>
      <c r="D5" s="2479"/>
      <c r="E5" s="1729" t="s">
        <v>1655</v>
      </c>
      <c r="F5" s="129" t="s">
        <v>1656</v>
      </c>
      <c r="G5" s="458"/>
      <c r="H5" s="458"/>
      <c r="I5" s="458"/>
      <c r="J5" s="458"/>
      <c r="K5" s="458"/>
      <c r="L5" s="458"/>
      <c r="M5" s="458"/>
      <c r="N5" s="458"/>
      <c r="O5" s="458"/>
      <c r="P5" s="458"/>
      <c r="Q5" s="458"/>
      <c r="R5" s="458"/>
      <c r="S5" s="458"/>
    </row>
    <row r="6" spans="1:22" ht="14.4">
      <c r="A6" s="2388" t="str">
        <f>'数据-取费表'!AN6</f>
        <v>收益法</v>
      </c>
      <c r="B6" s="2386">
        <f ca="1">IF(F6="是",'数据-取费表'!AO6,0)</f>
        <v>39274</v>
      </c>
      <c r="C6" s="1727" t="s">
        <v>1651</v>
      </c>
      <c r="D6" s="2478"/>
      <c r="E6" s="2390">
        <f>IF(OR(A6=0,F6="否"),0,'数据-取费表'!K6+'数据-取费表'!S6)</f>
        <v>28666.55</v>
      </c>
      <c r="F6" s="1730" t="s">
        <v>1657</v>
      </c>
      <c r="G6" s="458"/>
      <c r="H6" s="458"/>
      <c r="I6" s="458"/>
      <c r="J6" s="458"/>
      <c r="K6" s="458"/>
      <c r="L6" s="458"/>
      <c r="M6" s="458"/>
      <c r="N6" s="458"/>
      <c r="O6" s="458"/>
      <c r="P6" s="458"/>
      <c r="Q6" s="458"/>
      <c r="R6" s="458"/>
      <c r="S6" s="458"/>
    </row>
    <row r="7" spans="1:22" ht="14.4">
      <c r="A7" s="2388" t="str">
        <f>'数据-取费表'!AN7</f>
        <v>收益法 车库</v>
      </c>
      <c r="B7" s="2386">
        <f ca="1">IF(F7="是",'数据-取费表'!AO7,0)</f>
        <v>1153</v>
      </c>
      <c r="C7" s="1727" t="s">
        <v>1651</v>
      </c>
      <c r="D7" s="2478"/>
      <c r="E7" s="2390">
        <f>IF(OR(A7=0,F7="否"),0,'数据-取费表'!K7+'数据-取费表'!S7)</f>
        <v>19710.68</v>
      </c>
      <c r="F7" s="1730"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7" t="s">
        <v>1651</v>
      </c>
      <c r="D8" s="2478"/>
      <c r="E8" s="2390">
        <f>IF(OR(A8=0,F8="否"),0,'数据-取费表'!K8+'数据-取费表'!S8)</f>
        <v>0</v>
      </c>
      <c r="F8" s="1730"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7" t="s">
        <v>1651</v>
      </c>
      <c r="D9" s="2478"/>
      <c r="E9" s="2390">
        <f>IF(OR(A9=0,F9="否"),0,'数据-取费表'!K9+'数据-取费表'!S9)</f>
        <v>0</v>
      </c>
      <c r="F9" s="1730"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7" t="s">
        <v>1651</v>
      </c>
      <c r="D10" s="2478"/>
      <c r="E10" s="2390">
        <f>IF(OR(A10=0,F10="否"),0,'数据-取费表'!K10+'数据-取费表'!S10)</f>
        <v>0</v>
      </c>
      <c r="F10" s="1730"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7" t="s">
        <v>1651</v>
      </c>
      <c r="D11" s="2478"/>
      <c r="E11" s="2390">
        <f>IF(OR(A11=0,F11="否"),0,'数据-取费表'!K11+'数据-取费表'!S11)</f>
        <v>0</v>
      </c>
      <c r="F11" s="1730"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7" t="s">
        <v>1651</v>
      </c>
      <c r="D12" s="2478"/>
      <c r="E12" s="2390">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0</v>
      </c>
      <c r="C3" s="343" t="s">
        <v>1665</v>
      </c>
      <c r="D3" s="342">
        <f>IF(D1="",'数据-汇总表'!E3,SUMIF('数据-汇总表'!$C19:$C33,D1,'数据-汇总表'!$E19:$E33))</f>
        <v>48377.229999999996</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4.4">
      <c r="A4" s="344" t="s">
        <v>1666</v>
      </c>
      <c r="B4" s="345"/>
      <c r="C4" s="3444" t="s">
        <v>1667</v>
      </c>
      <c r="D4" s="3445"/>
      <c r="E4" s="3446" t="s">
        <v>1668</v>
      </c>
      <c r="F4" s="3447"/>
      <c r="G4" s="3444" t="s">
        <v>1669</v>
      </c>
      <c r="H4" s="3445"/>
      <c r="I4" s="3444" t="s">
        <v>1670</v>
      </c>
      <c r="J4" s="3445"/>
      <c r="K4" s="1742" t="s">
        <v>1671</v>
      </c>
      <c r="L4" s="2485"/>
      <c r="M4" s="2486"/>
      <c r="N4" s="2486"/>
      <c r="O4" s="2486"/>
      <c r="P4" s="3448" t="s">
        <v>1672</v>
      </c>
      <c r="Q4" s="3449"/>
      <c r="R4" s="3431" t="s">
        <v>1668</v>
      </c>
      <c r="S4" s="3432"/>
      <c r="T4" s="3431" t="s">
        <v>1669</v>
      </c>
      <c r="U4" s="3432"/>
      <c r="V4" s="3456" t="s">
        <v>1670</v>
      </c>
      <c r="W4" s="3456"/>
      <c r="X4" s="1263"/>
      <c r="Y4" s="3431" t="s">
        <v>1672</v>
      </c>
      <c r="Z4" s="3432"/>
      <c r="AA4" s="3426" t="s">
        <v>1668</v>
      </c>
      <c r="AB4" s="3426" t="s">
        <v>1669</v>
      </c>
      <c r="AC4" s="3426" t="s">
        <v>1670</v>
      </c>
    </row>
    <row r="5" spans="1:29">
      <c r="A5" s="347"/>
      <c r="B5" s="348"/>
      <c r="C5" s="3437" t="s">
        <v>1673</v>
      </c>
      <c r="D5" s="3438"/>
      <c r="E5" s="3435" t="s">
        <v>1674</v>
      </c>
      <c r="F5" s="3436"/>
      <c r="G5" s="3437" t="s">
        <v>1675</v>
      </c>
      <c r="H5" s="3438"/>
      <c r="I5" s="3437" t="s">
        <v>1676</v>
      </c>
      <c r="J5" s="3438"/>
      <c r="K5" s="1743"/>
      <c r="L5" s="2485"/>
      <c r="M5" s="2486"/>
      <c r="N5" s="2486"/>
      <c r="O5" s="2486"/>
      <c r="P5" s="3450"/>
      <c r="Q5" s="3451"/>
      <c r="R5" s="3433"/>
      <c r="S5" s="3434"/>
      <c r="T5" s="3433"/>
      <c r="U5" s="3434"/>
      <c r="V5" s="3456"/>
      <c r="W5" s="3456"/>
      <c r="X5" s="1263"/>
      <c r="Y5" s="3433"/>
      <c r="Z5" s="3434"/>
      <c r="AA5" s="3427"/>
      <c r="AB5" s="3427"/>
      <c r="AC5" s="3427"/>
    </row>
    <row r="6" spans="1:29" ht="15" thickBot="1">
      <c r="A6" s="349"/>
      <c r="B6" s="350"/>
      <c r="C6" s="3439" t="s">
        <v>1677</v>
      </c>
      <c r="D6" s="3440"/>
      <c r="E6" s="3441" t="s">
        <v>1677</v>
      </c>
      <c r="F6" s="3442"/>
      <c r="G6" s="3439" t="s">
        <v>1677</v>
      </c>
      <c r="H6" s="3440"/>
      <c r="I6" s="3439" t="s">
        <v>1677</v>
      </c>
      <c r="J6" s="3440"/>
      <c r="K6" s="1743" t="s">
        <v>1678</v>
      </c>
      <c r="L6" s="2485"/>
      <c r="M6" s="2486"/>
      <c r="N6" s="2486"/>
      <c r="O6" s="2486"/>
      <c r="P6" s="3452"/>
      <c r="Q6" s="3453"/>
      <c r="R6" s="3433"/>
      <c r="S6" s="3434"/>
      <c r="T6" s="3454"/>
      <c r="U6" s="3455"/>
      <c r="V6" s="3456"/>
      <c r="W6" s="3456"/>
      <c r="X6" s="1263"/>
      <c r="Y6" s="3454"/>
      <c r="Z6" s="3455"/>
      <c r="AA6" s="3428"/>
      <c r="AB6" s="3428"/>
      <c r="AC6" s="3428"/>
    </row>
    <row r="7" spans="1:29" s="102" customFormat="1" ht="15" thickBot="1">
      <c r="A7" s="351" t="s">
        <v>1679</v>
      </c>
      <c r="B7" s="352"/>
      <c r="C7" s="353">
        <f>'数据-取费表'!B2</f>
        <v>45607</v>
      </c>
      <c r="D7" s="354">
        <v>100</v>
      </c>
      <c r="E7" s="355"/>
      <c r="F7" s="356">
        <f>SUMIF(58:58,YEAR(E7)&amp;"-"&amp;MONTH(E7),59:59)</f>
        <v>0</v>
      </c>
      <c r="G7" s="355"/>
      <c r="H7" s="354">
        <f>SUMIF(58:58,YEAR(G7)&amp;"-"&amp;MONTH(G7),59:59)</f>
        <v>0</v>
      </c>
      <c r="I7" s="355"/>
      <c r="J7" s="354">
        <f>SUMIF(58:58,YEAR(I7)&amp;"-"&amp;MONTH(I7),59:59)</f>
        <v>0</v>
      </c>
      <c r="K7" s="1744"/>
      <c r="L7" s="2487"/>
      <c r="M7" s="2438"/>
      <c r="N7" s="2438"/>
      <c r="O7" s="2438"/>
      <c r="P7" s="3429" t="s">
        <v>1680</v>
      </c>
      <c r="Q7" s="3457"/>
      <c r="R7" s="663" t="s">
        <v>20</v>
      </c>
      <c r="S7" s="664">
        <f t="shared" ref="S7:S15" si="0">F7</f>
        <v>0</v>
      </c>
      <c r="T7" s="663" t="s">
        <v>20</v>
      </c>
      <c r="U7" s="664">
        <f t="shared" ref="U7:U15" si="1">H7</f>
        <v>0</v>
      </c>
      <c r="V7" s="663" t="s">
        <v>20</v>
      </c>
      <c r="W7" s="664">
        <f t="shared" ref="W7:W15" si="2">J7</f>
        <v>0</v>
      </c>
      <c r="X7" s="665"/>
      <c r="Y7" s="3429" t="s">
        <v>1680</v>
      </c>
      <c r="Z7" s="3430"/>
      <c r="AA7" s="50" t="e">
        <f>D7/F7</f>
        <v>#DIV/0!</v>
      </c>
      <c r="AB7" s="50" t="e">
        <f>D7/H7</f>
        <v>#DIV/0!</v>
      </c>
      <c r="AC7" s="50" t="e">
        <f>D7/J7</f>
        <v>#DIV/0!</v>
      </c>
    </row>
    <row r="8" spans="1:29" s="102" customFormat="1" ht="1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7"/>
      <c r="M8" s="2438"/>
      <c r="N8" s="2438"/>
      <c r="O8" s="2438"/>
      <c r="P8" s="3429" t="s">
        <v>1683</v>
      </c>
      <c r="Q8" s="3430"/>
      <c r="R8" s="663" t="s">
        <v>20</v>
      </c>
      <c r="S8" s="664">
        <f t="shared" si="0"/>
        <v>100</v>
      </c>
      <c r="T8" s="663" t="s">
        <v>20</v>
      </c>
      <c r="U8" s="664">
        <f t="shared" si="1"/>
        <v>100</v>
      </c>
      <c r="V8" s="663" t="s">
        <v>20</v>
      </c>
      <c r="W8" s="664">
        <f t="shared" si="2"/>
        <v>100</v>
      </c>
      <c r="X8" s="665"/>
      <c r="Y8" s="3429" t="s">
        <v>1683</v>
      </c>
      <c r="Z8" s="3430"/>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4"/>
      <c r="L9" s="2487"/>
      <c r="M9" s="2438"/>
      <c r="N9" s="2438"/>
      <c r="O9" s="2438"/>
      <c r="P9" s="3443" t="s">
        <v>1686</v>
      </c>
      <c r="Q9" s="529" t="str">
        <f t="shared" ref="Q9:Q15" si="6">B9</f>
        <v>用途</v>
      </c>
      <c r="R9" s="663" t="s">
        <v>14</v>
      </c>
      <c r="S9" s="664">
        <f t="shared" si="0"/>
        <v>100</v>
      </c>
      <c r="T9" s="663" t="s">
        <v>14</v>
      </c>
      <c r="U9" s="664">
        <f t="shared" si="1"/>
        <v>100</v>
      </c>
      <c r="V9" s="663" t="s">
        <v>14</v>
      </c>
      <c r="W9" s="664">
        <f t="shared" si="2"/>
        <v>100</v>
      </c>
      <c r="X9" s="665"/>
      <c r="Y9" s="3363" t="s">
        <v>1687</v>
      </c>
      <c r="Z9" s="50" t="str">
        <f t="shared" ref="Z9:Z15" si="7">Q9</f>
        <v>用途</v>
      </c>
      <c r="AA9" s="50">
        <f t="shared" si="3"/>
        <v>1</v>
      </c>
      <c r="AB9" s="50">
        <f t="shared" si="4"/>
        <v>1</v>
      </c>
      <c r="AC9" s="50">
        <f t="shared" si="5"/>
        <v>1</v>
      </c>
    </row>
    <row r="10" spans="1:29" s="365" customFormat="1" ht="28.8">
      <c r="A10" s="362"/>
      <c r="B10" s="363" t="s">
        <v>1688</v>
      </c>
      <c r="C10" s="3131"/>
      <c r="D10" s="119">
        <v>100</v>
      </c>
      <c r="E10" s="3132"/>
      <c r="F10" s="363">
        <f>SUMIF(65:65,E10,66:66)-SUMIF(65:65,C10,66:66)+100</f>
        <v>100</v>
      </c>
      <c r="G10" s="3131"/>
      <c r="H10" s="119">
        <f>SUMIF(65:65,G10,66:66)-SUMIF(65:65,C10,66:66)+100</f>
        <v>100</v>
      </c>
      <c r="I10" s="3131"/>
      <c r="J10" s="119">
        <f>SUMIF(65:65,I10,66:66)-SUMIF(65:65,C10,66:66)+100</f>
        <v>100</v>
      </c>
      <c r="K10" s="1744"/>
      <c r="L10" s="2488"/>
      <c r="M10" s="2489"/>
      <c r="N10" s="2489"/>
      <c r="O10" s="2489"/>
      <c r="P10" s="3443"/>
      <c r="Q10" s="529" t="str">
        <f t="shared" si="6"/>
        <v>土地使用年限（年）</v>
      </c>
      <c r="R10" s="663" t="s">
        <v>14</v>
      </c>
      <c r="S10" s="664">
        <f t="shared" si="0"/>
        <v>100</v>
      </c>
      <c r="T10" s="663" t="s">
        <v>14</v>
      </c>
      <c r="U10" s="664">
        <f t="shared" si="1"/>
        <v>100</v>
      </c>
      <c r="V10" s="663" t="s">
        <v>14</v>
      </c>
      <c r="W10" s="664">
        <f t="shared" si="2"/>
        <v>100</v>
      </c>
      <c r="X10" s="665"/>
      <c r="Y10" s="3363"/>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90"/>
      <c r="M11" s="2486"/>
      <c r="N11" s="2486"/>
      <c r="O11" s="2486"/>
      <c r="P11" s="3443"/>
      <c r="Q11" s="529" t="str">
        <f t="shared" si="6"/>
        <v>容积率</v>
      </c>
      <c r="R11" s="663" t="s">
        <v>18</v>
      </c>
      <c r="S11" s="664" t="e">
        <f t="shared" si="0"/>
        <v>#N/A</v>
      </c>
      <c r="T11" s="663" t="s">
        <v>18</v>
      </c>
      <c r="U11" s="664" t="e">
        <f t="shared" si="1"/>
        <v>#N/A</v>
      </c>
      <c r="V11" s="663" t="s">
        <v>18</v>
      </c>
      <c r="W11" s="664" t="e">
        <f t="shared" si="2"/>
        <v>#N/A</v>
      </c>
      <c r="X11" s="665"/>
      <c r="Y11" s="336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6"/>
      <c r="L12" s="2487"/>
      <c r="M12" s="2438"/>
      <c r="N12" s="2438"/>
      <c r="O12" s="2438"/>
      <c r="P12" s="3443"/>
      <c r="Q12" s="529">
        <f t="shared" si="6"/>
        <v>111</v>
      </c>
      <c r="R12" s="663" t="s">
        <v>18</v>
      </c>
      <c r="S12" s="664">
        <f t="shared" si="0"/>
        <v>100</v>
      </c>
      <c r="T12" s="663" t="s">
        <v>18</v>
      </c>
      <c r="U12" s="664">
        <f t="shared" si="1"/>
        <v>100</v>
      </c>
      <c r="V12" s="663" t="s">
        <v>18</v>
      </c>
      <c r="W12" s="664">
        <f t="shared" si="2"/>
        <v>100</v>
      </c>
      <c r="X12" s="665"/>
      <c r="Y12" s="33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1"/>
      <c r="M13" s="2486"/>
      <c r="N13" s="2486"/>
      <c r="O13" s="2486"/>
      <c r="P13" s="3443"/>
      <c r="Q13" s="529">
        <f t="shared" si="6"/>
        <v>111</v>
      </c>
      <c r="R13" s="663" t="s">
        <v>18</v>
      </c>
      <c r="S13" s="664">
        <f t="shared" si="0"/>
        <v>100</v>
      </c>
      <c r="T13" s="663" t="s">
        <v>18</v>
      </c>
      <c r="U13" s="664">
        <f t="shared" si="1"/>
        <v>100</v>
      </c>
      <c r="V13" s="663" t="s">
        <v>18</v>
      </c>
      <c r="W13" s="664">
        <f t="shared" si="2"/>
        <v>100</v>
      </c>
      <c r="X13" s="665"/>
      <c r="Y13" s="3363"/>
      <c r="Z13" s="50">
        <f t="shared" si="7"/>
        <v>111</v>
      </c>
      <c r="AA13" s="50">
        <f t="shared" si="3"/>
        <v>1</v>
      </c>
      <c r="AB13" s="50">
        <f t="shared" si="4"/>
        <v>1</v>
      </c>
      <c r="AC13" s="50">
        <f t="shared" si="5"/>
        <v>1</v>
      </c>
    </row>
    <row r="14" spans="1:29" ht="15.6"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1"/>
      <c r="M14" s="2486"/>
      <c r="N14" s="2486"/>
      <c r="O14" s="2486"/>
      <c r="P14" s="3443"/>
      <c r="Q14" s="529">
        <f t="shared" si="6"/>
        <v>111</v>
      </c>
      <c r="R14" s="663" t="s">
        <v>18</v>
      </c>
      <c r="S14" s="664">
        <f t="shared" si="0"/>
        <v>100</v>
      </c>
      <c r="T14" s="663" t="s">
        <v>18</v>
      </c>
      <c r="U14" s="664">
        <f t="shared" si="1"/>
        <v>100</v>
      </c>
      <c r="V14" s="663" t="s">
        <v>18</v>
      </c>
      <c r="W14" s="664">
        <f t="shared" si="2"/>
        <v>100</v>
      </c>
      <c r="X14" s="665"/>
      <c r="Y14" s="3363"/>
      <c r="Z14" s="50">
        <f t="shared" si="7"/>
        <v>111</v>
      </c>
      <c r="AA14" s="50">
        <f t="shared" si="3"/>
        <v>1</v>
      </c>
      <c r="AB14" s="50">
        <f t="shared" si="4"/>
        <v>1</v>
      </c>
      <c r="AC14" s="50">
        <f t="shared" si="5"/>
        <v>1</v>
      </c>
    </row>
    <row r="15" spans="1:29" ht="96.6">
      <c r="A15" s="378" t="s">
        <v>1690</v>
      </c>
      <c r="B15" s="58" t="s">
        <v>1257</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69" t="s">
        <v>1691</v>
      </c>
      <c r="Q15" s="1261" t="str">
        <f t="shared" si="6"/>
        <v>居住社区成熟度</v>
      </c>
      <c r="R15" s="666" t="s">
        <v>18</v>
      </c>
      <c r="S15" s="667">
        <f t="shared" si="0"/>
        <v>100</v>
      </c>
      <c r="T15" s="666" t="s">
        <v>18</v>
      </c>
      <c r="U15" s="667">
        <f t="shared" si="1"/>
        <v>100</v>
      </c>
      <c r="V15" s="666" t="s">
        <v>18</v>
      </c>
      <c r="W15" s="667">
        <f t="shared" si="2"/>
        <v>100</v>
      </c>
      <c r="X15" s="1263"/>
      <c r="Y15" s="3462"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91"/>
      <c r="M16" s="2486"/>
      <c r="N16" s="2486"/>
      <c r="O16" s="2486"/>
      <c r="P16" s="3470"/>
      <c r="Q16" s="1261"/>
      <c r="R16" s="666"/>
      <c r="S16" s="667"/>
      <c r="T16" s="666"/>
      <c r="U16" s="667"/>
      <c r="V16" s="666"/>
      <c r="W16" s="667"/>
      <c r="X16" s="1263"/>
      <c r="Y16" s="3463"/>
      <c r="Z16" s="1262"/>
      <c r="AA16" s="1262">
        <v>1</v>
      </c>
      <c r="AB16" s="1262">
        <v>1</v>
      </c>
      <c r="AC16" s="1262">
        <v>1</v>
      </c>
    </row>
    <row r="17" spans="1:29" ht="82.8">
      <c r="A17" s="366"/>
      <c r="B17" s="389" t="s">
        <v>1259</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70"/>
      <c r="Q17" s="1261" t="str">
        <f>B17</f>
        <v>交通便捷度</v>
      </c>
      <c r="R17" s="666" t="s">
        <v>18</v>
      </c>
      <c r="S17" s="667">
        <f>F17</f>
        <v>100</v>
      </c>
      <c r="T17" s="666" t="s">
        <v>18</v>
      </c>
      <c r="U17" s="667">
        <f>H17</f>
        <v>100</v>
      </c>
      <c r="V17" s="666" t="s">
        <v>18</v>
      </c>
      <c r="W17" s="667">
        <f>J17</f>
        <v>100</v>
      </c>
      <c r="X17" s="1263"/>
      <c r="Y17" s="3463"/>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91"/>
      <c r="M18" s="2486"/>
      <c r="N18" s="2486"/>
      <c r="O18" s="2486"/>
      <c r="P18" s="3470"/>
      <c r="Q18" s="1261"/>
      <c r="R18" s="666"/>
      <c r="S18" s="667"/>
      <c r="T18" s="666"/>
      <c r="U18" s="667"/>
      <c r="V18" s="666"/>
      <c r="W18" s="667"/>
      <c r="X18" s="1263"/>
      <c r="Y18" s="3463"/>
      <c r="Z18" s="1262"/>
      <c r="AA18" s="1262">
        <v>1</v>
      </c>
      <c r="AB18" s="1262">
        <v>1</v>
      </c>
      <c r="AC18" s="1262">
        <v>1</v>
      </c>
    </row>
    <row r="19" spans="1:29" ht="41.4">
      <c r="A19" s="366"/>
      <c r="B19" s="389" t="s">
        <v>1258</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70"/>
      <c r="Q19" s="1261" t="str">
        <f>B19</f>
        <v>公共配套设施</v>
      </c>
      <c r="R19" s="666" t="s">
        <v>18</v>
      </c>
      <c r="S19" s="667">
        <f>F19</f>
        <v>100</v>
      </c>
      <c r="T19" s="666" t="s">
        <v>18</v>
      </c>
      <c r="U19" s="667">
        <f>H19</f>
        <v>100</v>
      </c>
      <c r="V19" s="666" t="s">
        <v>18</v>
      </c>
      <c r="W19" s="667">
        <f>J19</f>
        <v>100</v>
      </c>
      <c r="X19" s="1263"/>
      <c r="Y19" s="3463"/>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91"/>
      <c r="M20" s="2486"/>
      <c r="N20" s="2486"/>
      <c r="O20" s="2486"/>
      <c r="P20" s="3470"/>
      <c r="Q20" s="1261"/>
      <c r="R20" s="666"/>
      <c r="S20" s="667"/>
      <c r="T20" s="666"/>
      <c r="U20" s="667"/>
      <c r="V20" s="666"/>
      <c r="W20" s="667"/>
      <c r="X20" s="1263"/>
      <c r="Y20" s="3463"/>
      <c r="Z20" s="1262"/>
      <c r="AA20" s="1262">
        <v>1</v>
      </c>
      <c r="AB20" s="1262">
        <v>1</v>
      </c>
      <c r="AC20" s="1262">
        <v>1</v>
      </c>
    </row>
    <row r="21" spans="1:29" ht="27.6">
      <c r="A21" s="366"/>
      <c r="B21" s="585" t="s">
        <v>1260</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70"/>
      <c r="Q21" s="1261" t="str">
        <f>B21</f>
        <v>基础设施水平</v>
      </c>
      <c r="R21" s="666" t="s">
        <v>14</v>
      </c>
      <c r="S21" s="667">
        <f>F21</f>
        <v>100</v>
      </c>
      <c r="T21" s="666" t="s">
        <v>14</v>
      </c>
      <c r="U21" s="667">
        <f>H21</f>
        <v>100</v>
      </c>
      <c r="V21" s="666" t="s">
        <v>14</v>
      </c>
      <c r="W21" s="667">
        <f>J21</f>
        <v>100</v>
      </c>
      <c r="X21" s="1263"/>
      <c r="Y21" s="346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91"/>
      <c r="M22" s="2486"/>
      <c r="N22" s="2486"/>
      <c r="O22" s="2486"/>
      <c r="P22" s="3470"/>
      <c r="Q22" s="1261"/>
      <c r="R22" s="666"/>
      <c r="S22" s="667"/>
      <c r="T22" s="666"/>
      <c r="U22" s="667"/>
      <c r="V22" s="666"/>
      <c r="W22" s="667"/>
      <c r="X22" s="1263"/>
      <c r="Y22" s="3463"/>
      <c r="Z22" s="1262"/>
      <c r="AA22" s="1262">
        <v>1</v>
      </c>
      <c r="AB22" s="1262">
        <v>1</v>
      </c>
      <c r="AC22" s="1262">
        <v>1</v>
      </c>
    </row>
    <row r="23" spans="1:29" ht="55.2">
      <c r="A23" s="366"/>
      <c r="B23" s="389" t="s">
        <v>1261</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70"/>
      <c r="Q23" s="1261" t="str">
        <f>B23</f>
        <v>自然及人文环境</v>
      </c>
      <c r="R23" s="666" t="s">
        <v>18</v>
      </c>
      <c r="S23" s="667">
        <f>F23</f>
        <v>100</v>
      </c>
      <c r="T23" s="666" t="s">
        <v>18</v>
      </c>
      <c r="U23" s="667">
        <f>H23</f>
        <v>100</v>
      </c>
      <c r="V23" s="666" t="s">
        <v>18</v>
      </c>
      <c r="W23" s="667">
        <f>J23</f>
        <v>100</v>
      </c>
      <c r="X23" s="1263"/>
      <c r="Y23" s="3463"/>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91"/>
      <c r="M24" s="2486"/>
      <c r="N24" s="2486"/>
      <c r="O24" s="2486"/>
      <c r="P24" s="3470"/>
      <c r="Q24" s="1261"/>
      <c r="R24" s="666"/>
      <c r="S24" s="667"/>
      <c r="T24" s="666"/>
      <c r="U24" s="667"/>
      <c r="V24" s="666"/>
      <c r="W24" s="667"/>
      <c r="X24" s="1263"/>
      <c r="Y24" s="3463"/>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91"/>
      <c r="M25" s="2486"/>
      <c r="N25" s="2486"/>
      <c r="O25" s="2486"/>
      <c r="P25" s="347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63"/>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91"/>
      <c r="M26" s="2486"/>
      <c r="N26" s="2486"/>
      <c r="O26" s="2486"/>
      <c r="P26" s="3470"/>
      <c r="Q26" s="1261" t="str">
        <f t="shared" si="11"/>
        <v>朝向</v>
      </c>
      <c r="R26" s="666" t="s">
        <v>18</v>
      </c>
      <c r="S26" s="667">
        <f t="shared" si="12"/>
        <v>100</v>
      </c>
      <c r="T26" s="666" t="s">
        <v>18</v>
      </c>
      <c r="U26" s="667">
        <f t="shared" si="13"/>
        <v>100</v>
      </c>
      <c r="V26" s="666" t="s">
        <v>18</v>
      </c>
      <c r="W26" s="667">
        <f t="shared" si="14"/>
        <v>100</v>
      </c>
      <c r="X26" s="1263"/>
      <c r="Y26" s="3463"/>
      <c r="Z26" s="1262" t="str">
        <f>Q26</f>
        <v>朝向</v>
      </c>
      <c r="AA26" s="1262">
        <f t="shared" si="15"/>
        <v>1</v>
      </c>
      <c r="AB26" s="1262">
        <f t="shared" si="16"/>
        <v>1</v>
      </c>
      <c r="AC26" s="1262">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6"/>
      <c r="L27" s="2487"/>
      <c r="M27" s="2438"/>
      <c r="N27" s="2438"/>
      <c r="O27" s="2438"/>
      <c r="P27" s="3470"/>
      <c r="Q27" s="529">
        <f t="shared" si="11"/>
        <v>111</v>
      </c>
      <c r="R27" s="663" t="s">
        <v>18</v>
      </c>
      <c r="S27" s="664">
        <f t="shared" si="12"/>
        <v>100</v>
      </c>
      <c r="T27" s="663" t="s">
        <v>18</v>
      </c>
      <c r="U27" s="664">
        <f t="shared" si="13"/>
        <v>100</v>
      </c>
      <c r="V27" s="663" t="s">
        <v>18</v>
      </c>
      <c r="W27" s="664">
        <f t="shared" si="14"/>
        <v>100</v>
      </c>
      <c r="X27" s="665"/>
      <c r="Y27" s="3463"/>
      <c r="Z27" s="50">
        <f>Q27</f>
        <v>111</v>
      </c>
      <c r="AA27" s="1262">
        <f t="shared" si="15"/>
        <v>1</v>
      </c>
      <c r="AB27" s="1262">
        <f t="shared" si="16"/>
        <v>1</v>
      </c>
      <c r="AC27" s="1262">
        <f t="shared" si="17"/>
        <v>1</v>
      </c>
    </row>
    <row r="28" spans="1:29" ht="15">
      <c r="A28" s="366"/>
      <c r="B28" s="1065">
        <v>111</v>
      </c>
      <c r="C28" s="372"/>
      <c r="D28" s="373">
        <v>100</v>
      </c>
      <c r="E28" s="372"/>
      <c r="F28" s="373">
        <f>SUMIF(92:92,E28,93:93)-SUMIF(92:92,C28,93:93)+100</f>
        <v>100</v>
      </c>
      <c r="G28" s="1760"/>
      <c r="H28" s="373">
        <f>SUMIF(92:92,G28,93:93)-SUMIF(92:92,C28,93:93)+100</f>
        <v>100</v>
      </c>
      <c r="I28" s="372"/>
      <c r="J28" s="373">
        <f>SUMIF(92:92,I28,93:93)-SUMIF(92:92,C28,93:93)+100</f>
        <v>100</v>
      </c>
      <c r="K28" s="1746"/>
      <c r="L28" s="2491"/>
      <c r="M28" s="2486"/>
      <c r="N28" s="2486"/>
      <c r="O28" s="2486"/>
      <c r="P28" s="3470"/>
      <c r="Q28" s="1261">
        <f t="shared" si="11"/>
        <v>111</v>
      </c>
      <c r="R28" s="666" t="s">
        <v>18</v>
      </c>
      <c r="S28" s="667">
        <f t="shared" si="12"/>
        <v>100</v>
      </c>
      <c r="T28" s="666" t="s">
        <v>18</v>
      </c>
      <c r="U28" s="667">
        <f t="shared" si="13"/>
        <v>100</v>
      </c>
      <c r="V28" s="666" t="s">
        <v>18</v>
      </c>
      <c r="W28" s="667">
        <f t="shared" si="14"/>
        <v>100</v>
      </c>
      <c r="X28" s="1263"/>
      <c r="Y28" s="3463"/>
      <c r="Z28" s="1262">
        <f t="shared" ref="Z28:Z46" si="18">Q28</f>
        <v>111</v>
      </c>
      <c r="AA28" s="1262">
        <f t="shared" si="15"/>
        <v>1</v>
      </c>
      <c r="AB28" s="1262">
        <f t="shared" si="16"/>
        <v>1</v>
      </c>
      <c r="AC28" s="1262">
        <f t="shared" si="17"/>
        <v>1</v>
      </c>
    </row>
    <row r="29" spans="1:29" ht="15">
      <c r="A29" s="366"/>
      <c r="B29" s="1065">
        <v>111</v>
      </c>
      <c r="C29" s="372"/>
      <c r="D29" s="373">
        <v>100</v>
      </c>
      <c r="E29" s="372"/>
      <c r="F29" s="373">
        <f>SUMIF(94:94,E29,95:95)-SUMIF(94:94,C29,95:95)+100</f>
        <v>100</v>
      </c>
      <c r="G29" s="1760"/>
      <c r="H29" s="373">
        <f>SUMIF(94:94,G29,95:95)-SUMIF(94:94,C29,95:95)+100</f>
        <v>100</v>
      </c>
      <c r="I29" s="372"/>
      <c r="J29" s="373">
        <f>SUMIF(94:94,I29,95:95)-SUMIF(94:94,C29,95:95)+100</f>
        <v>100</v>
      </c>
      <c r="K29" s="1746"/>
      <c r="L29" s="2491"/>
      <c r="M29" s="2486"/>
      <c r="N29" s="2486"/>
      <c r="O29" s="2486"/>
      <c r="P29" s="3470"/>
      <c r="Q29" s="1261">
        <f t="shared" si="11"/>
        <v>111</v>
      </c>
      <c r="R29" s="666" t="s">
        <v>18</v>
      </c>
      <c r="S29" s="667">
        <f t="shared" si="12"/>
        <v>100</v>
      </c>
      <c r="T29" s="666" t="s">
        <v>18</v>
      </c>
      <c r="U29" s="667">
        <f t="shared" si="13"/>
        <v>100</v>
      </c>
      <c r="V29" s="666" t="s">
        <v>18</v>
      </c>
      <c r="W29" s="667">
        <f t="shared" si="14"/>
        <v>100</v>
      </c>
      <c r="X29" s="1263"/>
      <c r="Y29" s="3463"/>
      <c r="Z29" s="1262">
        <f t="shared" si="18"/>
        <v>111</v>
      </c>
      <c r="AA29" s="1262">
        <f t="shared" si="15"/>
        <v>1</v>
      </c>
      <c r="AB29" s="1262">
        <f t="shared" si="16"/>
        <v>1</v>
      </c>
      <c r="AC29" s="1262">
        <f t="shared" si="17"/>
        <v>1</v>
      </c>
    </row>
    <row r="30" spans="1:29" ht="15">
      <c r="A30" s="366"/>
      <c r="B30" s="1065">
        <v>111</v>
      </c>
      <c r="C30" s="372"/>
      <c r="D30" s="373">
        <v>100</v>
      </c>
      <c r="E30" s="372"/>
      <c r="F30" s="373">
        <f>SUMIF(96:96,E30,97:97)-SUMIF(96:96,C30,97:97)+100</f>
        <v>100</v>
      </c>
      <c r="G30" s="1760"/>
      <c r="H30" s="373">
        <f>SUMIF(96:96,G30,97:97)-SUMIF(96:96,C30,97:97)+100</f>
        <v>100</v>
      </c>
      <c r="I30" s="372"/>
      <c r="J30" s="373">
        <f>SUMIF(96:96,I30,97:97)-SUMIF(96:96,C30,97:97)+100</f>
        <v>100</v>
      </c>
      <c r="K30" s="1746"/>
      <c r="L30" s="2491"/>
      <c r="M30" s="2486"/>
      <c r="N30" s="2486"/>
      <c r="O30" s="2486"/>
      <c r="P30" s="3470"/>
      <c r="Q30" s="1261">
        <f t="shared" si="11"/>
        <v>111</v>
      </c>
      <c r="R30" s="666" t="s">
        <v>18</v>
      </c>
      <c r="S30" s="667">
        <f t="shared" si="12"/>
        <v>100</v>
      </c>
      <c r="T30" s="666" t="s">
        <v>18</v>
      </c>
      <c r="U30" s="667">
        <f t="shared" si="13"/>
        <v>100</v>
      </c>
      <c r="V30" s="666" t="s">
        <v>18</v>
      </c>
      <c r="W30" s="667">
        <f t="shared" si="14"/>
        <v>100</v>
      </c>
      <c r="X30" s="1263"/>
      <c r="Y30" s="3463"/>
      <c r="Z30" s="1262">
        <f t="shared" si="18"/>
        <v>111</v>
      </c>
      <c r="AA30" s="1262">
        <f t="shared" si="15"/>
        <v>1</v>
      </c>
      <c r="AB30" s="1262">
        <f t="shared" si="16"/>
        <v>1</v>
      </c>
      <c r="AC30" s="1262">
        <f t="shared" si="17"/>
        <v>1</v>
      </c>
    </row>
    <row r="31" spans="1:29" ht="15.6" thickBot="1">
      <c r="A31" s="374"/>
      <c r="B31" s="1065">
        <v>111</v>
      </c>
      <c r="C31" s="375"/>
      <c r="D31" s="376">
        <v>100</v>
      </c>
      <c r="E31" s="375"/>
      <c r="F31" s="376">
        <f>SUMIF(98:98,E31,99:99)-SUMIF(98:98,C31,99:99)+100</f>
        <v>100</v>
      </c>
      <c r="G31" s="1761"/>
      <c r="H31" s="376">
        <f>SUMIF(98:98,G31,99:99)-SUMIF(98:98,C31,99:99)+100</f>
        <v>100</v>
      </c>
      <c r="I31" s="375"/>
      <c r="J31" s="376">
        <f>SUMIF(98:98,I31,99:99)-SUMIF(98:98,C31,99:99)+100</f>
        <v>100</v>
      </c>
      <c r="K31" s="1746"/>
      <c r="L31" s="2491"/>
      <c r="M31" s="2486"/>
      <c r="N31" s="2486"/>
      <c r="O31" s="2486"/>
      <c r="P31" s="3470"/>
      <c r="Q31" s="1261">
        <f t="shared" si="11"/>
        <v>111</v>
      </c>
      <c r="R31" s="666" t="s">
        <v>18</v>
      </c>
      <c r="S31" s="667">
        <f t="shared" si="12"/>
        <v>100</v>
      </c>
      <c r="T31" s="666" t="s">
        <v>18</v>
      </c>
      <c r="U31" s="667">
        <f t="shared" si="13"/>
        <v>100</v>
      </c>
      <c r="V31" s="666" t="s">
        <v>18</v>
      </c>
      <c r="W31" s="667">
        <f t="shared" si="14"/>
        <v>100</v>
      </c>
      <c r="X31" s="1263"/>
      <c r="Y31" s="3463"/>
      <c r="Z31" s="1262">
        <f t="shared" si="18"/>
        <v>111</v>
      </c>
      <c r="AA31" s="1262">
        <f t="shared" si="15"/>
        <v>1</v>
      </c>
      <c r="AB31" s="1262">
        <f t="shared" si="16"/>
        <v>1</v>
      </c>
      <c r="AC31" s="1262">
        <f t="shared" si="17"/>
        <v>1</v>
      </c>
    </row>
    <row r="32" spans="1:29" ht="15">
      <c r="A32" s="378" t="s">
        <v>1694</v>
      </c>
      <c r="B32" s="60"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91"/>
      <c r="M32" s="2486"/>
      <c r="N32" s="2486"/>
      <c r="O32" s="2486"/>
      <c r="P32" s="3464" t="s">
        <v>1696</v>
      </c>
      <c r="Q32" s="1261" t="str">
        <f t="shared" si="11"/>
        <v>建筑类型</v>
      </c>
      <c r="R32" s="666" t="s">
        <v>18</v>
      </c>
      <c r="S32" s="667">
        <f t="shared" si="12"/>
        <v>100</v>
      </c>
      <c r="T32" s="666" t="s">
        <v>18</v>
      </c>
      <c r="U32" s="667">
        <f t="shared" si="13"/>
        <v>100</v>
      </c>
      <c r="V32" s="666" t="s">
        <v>18</v>
      </c>
      <c r="W32" s="667">
        <f t="shared" si="14"/>
        <v>100</v>
      </c>
      <c r="X32" s="1263"/>
      <c r="Y32" s="3467" t="s">
        <v>1696</v>
      </c>
      <c r="Z32" s="1262" t="str">
        <f t="shared" si="18"/>
        <v>建筑类型</v>
      </c>
      <c r="AA32" s="1262">
        <f t="shared" si="15"/>
        <v>1</v>
      </c>
      <c r="AB32" s="1262">
        <f t="shared" si="16"/>
        <v>1</v>
      </c>
      <c r="AC32" s="1262">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6"/>
      <c r="L33" s="2490"/>
      <c r="M33" s="2492"/>
      <c r="N33" s="2492"/>
      <c r="O33" s="2492"/>
      <c r="P33" s="3465"/>
      <c r="Q33" s="530" t="str">
        <f t="shared" si="11"/>
        <v>项目建筑规模</v>
      </c>
      <c r="R33" s="668" t="s">
        <v>18</v>
      </c>
      <c r="S33" s="669" t="e">
        <f t="shared" si="12"/>
        <v>#N/A</v>
      </c>
      <c r="T33" s="668" t="s">
        <v>18</v>
      </c>
      <c r="U33" s="669" t="e">
        <f t="shared" si="13"/>
        <v>#N/A</v>
      </c>
      <c r="V33" s="668" t="s">
        <v>18</v>
      </c>
      <c r="W33" s="669" t="e">
        <f t="shared" si="14"/>
        <v>#N/A</v>
      </c>
      <c r="X33" s="670"/>
      <c r="Y33" s="3467"/>
      <c r="Z33" s="671"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91"/>
      <c r="M34" s="2486"/>
      <c r="N34" s="2486"/>
      <c r="O34" s="2486"/>
      <c r="P34" s="3465"/>
      <c r="Q34" s="1261" t="str">
        <f t="shared" si="11"/>
        <v>建筑结构</v>
      </c>
      <c r="R34" s="666" t="s">
        <v>18</v>
      </c>
      <c r="S34" s="667">
        <f t="shared" si="12"/>
        <v>100</v>
      </c>
      <c r="T34" s="666" t="s">
        <v>18</v>
      </c>
      <c r="U34" s="667">
        <f t="shared" si="13"/>
        <v>100</v>
      </c>
      <c r="V34" s="666" t="s">
        <v>18</v>
      </c>
      <c r="W34" s="667">
        <f t="shared" si="14"/>
        <v>100</v>
      </c>
      <c r="X34" s="1263"/>
      <c r="Y34" s="3467"/>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91"/>
      <c r="M35" s="2486"/>
      <c r="N35" s="2486"/>
      <c r="O35" s="2486"/>
      <c r="P35" s="3465"/>
      <c r="Q35" s="1261" t="str">
        <f t="shared" si="11"/>
        <v>建筑品质</v>
      </c>
      <c r="R35" s="666" t="s">
        <v>18</v>
      </c>
      <c r="S35" s="667">
        <f t="shared" si="12"/>
        <v>100</v>
      </c>
      <c r="T35" s="666" t="s">
        <v>18</v>
      </c>
      <c r="U35" s="667">
        <f t="shared" si="13"/>
        <v>100</v>
      </c>
      <c r="V35" s="666" t="s">
        <v>18</v>
      </c>
      <c r="W35" s="667">
        <f t="shared" si="14"/>
        <v>100</v>
      </c>
      <c r="X35" s="1263"/>
      <c r="Y35" s="3467"/>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91"/>
      <c r="M36" s="2486"/>
      <c r="N36" s="2486"/>
      <c r="O36" s="2486"/>
      <c r="P36" s="3465"/>
      <c r="Q36" s="1261" t="str">
        <f t="shared" si="11"/>
        <v>公共部分装修</v>
      </c>
      <c r="R36" s="666" t="s">
        <v>18</v>
      </c>
      <c r="S36" s="667">
        <f t="shared" si="12"/>
        <v>100</v>
      </c>
      <c r="T36" s="666" t="s">
        <v>18</v>
      </c>
      <c r="U36" s="667">
        <f t="shared" si="13"/>
        <v>100</v>
      </c>
      <c r="V36" s="666" t="s">
        <v>18</v>
      </c>
      <c r="W36" s="667">
        <f t="shared" si="14"/>
        <v>100</v>
      </c>
      <c r="X36" s="1263"/>
      <c r="Y36" s="3467"/>
      <c r="Z36" s="1262" t="str">
        <f t="shared" si="18"/>
        <v>公共部分装修</v>
      </c>
      <c r="AA36" s="1262">
        <f t="shared" si="15"/>
        <v>1</v>
      </c>
      <c r="AB36" s="1262">
        <f t="shared" si="16"/>
        <v>1</v>
      </c>
      <c r="AC36" s="1262">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7"/>
      <c r="M37" s="2438"/>
      <c r="N37" s="2438"/>
      <c r="O37" s="2438"/>
      <c r="P37" s="3465"/>
      <c r="Q37" s="529" t="str">
        <f t="shared" si="11"/>
        <v>成新度</v>
      </c>
      <c r="R37" s="663" t="s">
        <v>18</v>
      </c>
      <c r="S37" s="664" t="e">
        <f t="shared" si="12"/>
        <v>#N/A</v>
      </c>
      <c r="T37" s="663" t="s">
        <v>18</v>
      </c>
      <c r="U37" s="664" t="e">
        <f t="shared" si="13"/>
        <v>#N/A</v>
      </c>
      <c r="V37" s="663" t="s">
        <v>18</v>
      </c>
      <c r="W37" s="664" t="e">
        <f t="shared" si="14"/>
        <v>#N/A</v>
      </c>
      <c r="X37" s="665"/>
      <c r="Y37" s="3467"/>
      <c r="Z37" s="50" t="str">
        <f t="shared" si="18"/>
        <v>成新度</v>
      </c>
      <c r="AA37" s="50" t="e">
        <f t="shared" si="15"/>
        <v>#N/A</v>
      </c>
      <c r="AB37" s="50" t="e">
        <f t="shared" si="16"/>
        <v>#N/A</v>
      </c>
      <c r="AC37" s="50"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91"/>
      <c r="M38" s="2486"/>
      <c r="N38" s="2486"/>
      <c r="O38" s="2486"/>
      <c r="P38" s="3465" t="s">
        <v>1696</v>
      </c>
      <c r="Q38" s="1261" t="str">
        <f t="shared" si="11"/>
        <v>物业管理</v>
      </c>
      <c r="R38" s="666" t="s">
        <v>18</v>
      </c>
      <c r="S38" s="667">
        <f t="shared" si="12"/>
        <v>100</v>
      </c>
      <c r="T38" s="666" t="s">
        <v>18</v>
      </c>
      <c r="U38" s="667">
        <f t="shared" si="13"/>
        <v>100</v>
      </c>
      <c r="V38" s="666" t="s">
        <v>18</v>
      </c>
      <c r="W38" s="667">
        <f t="shared" si="14"/>
        <v>100</v>
      </c>
      <c r="X38" s="1263"/>
      <c r="Y38" s="3467"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91"/>
      <c r="M39" s="2486"/>
      <c r="N39" s="2486"/>
      <c r="O39" s="2486"/>
      <c r="P39" s="3465"/>
      <c r="Q39" s="1261" t="str">
        <f t="shared" si="11"/>
        <v>市政基础设施</v>
      </c>
      <c r="R39" s="666" t="s">
        <v>18</v>
      </c>
      <c r="S39" s="667">
        <f t="shared" si="12"/>
        <v>100</v>
      </c>
      <c r="T39" s="666" t="s">
        <v>18</v>
      </c>
      <c r="U39" s="667">
        <f t="shared" si="13"/>
        <v>100</v>
      </c>
      <c r="V39" s="666" t="s">
        <v>18</v>
      </c>
      <c r="W39" s="667">
        <f t="shared" si="14"/>
        <v>100</v>
      </c>
      <c r="X39" s="1263"/>
      <c r="Y39" s="3467"/>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91"/>
      <c r="M40" s="2486"/>
      <c r="N40" s="2486"/>
      <c r="O40" s="2486"/>
      <c r="P40" s="3465"/>
      <c r="Q40" s="1261" t="str">
        <f t="shared" si="11"/>
        <v>房型</v>
      </c>
      <c r="R40" s="666" t="s">
        <v>18</v>
      </c>
      <c r="S40" s="667">
        <f t="shared" si="12"/>
        <v>100</v>
      </c>
      <c r="T40" s="666" t="s">
        <v>18</v>
      </c>
      <c r="U40" s="667">
        <f t="shared" si="13"/>
        <v>100</v>
      </c>
      <c r="V40" s="666" t="s">
        <v>18</v>
      </c>
      <c r="W40" s="667">
        <f t="shared" si="14"/>
        <v>100</v>
      </c>
      <c r="X40" s="1263"/>
      <c r="Y40" s="3467"/>
      <c r="Z40" s="1262" t="str">
        <f t="shared" si="18"/>
        <v>房型</v>
      </c>
      <c r="AA40" s="1262">
        <f t="shared" si="15"/>
        <v>1</v>
      </c>
      <c r="AB40" s="1262">
        <f t="shared" si="16"/>
        <v>1</v>
      </c>
      <c r="AC40" s="1262">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6"/>
      <c r="L41" s="2490"/>
      <c r="M41" s="2492"/>
      <c r="N41" s="2492"/>
      <c r="O41" s="2492"/>
      <c r="P41" s="3465"/>
      <c r="Q41" s="530" t="str">
        <f t="shared" si="11"/>
        <v>单套/主力户型建筑面积</v>
      </c>
      <c r="R41" s="668" t="s">
        <v>18</v>
      </c>
      <c r="S41" s="669">
        <f t="shared" si="12"/>
        <v>100</v>
      </c>
      <c r="T41" s="668" t="s">
        <v>18</v>
      </c>
      <c r="U41" s="669">
        <f t="shared" si="13"/>
        <v>100</v>
      </c>
      <c r="V41" s="668" t="s">
        <v>18</v>
      </c>
      <c r="W41" s="669">
        <f t="shared" si="14"/>
        <v>100</v>
      </c>
      <c r="X41" s="670"/>
      <c r="Y41" s="3467"/>
      <c r="Z41" s="671"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91"/>
      <c r="M42" s="2486"/>
      <c r="N42" s="2486"/>
      <c r="O42" s="2486"/>
      <c r="P42" s="3465"/>
      <c r="Q42" s="1261" t="str">
        <f t="shared" si="11"/>
        <v>内部装修</v>
      </c>
      <c r="R42" s="666" t="s">
        <v>18</v>
      </c>
      <c r="S42" s="667">
        <f t="shared" si="12"/>
        <v>100</v>
      </c>
      <c r="T42" s="666" t="s">
        <v>18</v>
      </c>
      <c r="U42" s="667">
        <f t="shared" si="13"/>
        <v>100</v>
      </c>
      <c r="V42" s="666" t="s">
        <v>18</v>
      </c>
      <c r="W42" s="667">
        <f t="shared" si="14"/>
        <v>100</v>
      </c>
      <c r="X42" s="1263"/>
      <c r="Y42" s="3467"/>
      <c r="Z42" s="1262" t="str">
        <f t="shared" si="18"/>
        <v>内部装修</v>
      </c>
      <c r="AA42" s="1262">
        <f t="shared" si="15"/>
        <v>1</v>
      </c>
      <c r="AB42" s="1262">
        <f t="shared" si="16"/>
        <v>1</v>
      </c>
      <c r="AC42" s="1262">
        <f t="shared" si="17"/>
        <v>1</v>
      </c>
    </row>
    <row r="43" spans="1:29" ht="28.8">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91"/>
      <c r="M43" s="2486"/>
      <c r="N43" s="2486"/>
      <c r="O43" s="2486"/>
      <c r="P43" s="3465"/>
      <c r="Q43" s="1261" t="str">
        <f t="shared" si="11"/>
        <v>内部装修维护情况</v>
      </c>
      <c r="R43" s="666" t="s">
        <v>18</v>
      </c>
      <c r="S43" s="667">
        <f t="shared" si="12"/>
        <v>100</v>
      </c>
      <c r="T43" s="666" t="s">
        <v>18</v>
      </c>
      <c r="U43" s="667">
        <f t="shared" si="13"/>
        <v>100</v>
      </c>
      <c r="V43" s="666" t="s">
        <v>18</v>
      </c>
      <c r="W43" s="667">
        <f t="shared" si="14"/>
        <v>100</v>
      </c>
      <c r="X43" s="1263"/>
      <c r="Y43" s="3467"/>
      <c r="Z43" s="1262" t="str">
        <f t="shared" si="18"/>
        <v>内部装修维护情况</v>
      </c>
      <c r="AA43" s="1262">
        <f t="shared" si="15"/>
        <v>1</v>
      </c>
      <c r="AB43" s="1262">
        <f t="shared" si="16"/>
        <v>1</v>
      </c>
      <c r="AC43" s="1262">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6"/>
      <c r="L44" s="2487"/>
      <c r="M44" s="2438"/>
      <c r="N44" s="2438"/>
      <c r="O44" s="2438"/>
      <c r="P44" s="3465"/>
      <c r="Q44" s="529">
        <f t="shared" si="11"/>
        <v>111</v>
      </c>
      <c r="R44" s="663" t="s">
        <v>18</v>
      </c>
      <c r="S44" s="664">
        <f t="shared" si="12"/>
        <v>100</v>
      </c>
      <c r="T44" s="663" t="s">
        <v>18</v>
      </c>
      <c r="U44" s="664">
        <f t="shared" si="13"/>
        <v>100</v>
      </c>
      <c r="V44" s="663" t="s">
        <v>18</v>
      </c>
      <c r="W44" s="664">
        <f t="shared" si="14"/>
        <v>100</v>
      </c>
      <c r="X44" s="665"/>
      <c r="Y44" s="346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1"/>
      <c r="M45" s="2486"/>
      <c r="N45" s="2486"/>
      <c r="O45" s="2486"/>
      <c r="P45" s="3465"/>
      <c r="Q45" s="1261">
        <f t="shared" si="11"/>
        <v>111</v>
      </c>
      <c r="R45" s="666" t="s">
        <v>18</v>
      </c>
      <c r="S45" s="667">
        <f t="shared" si="12"/>
        <v>100</v>
      </c>
      <c r="T45" s="666" t="s">
        <v>18</v>
      </c>
      <c r="U45" s="667">
        <f t="shared" si="13"/>
        <v>100</v>
      </c>
      <c r="V45" s="666" t="s">
        <v>18</v>
      </c>
      <c r="W45" s="667">
        <f t="shared" si="14"/>
        <v>100</v>
      </c>
      <c r="X45" s="1263"/>
      <c r="Y45" s="3467"/>
      <c r="Z45" s="1262">
        <f t="shared" si="18"/>
        <v>111</v>
      </c>
      <c r="AA45" s="1262">
        <f t="shared" si="15"/>
        <v>1</v>
      </c>
      <c r="AB45" s="1262">
        <f t="shared" si="16"/>
        <v>1</v>
      </c>
      <c r="AC45" s="1262">
        <f t="shared" si="17"/>
        <v>1</v>
      </c>
    </row>
    <row r="46" spans="1:29" ht="15.6"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1"/>
      <c r="M46" s="2486"/>
      <c r="N46" s="2486"/>
      <c r="O46" s="2486"/>
      <c r="P46" s="3466"/>
      <c r="Q46" s="1261">
        <f t="shared" si="11"/>
        <v>111</v>
      </c>
      <c r="R46" s="666" t="s">
        <v>17</v>
      </c>
      <c r="S46" s="667">
        <f t="shared" si="12"/>
        <v>100</v>
      </c>
      <c r="T46" s="666" t="s">
        <v>17</v>
      </c>
      <c r="U46" s="667">
        <f t="shared" si="13"/>
        <v>100</v>
      </c>
      <c r="V46" s="666" t="s">
        <v>17</v>
      </c>
      <c r="W46" s="667">
        <f t="shared" si="14"/>
        <v>100</v>
      </c>
      <c r="X46" s="1263"/>
      <c r="Y46" s="3468"/>
      <c r="Z46" s="1262">
        <f t="shared" si="18"/>
        <v>111</v>
      </c>
      <c r="AA46" s="1262">
        <f t="shared" si="15"/>
        <v>1</v>
      </c>
      <c r="AB46" s="1262">
        <f t="shared" si="16"/>
        <v>1</v>
      </c>
      <c r="AC46" s="1262">
        <f t="shared" si="17"/>
        <v>1</v>
      </c>
    </row>
    <row r="47" spans="1:29" ht="14.4">
      <c r="A47" s="415" t="s">
        <v>1708</v>
      </c>
      <c r="B47" s="416"/>
      <c r="C47" s="1079" t="s">
        <v>16</v>
      </c>
      <c r="D47" s="417"/>
      <c r="E47" s="418"/>
      <c r="F47" s="419"/>
      <c r="G47" s="420"/>
      <c r="H47" s="421"/>
      <c r="I47" s="418"/>
      <c r="J47" s="421"/>
      <c r="K47" s="1765"/>
      <c r="L47" s="2493"/>
      <c r="M47" s="2486"/>
      <c r="N47" s="2486"/>
      <c r="O47" s="2486"/>
      <c r="P47" s="3461" t="str">
        <f>A47</f>
        <v>成交单价（元/平方米）</v>
      </c>
      <c r="Q47" s="3461"/>
      <c r="R47" s="3456">
        <f>E47</f>
        <v>0</v>
      </c>
      <c r="S47" s="3456"/>
      <c r="T47" s="3456">
        <f>G47</f>
        <v>0</v>
      </c>
      <c r="U47" s="3456"/>
      <c r="V47" s="3456">
        <f>I47</f>
        <v>0</v>
      </c>
      <c r="W47" s="3456"/>
      <c r="X47" s="384"/>
      <c r="Y47" s="672"/>
      <c r="Z47" s="384"/>
      <c r="AA47" s="384"/>
      <c r="AB47" s="384"/>
      <c r="AC47" s="384"/>
    </row>
    <row r="48" spans="1:29" ht="15" thickBot="1">
      <c r="A48" s="422" t="s">
        <v>1709</v>
      </c>
      <c r="B48" s="423"/>
      <c r="C48" s="1080" t="e">
        <f>R49</f>
        <v>#DIV/0!</v>
      </c>
      <c r="D48" s="2139" t="s">
        <v>2138</v>
      </c>
      <c r="E48" s="1081" t="e">
        <f>R48</f>
        <v>#DIV/0!</v>
      </c>
      <c r="F48" s="2140"/>
      <c r="G48" s="1080" t="e">
        <f>T48</f>
        <v>#DIV/0!</v>
      </c>
      <c r="H48" s="2140"/>
      <c r="I48" s="1081" t="e">
        <f>V48</f>
        <v>#DIV/0!</v>
      </c>
      <c r="J48" s="2140"/>
      <c r="K48" s="2141">
        <f>F48+H48+J48</f>
        <v>0</v>
      </c>
      <c r="L48" s="2493"/>
      <c r="M48" s="2486"/>
      <c r="N48" s="2486"/>
      <c r="O48" s="2486"/>
      <c r="P48" s="3461" t="str">
        <f>A48</f>
        <v>比较价值（元/平方米）</v>
      </c>
      <c r="Q48" s="3461"/>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84"/>
      <c r="Y48" s="384"/>
      <c r="Z48" s="384"/>
      <c r="AA48" s="384"/>
      <c r="AB48" s="384"/>
      <c r="AC48" s="384"/>
    </row>
    <row r="49" spans="1:29" ht="15" thickBot="1">
      <c r="A49" s="426" t="s">
        <v>1710</v>
      </c>
      <c r="B49" s="427"/>
      <c r="C49" s="1082" t="e">
        <f>R49</f>
        <v>#DIV/0!</v>
      </c>
      <c r="D49" s="350"/>
      <c r="E49" s="350"/>
      <c r="F49" s="350"/>
      <c r="G49" s="350"/>
      <c r="H49" s="350"/>
      <c r="I49" s="350"/>
      <c r="J49" s="350"/>
      <c r="K49" s="1766"/>
      <c r="L49" s="2493"/>
      <c r="M49" s="2486"/>
      <c r="N49" s="2486"/>
      <c r="O49" s="2486"/>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8"/>
    </row>
    <row r="55" spans="1:29" s="436"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4"/>
      <c r="C57" s="658"/>
      <c r="D57" s="658"/>
      <c r="E57" s="658"/>
      <c r="F57" s="659"/>
      <c r="G57" s="659"/>
      <c r="H57" s="658"/>
      <c r="I57" s="658"/>
      <c r="J57" s="658"/>
      <c r="K57" s="886"/>
      <c r="L57" s="887"/>
      <c r="M57" s="885"/>
      <c r="N57" s="885"/>
      <c r="O57" s="885"/>
      <c r="P57" s="1769"/>
      <c r="Q57" s="438"/>
    </row>
    <row r="58" spans="1:29" s="441" customFormat="1" ht="14.4">
      <c r="A58" s="439" t="s">
        <v>1715</v>
      </c>
      <c r="B58" s="440"/>
      <c r="C58" s="1103" t="str">
        <f>YEAR(C7)&amp;"-"&amp;MONTH(C7)</f>
        <v>2024-11</v>
      </c>
      <c r="D58" s="1102">
        <f>EDATE(C58,-1)</f>
        <v>45566</v>
      </c>
      <c r="E58" s="1102">
        <f>EDATE(D58,-1)</f>
        <v>45536</v>
      </c>
      <c r="F58" s="1102">
        <f t="shared" ref="F58:O58" si="19">EDATE(E58,-1)</f>
        <v>45505</v>
      </c>
      <c r="G58" s="1102">
        <f t="shared" si="19"/>
        <v>45474</v>
      </c>
      <c r="H58" s="1102">
        <f t="shared" si="19"/>
        <v>45444</v>
      </c>
      <c r="I58" s="1102">
        <f t="shared" si="19"/>
        <v>45413</v>
      </c>
      <c r="J58" s="1102">
        <f t="shared" si="19"/>
        <v>45383</v>
      </c>
      <c r="K58" s="1102">
        <f t="shared" si="19"/>
        <v>45352</v>
      </c>
      <c r="L58" s="1102">
        <f t="shared" si="19"/>
        <v>45323</v>
      </c>
      <c r="M58" s="1102">
        <f t="shared" si="19"/>
        <v>45292</v>
      </c>
      <c r="N58" s="1102">
        <f t="shared" si="19"/>
        <v>45261</v>
      </c>
      <c r="O58" s="1102">
        <f t="shared" si="19"/>
        <v>45231</v>
      </c>
      <c r="P58" s="1098"/>
    </row>
    <row r="59" spans="1:29" s="102" customFormat="1">
      <c r="A59" s="442"/>
      <c r="B59" s="1770"/>
      <c r="C59" s="1100">
        <v>100</v>
      </c>
      <c r="D59" s="444"/>
      <c r="E59" s="445"/>
      <c r="F59" s="445"/>
      <c r="G59" s="445"/>
      <c r="H59" s="445"/>
      <c r="I59" s="445"/>
      <c r="J59" s="445"/>
      <c r="K59" s="445"/>
      <c r="L59" s="445"/>
      <c r="M59" s="446"/>
      <c r="N59" s="445"/>
      <c r="O59" s="446"/>
      <c r="P59" s="1771"/>
    </row>
    <row r="60" spans="1:29" s="102" customFormat="1" ht="15" thickBot="1">
      <c r="A60" s="448" t="s">
        <v>1716</v>
      </c>
      <c r="B60" s="449"/>
      <c r="C60" s="450"/>
      <c r="D60" s="451"/>
      <c r="E60" s="451"/>
      <c r="F60" s="451"/>
      <c r="G60" s="451"/>
      <c r="H60" s="451"/>
      <c r="I60" s="451"/>
      <c r="J60" s="451"/>
      <c r="K60" s="451"/>
      <c r="L60" s="451"/>
      <c r="M60" s="452"/>
      <c r="N60" s="451"/>
      <c r="O60" s="452"/>
      <c r="P60" s="1771"/>
      <c r="Q60" s="438"/>
    </row>
    <row r="61" spans="1:29" s="102" customFormat="1" ht="14.4">
      <c r="A61" s="454" t="s">
        <v>1717</v>
      </c>
      <c r="B61" s="443"/>
      <c r="C61" s="455" t="s">
        <v>1718</v>
      </c>
      <c r="D61" s="31"/>
      <c r="E61" s="31"/>
      <c r="F61" s="31"/>
      <c r="G61" s="31"/>
      <c r="H61" s="31"/>
      <c r="I61" s="31"/>
      <c r="J61" s="31"/>
      <c r="K61" s="31"/>
      <c r="L61" s="456"/>
      <c r="M61" s="457"/>
      <c r="N61" s="877"/>
      <c r="O61" s="877"/>
      <c r="P61" s="1772"/>
      <c r="Q61" s="438"/>
    </row>
    <row r="62" spans="1:29" s="102" customFormat="1" ht="14.4" thickBot="1">
      <c r="A62" s="454"/>
      <c r="B62" s="443"/>
      <c r="C62" s="444">
        <v>100</v>
      </c>
      <c r="D62" s="445"/>
      <c r="E62" s="445"/>
      <c r="F62" s="445"/>
      <c r="G62" s="445"/>
      <c r="H62" s="445"/>
      <c r="I62" s="445"/>
      <c r="J62" s="445"/>
      <c r="K62" s="445"/>
      <c r="L62" s="445"/>
      <c r="M62" s="447"/>
      <c r="N62" s="877"/>
      <c r="O62" s="877"/>
      <c r="P62" s="1771"/>
      <c r="Q62" s="438"/>
    </row>
    <row r="63" spans="1:29" ht="14.4">
      <c r="A63" s="378" t="s">
        <v>1719</v>
      </c>
      <c r="B63" s="459" t="s">
        <v>1685</v>
      </c>
      <c r="C63" s="460">
        <f>C9</f>
        <v>0</v>
      </c>
      <c r="D63" s="461"/>
      <c r="E63" s="461"/>
      <c r="F63" s="461"/>
      <c r="G63" s="461"/>
      <c r="H63" s="461"/>
      <c r="I63" s="461"/>
      <c r="J63" s="461"/>
      <c r="K63" s="462"/>
      <c r="L63" s="463"/>
      <c r="M63" s="464"/>
      <c r="N63" s="878"/>
      <c r="O63" s="878"/>
      <c r="P63" s="1773"/>
      <c r="Q63" s="438"/>
    </row>
    <row r="64" spans="1:29" ht="14.4" thickBot="1">
      <c r="A64" s="366"/>
      <c r="B64" s="465"/>
      <c r="C64" s="466">
        <v>100</v>
      </c>
      <c r="D64" s="466"/>
      <c r="E64" s="466"/>
      <c r="F64" s="466"/>
      <c r="G64" s="466"/>
      <c r="H64" s="466"/>
      <c r="I64" s="466"/>
      <c r="J64" s="466"/>
      <c r="K64" s="466"/>
      <c r="L64" s="466"/>
      <c r="M64" s="467"/>
      <c r="N64" s="879"/>
      <c r="O64" s="879"/>
      <c r="P64" s="1773"/>
      <c r="Q64" s="438"/>
    </row>
    <row r="65" spans="1:17" ht="29.4" thickTop="1">
      <c r="A65" s="366"/>
      <c r="B65" s="468" t="s">
        <v>1688</v>
      </c>
      <c r="C65" s="512"/>
      <c r="D65" s="512"/>
      <c r="E65" s="512"/>
      <c r="F65" s="512"/>
      <c r="G65" s="512"/>
      <c r="H65" s="512"/>
      <c r="I65" s="512"/>
      <c r="J65" s="512"/>
      <c r="K65" s="512"/>
      <c r="L65" s="512"/>
      <c r="M65" s="512"/>
      <c r="N65" s="879"/>
      <c r="O65" s="879"/>
      <c r="P65" s="1773"/>
      <c r="Q65" s="438"/>
    </row>
    <row r="66" spans="1:17" ht="14.4" thickBot="1">
      <c r="A66" s="366"/>
      <c r="B66" s="473"/>
      <c r="C66" s="466"/>
      <c r="D66" s="466"/>
      <c r="E66" s="466"/>
      <c r="F66" s="466"/>
      <c r="G66" s="466"/>
      <c r="H66" s="466"/>
      <c r="I66" s="466"/>
      <c r="J66" s="466"/>
      <c r="K66" s="466"/>
      <c r="L66" s="466"/>
      <c r="M66" s="467"/>
      <c r="N66" s="879"/>
      <c r="O66" s="879"/>
      <c r="P66" s="1773"/>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c r="A68" s="366"/>
      <c r="B68" s="478"/>
      <c r="C68" s="479"/>
      <c r="D68" s="479"/>
      <c r="E68" s="479"/>
      <c r="F68" s="479"/>
      <c r="G68" s="479"/>
      <c r="H68" s="479"/>
      <c r="I68" s="479"/>
      <c r="J68" s="479"/>
      <c r="K68" s="480"/>
      <c r="L68" s="481"/>
      <c r="M68" s="482"/>
      <c r="N68" s="878"/>
      <c r="O68" s="878"/>
      <c r="P68" s="1773"/>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4.4" thickTop="1">
      <c r="A70" s="483"/>
      <c r="B70" s="468">
        <f>B12</f>
        <v>111</v>
      </c>
      <c r="C70" s="484"/>
      <c r="D70" s="484"/>
      <c r="E70" s="484"/>
      <c r="F70" s="484"/>
      <c r="G70" s="484"/>
      <c r="H70" s="485"/>
      <c r="I70" s="485"/>
      <c r="J70" s="485"/>
      <c r="K70" s="485"/>
      <c r="L70" s="486"/>
      <c r="M70" s="487"/>
      <c r="N70" s="880"/>
      <c r="O70" s="880"/>
      <c r="P70" s="1774"/>
      <c r="Q70" s="489"/>
    </row>
    <row r="71" spans="1:17" s="407" customFormat="1" ht="14.4" thickBot="1">
      <c r="A71" s="483"/>
      <c r="B71" s="473"/>
      <c r="C71" s="490"/>
      <c r="D71" s="466"/>
      <c r="E71" s="466"/>
      <c r="F71" s="466"/>
      <c r="G71" s="466"/>
      <c r="H71" s="466"/>
      <c r="I71" s="466"/>
      <c r="J71" s="466"/>
      <c r="K71" s="466"/>
      <c r="L71" s="466"/>
      <c r="M71" s="467"/>
      <c r="N71" s="879"/>
      <c r="O71" s="879"/>
      <c r="P71" s="1774"/>
      <c r="Q71" s="489"/>
    </row>
    <row r="72" spans="1:17" s="407" customFormat="1" ht="14.4" thickTop="1">
      <c r="A72" s="483"/>
      <c r="B72" s="468">
        <f>B13</f>
        <v>111</v>
      </c>
      <c r="C72" s="484"/>
      <c r="D72" s="484"/>
      <c r="E72" s="484"/>
      <c r="F72" s="484"/>
      <c r="G72" s="484"/>
      <c r="H72" s="485"/>
      <c r="I72" s="485"/>
      <c r="J72" s="485"/>
      <c r="K72" s="485"/>
      <c r="L72" s="486"/>
      <c r="M72" s="487"/>
      <c r="N72" s="880"/>
      <c r="O72" s="880"/>
      <c r="P72" s="1775"/>
      <c r="Q72" s="491"/>
    </row>
    <row r="73" spans="1:17" s="407" customFormat="1" ht="14.4" thickBot="1">
      <c r="A73" s="483"/>
      <c r="B73" s="473"/>
      <c r="C73" s="490"/>
      <c r="D73" s="490"/>
      <c r="E73" s="490"/>
      <c r="F73" s="490"/>
      <c r="G73" s="490"/>
      <c r="H73" s="492"/>
      <c r="I73" s="492"/>
      <c r="J73" s="492"/>
      <c r="K73" s="492"/>
      <c r="L73" s="492"/>
      <c r="M73" s="493"/>
      <c r="N73" s="880"/>
      <c r="O73" s="880"/>
      <c r="P73" s="1774"/>
      <c r="Q73" s="489"/>
    </row>
    <row r="74" spans="1:17" s="407" customFormat="1" ht="14.4" thickTop="1">
      <c r="A74" s="483"/>
      <c r="B74" s="476">
        <f>B14</f>
        <v>111</v>
      </c>
      <c r="C74" s="484"/>
      <c r="D74" s="484"/>
      <c r="E74" s="484"/>
      <c r="F74" s="484"/>
      <c r="G74" s="31"/>
      <c r="H74" s="494"/>
      <c r="I74" s="494"/>
      <c r="J74" s="494"/>
      <c r="K74" s="494"/>
      <c r="L74" s="495"/>
      <c r="M74" s="496"/>
      <c r="N74" s="880"/>
      <c r="O74" s="880"/>
      <c r="P74" s="1776"/>
      <c r="Q74" s="489"/>
    </row>
    <row r="75" spans="1:17" s="407" customFormat="1" ht="14.4" thickBot="1">
      <c r="A75" s="498"/>
      <c r="B75" s="499"/>
      <c r="C75" s="500"/>
      <c r="D75" s="500"/>
      <c r="E75" s="500"/>
      <c r="F75" s="500"/>
      <c r="G75" s="500"/>
      <c r="H75" s="501"/>
      <c r="I75" s="501"/>
      <c r="J75" s="501"/>
      <c r="K75" s="501"/>
      <c r="L75" s="501"/>
      <c r="M75" s="502"/>
      <c r="N75" s="880"/>
      <c r="O75" s="880"/>
      <c r="P75" s="1774"/>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3"/>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3"/>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2" customFormat="1" ht="15" thickTop="1">
      <c r="A86" s="369"/>
      <c r="B86" s="468" t="s">
        <v>1734</v>
      </c>
      <c r="C86" s="484"/>
      <c r="D86" s="484"/>
      <c r="E86" s="484"/>
      <c r="F86" s="484"/>
      <c r="G86" s="484"/>
      <c r="H86" s="484"/>
      <c r="I86" s="484"/>
      <c r="J86" s="484"/>
      <c r="K86" s="484"/>
      <c r="L86" s="509"/>
      <c r="M86" s="510"/>
      <c r="N86" s="877"/>
      <c r="O86" s="877"/>
      <c r="P86" s="1773"/>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2" customFormat="1" ht="15" thickTop="1">
      <c r="A88" s="369"/>
      <c r="B88" s="468" t="s">
        <v>1735</v>
      </c>
      <c r="C88" s="484"/>
      <c r="D88" s="484"/>
      <c r="E88" s="484"/>
      <c r="F88" s="1778"/>
      <c r="G88" s="484"/>
      <c r="H88" s="484"/>
      <c r="I88" s="484"/>
      <c r="J88" s="484"/>
      <c r="K88" s="484"/>
      <c r="L88" s="484"/>
      <c r="M88" s="510"/>
      <c r="N88" s="877"/>
      <c r="O88" s="877"/>
      <c r="P88" s="1773"/>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3"/>
      <c r="Q89" s="438"/>
    </row>
    <row r="90" spans="1:17" s="407" customFormat="1" ht="14.4" thickTop="1">
      <c r="A90" s="483"/>
      <c r="B90" s="468">
        <f>B27</f>
        <v>111</v>
      </c>
      <c r="C90" s="484"/>
      <c r="D90" s="484"/>
      <c r="E90" s="484"/>
      <c r="F90" s="484"/>
      <c r="G90" s="484"/>
      <c r="H90" s="485"/>
      <c r="I90" s="485"/>
      <c r="J90" s="485"/>
      <c r="K90" s="485"/>
      <c r="L90" s="486"/>
      <c r="M90" s="487"/>
      <c r="N90" s="880"/>
      <c r="O90" s="880"/>
      <c r="P90" s="1774"/>
      <c r="Q90" s="489"/>
    </row>
    <row r="91" spans="1:17" s="407" customFormat="1" ht="14.4" thickBot="1">
      <c r="A91" s="483"/>
      <c r="B91" s="473"/>
      <c r="C91" s="490"/>
      <c r="D91" s="490"/>
      <c r="E91" s="490"/>
      <c r="F91" s="490"/>
      <c r="G91" s="490"/>
      <c r="H91" s="492"/>
      <c r="I91" s="492"/>
      <c r="J91" s="492"/>
      <c r="K91" s="492"/>
      <c r="L91" s="492"/>
      <c r="M91" s="493"/>
      <c r="N91" s="880"/>
      <c r="O91" s="880"/>
      <c r="P91" s="1774"/>
      <c r="Q91" s="489"/>
    </row>
    <row r="92" spans="1:17" ht="14.4" thickTop="1">
      <c r="A92" s="366"/>
      <c r="B92" s="468">
        <f>B28</f>
        <v>111</v>
      </c>
      <c r="C92" s="484"/>
      <c r="D92" s="484"/>
      <c r="E92" s="484"/>
      <c r="F92" s="484"/>
      <c r="G92" s="512"/>
      <c r="H92" s="512"/>
      <c r="I92" s="512"/>
      <c r="J92" s="512"/>
      <c r="K92" s="513"/>
      <c r="L92" s="514"/>
      <c r="M92" s="515"/>
      <c r="N92" s="878"/>
      <c r="O92" s="878"/>
      <c r="P92" s="1773"/>
      <c r="Q92" s="438"/>
    </row>
    <row r="93" spans="1:17" ht="14.4" thickBot="1">
      <c r="A93" s="366"/>
      <c r="B93" s="473"/>
      <c r="C93" s="490"/>
      <c r="D93" s="466"/>
      <c r="E93" s="466"/>
      <c r="F93" s="466"/>
      <c r="G93" s="466"/>
      <c r="H93" s="466"/>
      <c r="I93" s="466"/>
      <c r="J93" s="466"/>
      <c r="K93" s="466"/>
      <c r="L93" s="466"/>
      <c r="M93" s="467"/>
      <c r="N93" s="879"/>
      <c r="O93" s="879"/>
      <c r="P93" s="1773"/>
      <c r="Q93" s="438"/>
    </row>
    <row r="94" spans="1:17" ht="14.4" thickTop="1">
      <c r="A94" s="366"/>
      <c r="B94" s="468">
        <f>B29</f>
        <v>111</v>
      </c>
      <c r="C94" s="484"/>
      <c r="D94" s="484"/>
      <c r="E94" s="484"/>
      <c r="F94" s="484"/>
      <c r="G94" s="512"/>
      <c r="H94" s="512"/>
      <c r="I94" s="512"/>
      <c r="J94" s="512"/>
      <c r="K94" s="513"/>
      <c r="L94" s="514"/>
      <c r="M94" s="515"/>
      <c r="N94" s="878"/>
      <c r="O94" s="878"/>
      <c r="P94" s="1773"/>
      <c r="Q94" s="438"/>
    </row>
    <row r="95" spans="1:17" ht="14.4" thickBot="1">
      <c r="A95" s="366"/>
      <c r="B95" s="473"/>
      <c r="C95" s="490"/>
      <c r="D95" s="490"/>
      <c r="E95" s="490"/>
      <c r="F95" s="490"/>
      <c r="G95" s="466"/>
      <c r="H95" s="466"/>
      <c r="I95" s="466"/>
      <c r="J95" s="466"/>
      <c r="K95" s="466"/>
      <c r="L95" s="466"/>
      <c r="M95" s="467"/>
      <c r="N95" s="879"/>
      <c r="O95" s="879"/>
      <c r="P95" s="1773"/>
      <c r="Q95" s="438"/>
    </row>
    <row r="96" spans="1:17" ht="14.4" thickTop="1">
      <c r="A96" s="366"/>
      <c r="B96" s="468">
        <f>B30</f>
        <v>111</v>
      </c>
      <c r="C96" s="484"/>
      <c r="D96" s="484"/>
      <c r="E96" s="484"/>
      <c r="F96" s="484"/>
      <c r="G96" s="512"/>
      <c r="H96" s="512"/>
      <c r="I96" s="512"/>
      <c r="J96" s="512"/>
      <c r="K96" s="513"/>
      <c r="L96" s="514"/>
      <c r="M96" s="515"/>
      <c r="N96" s="878"/>
      <c r="O96" s="878"/>
      <c r="P96" s="1773"/>
      <c r="Q96" s="438"/>
    </row>
    <row r="97" spans="1:17" ht="14.4" thickBot="1">
      <c r="A97" s="366"/>
      <c r="B97" s="473"/>
      <c r="C97" s="500"/>
      <c r="D97" s="500"/>
      <c r="E97" s="500"/>
      <c r="F97" s="500"/>
      <c r="G97" s="466"/>
      <c r="H97" s="466"/>
      <c r="I97" s="466"/>
      <c r="J97" s="466"/>
      <c r="K97" s="466"/>
      <c r="L97" s="466"/>
      <c r="M97" s="467"/>
      <c r="N97" s="879"/>
      <c r="O97" s="879"/>
      <c r="P97" s="1773"/>
      <c r="Q97" s="438"/>
    </row>
    <row r="98" spans="1:17" ht="14.4" thickTop="1">
      <c r="A98" s="366"/>
      <c r="B98" s="476">
        <f>B31</f>
        <v>111</v>
      </c>
      <c r="C98" s="516"/>
      <c r="D98" s="516"/>
      <c r="E98" s="516"/>
      <c r="F98" s="516"/>
      <c r="G98" s="516"/>
      <c r="H98" s="516"/>
      <c r="I98" s="516"/>
      <c r="J98" s="516"/>
      <c r="K98" s="517"/>
      <c r="L98" s="518"/>
      <c r="M98" s="519"/>
      <c r="N98" s="878"/>
      <c r="O98" s="878"/>
      <c r="P98" s="1773"/>
      <c r="Q98" s="438"/>
    </row>
    <row r="99" spans="1:17" ht="14.4" thickBot="1">
      <c r="A99" s="374"/>
      <c r="B99" s="499"/>
      <c r="C99" s="520"/>
      <c r="D99" s="520"/>
      <c r="E99" s="520"/>
      <c r="F99" s="520"/>
      <c r="G99" s="520"/>
      <c r="H99" s="520"/>
      <c r="I99" s="520"/>
      <c r="J99" s="520"/>
      <c r="K99" s="520"/>
      <c r="L99" s="520"/>
      <c r="M99" s="521"/>
      <c r="N99" s="879"/>
      <c r="O99" s="879"/>
      <c r="P99" s="1773"/>
      <c r="Q99" s="438"/>
    </row>
    <row r="100" spans="1:17" ht="14.4">
      <c r="A100" s="378" t="s">
        <v>1694</v>
      </c>
      <c r="B100" s="459" t="s">
        <v>1736</v>
      </c>
      <c r="C100" s="461"/>
      <c r="D100" s="461"/>
      <c r="E100" s="461"/>
      <c r="F100" s="461"/>
      <c r="G100" s="461"/>
      <c r="H100" s="461"/>
      <c r="I100" s="461"/>
      <c r="J100" s="461"/>
      <c r="K100" s="462"/>
      <c r="L100" s="463"/>
      <c r="M100" s="464"/>
      <c r="N100" s="878"/>
      <c r="O100" s="878"/>
      <c r="P100" s="1773"/>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3"/>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4.4"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3"/>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4.4"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3"/>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4.4" thickBot="1">
      <c r="A127" s="483"/>
      <c r="B127" s="473"/>
      <c r="C127" s="490"/>
      <c r="D127" s="466"/>
      <c r="E127" s="466"/>
      <c r="F127" s="466"/>
      <c r="G127" s="490"/>
      <c r="H127" s="492"/>
      <c r="I127" s="492"/>
      <c r="J127" s="492"/>
      <c r="K127" s="492"/>
      <c r="L127" s="492"/>
      <c r="M127" s="493"/>
      <c r="N127" s="880"/>
      <c r="O127" s="880"/>
      <c r="P127" s="1774"/>
      <c r="Q127" s="489"/>
    </row>
    <row r="128" spans="1:17" ht="14.4" thickTop="1">
      <c r="A128" s="408"/>
      <c r="B128" s="468">
        <f>B45</f>
        <v>111</v>
      </c>
      <c r="C128" s="484"/>
      <c r="D128" s="484"/>
      <c r="E128" s="484"/>
      <c r="F128" s="484"/>
      <c r="G128" s="512"/>
      <c r="H128" s="512"/>
      <c r="I128" s="512"/>
      <c r="J128" s="512"/>
      <c r="K128" s="513"/>
      <c r="L128" s="514"/>
      <c r="M128" s="515"/>
      <c r="N128" s="878"/>
      <c r="O128" s="878"/>
      <c r="P128" s="1773"/>
      <c r="Q128" s="438"/>
    </row>
    <row r="129" spans="1:17" ht="14.4" thickBot="1">
      <c r="A129" s="366"/>
      <c r="B129" s="473"/>
      <c r="C129" s="490"/>
      <c r="D129" s="490"/>
      <c r="E129" s="490"/>
      <c r="F129" s="490"/>
      <c r="G129" s="466"/>
      <c r="H129" s="466"/>
      <c r="I129" s="466"/>
      <c r="J129" s="466"/>
      <c r="K129" s="466"/>
      <c r="L129" s="466"/>
      <c r="M129" s="467"/>
      <c r="N129" s="879"/>
      <c r="O129" s="879"/>
      <c r="P129" s="1773"/>
      <c r="Q129" s="438"/>
    </row>
    <row r="130" spans="1:17" ht="14.4" thickTop="1">
      <c r="A130" s="408"/>
      <c r="B130" s="476">
        <f>B46</f>
        <v>111</v>
      </c>
      <c r="C130" s="484"/>
      <c r="D130" s="484"/>
      <c r="E130" s="484"/>
      <c r="F130" s="484"/>
      <c r="G130" s="516"/>
      <c r="H130" s="516"/>
      <c r="I130" s="516"/>
      <c r="J130" s="516"/>
      <c r="K130" s="31"/>
      <c r="L130" s="456"/>
      <c r="M130" s="519"/>
      <c r="N130" s="878"/>
      <c r="O130" s="878"/>
      <c r="P130" s="1773"/>
      <c r="Q130" s="438"/>
    </row>
    <row r="131" spans="1:17" ht="14.4"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6.2"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1766</v>
      </c>
      <c r="C1" s="1153" t="s">
        <v>1662</v>
      </c>
      <c r="D1" s="1140"/>
      <c r="E1" s="3123"/>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48377.229999999996</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4.4">
      <c r="A4" s="344" t="s">
        <v>1769</v>
      </c>
      <c r="B4" s="345"/>
      <c r="C4" s="3444" t="s">
        <v>1770</v>
      </c>
      <c r="D4" s="3445"/>
      <c r="E4" s="3446" t="s">
        <v>1771</v>
      </c>
      <c r="F4" s="3447"/>
      <c r="G4" s="3444" t="s">
        <v>1772</v>
      </c>
      <c r="H4" s="3445"/>
      <c r="I4" s="3444" t="s">
        <v>1773</v>
      </c>
      <c r="J4" s="3445"/>
      <c r="K4" s="536" t="s">
        <v>1774</v>
      </c>
      <c r="L4" s="2485"/>
      <c r="M4" s="2486"/>
      <c r="N4" s="2486"/>
      <c r="O4" s="2486"/>
      <c r="P4" s="3448" t="s">
        <v>1775</v>
      </c>
      <c r="Q4" s="3449"/>
      <c r="R4" s="3431" t="s">
        <v>1771</v>
      </c>
      <c r="S4" s="3432"/>
      <c r="T4" s="3431" t="s">
        <v>1772</v>
      </c>
      <c r="U4" s="3432"/>
      <c r="V4" s="3456" t="s">
        <v>1773</v>
      </c>
      <c r="W4" s="3456"/>
      <c r="X4" s="1263"/>
      <c r="Y4" s="3431" t="s">
        <v>1775</v>
      </c>
      <c r="Z4" s="3432"/>
      <c r="AA4" s="3426" t="s">
        <v>1771</v>
      </c>
      <c r="AB4" s="3456" t="s">
        <v>1772</v>
      </c>
      <c r="AC4" s="3426" t="s">
        <v>1773</v>
      </c>
    </row>
    <row r="5" spans="1:29">
      <c r="A5" s="347"/>
      <c r="B5" s="348"/>
      <c r="C5" s="3437" t="s">
        <v>1673</v>
      </c>
      <c r="D5" s="3438"/>
      <c r="E5" s="3435" t="s">
        <v>1674</v>
      </c>
      <c r="F5" s="3436"/>
      <c r="G5" s="3437" t="s">
        <v>1675</v>
      </c>
      <c r="H5" s="3438"/>
      <c r="I5" s="3437" t="s">
        <v>1676</v>
      </c>
      <c r="J5" s="3438"/>
      <c r="K5" s="536"/>
      <c r="L5" s="2485"/>
      <c r="M5" s="2486"/>
      <c r="N5" s="2486"/>
      <c r="O5" s="2486"/>
      <c r="P5" s="3450"/>
      <c r="Q5" s="3451"/>
      <c r="R5" s="3433"/>
      <c r="S5" s="3434"/>
      <c r="T5" s="3433"/>
      <c r="U5" s="3434"/>
      <c r="V5" s="3456"/>
      <c r="W5" s="3456"/>
      <c r="X5" s="1263"/>
      <c r="Y5" s="3433"/>
      <c r="Z5" s="3434"/>
      <c r="AA5" s="3427"/>
      <c r="AB5" s="3456"/>
      <c r="AC5" s="3427"/>
    </row>
    <row r="6" spans="1:29" ht="15" thickBot="1">
      <c r="A6" s="349"/>
      <c r="B6" s="350"/>
      <c r="C6" s="3439" t="s">
        <v>1677</v>
      </c>
      <c r="D6" s="3440"/>
      <c r="E6" s="3441" t="s">
        <v>1677</v>
      </c>
      <c r="F6" s="3442"/>
      <c r="G6" s="3439" t="s">
        <v>1677</v>
      </c>
      <c r="H6" s="3440"/>
      <c r="I6" s="3439" t="s">
        <v>1677</v>
      </c>
      <c r="J6" s="3440"/>
      <c r="K6" s="536" t="s">
        <v>1678</v>
      </c>
      <c r="L6" s="2485"/>
      <c r="M6" s="2486"/>
      <c r="N6" s="2486"/>
      <c r="O6" s="2486"/>
      <c r="P6" s="3452"/>
      <c r="Q6" s="3453"/>
      <c r="R6" s="3433"/>
      <c r="S6" s="3434"/>
      <c r="T6" s="3454"/>
      <c r="U6" s="3455"/>
      <c r="V6" s="3456"/>
      <c r="W6" s="3456"/>
      <c r="X6" s="1263"/>
      <c r="Y6" s="3454"/>
      <c r="Z6" s="3455"/>
      <c r="AA6" s="3428"/>
      <c r="AB6" s="3456"/>
      <c r="AC6" s="3428"/>
    </row>
    <row r="7" spans="1:29" s="102" customFormat="1" ht="15" thickBot="1">
      <c r="A7" s="351" t="s">
        <v>1679</v>
      </c>
      <c r="B7" s="352"/>
      <c r="C7" s="353">
        <f>'数据-取费表'!B2</f>
        <v>45607</v>
      </c>
      <c r="D7" s="354">
        <v>100</v>
      </c>
      <c r="E7" s="355"/>
      <c r="F7" s="356">
        <f>SUMIF(58:58,YEAR(E7)&amp;"-"&amp;MONTH(E7),59:59)</f>
        <v>0</v>
      </c>
      <c r="G7" s="355"/>
      <c r="H7" s="354">
        <f>SUMIF(58:58,YEAR(G7)&amp;"-"&amp;MONTH(G7),59:59)</f>
        <v>0</v>
      </c>
      <c r="I7" s="355"/>
      <c r="J7" s="354">
        <f>SUMIF(58:58,YEAR(I7)&amp;"-"&amp;MONTH(I7),59:59)</f>
        <v>0</v>
      </c>
      <c r="K7" s="38"/>
      <c r="L7" s="2487"/>
      <c r="M7" s="2438"/>
      <c r="N7" s="2438"/>
      <c r="O7" s="2438"/>
      <c r="P7" s="3429" t="s">
        <v>1680</v>
      </c>
      <c r="Q7" s="3457"/>
      <c r="R7" s="663" t="s">
        <v>14</v>
      </c>
      <c r="S7" s="664">
        <f t="shared" ref="S7:S15" si="0">F7</f>
        <v>0</v>
      </c>
      <c r="T7" s="663" t="s">
        <v>14</v>
      </c>
      <c r="U7" s="664">
        <f t="shared" ref="U7:U15" si="1">H7</f>
        <v>0</v>
      </c>
      <c r="V7" s="663" t="s">
        <v>14</v>
      </c>
      <c r="W7" s="664">
        <f t="shared" ref="W7:W15" si="2">J7</f>
        <v>0</v>
      </c>
      <c r="X7" s="665"/>
      <c r="Y7" s="3429" t="s">
        <v>1680</v>
      </c>
      <c r="Z7" s="3430"/>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8"/>
      <c r="N8" s="2438"/>
      <c r="O8" s="2438"/>
      <c r="P8" s="3429" t="s">
        <v>1683</v>
      </c>
      <c r="Q8" s="3430"/>
      <c r="R8" s="663" t="s">
        <v>14</v>
      </c>
      <c r="S8" s="664">
        <f t="shared" si="0"/>
        <v>100</v>
      </c>
      <c r="T8" s="663" t="s">
        <v>14</v>
      </c>
      <c r="U8" s="664">
        <f t="shared" si="1"/>
        <v>100</v>
      </c>
      <c r="V8" s="663" t="s">
        <v>14</v>
      </c>
      <c r="W8" s="664">
        <f t="shared" si="2"/>
        <v>100</v>
      </c>
      <c r="X8" s="665"/>
      <c r="Y8" s="3429" t="s">
        <v>1683</v>
      </c>
      <c r="Z8" s="3430"/>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8"/>
      <c r="N9" s="2438"/>
      <c r="O9" s="2438"/>
      <c r="P9" s="3443" t="s">
        <v>1686</v>
      </c>
      <c r="Q9" s="529" t="str">
        <f t="shared" ref="Q9:Q15" si="6">B9</f>
        <v>用途</v>
      </c>
      <c r="R9" s="663" t="s">
        <v>14</v>
      </c>
      <c r="S9" s="664">
        <f t="shared" si="0"/>
        <v>100</v>
      </c>
      <c r="T9" s="663" t="s">
        <v>14</v>
      </c>
      <c r="U9" s="664">
        <f t="shared" si="1"/>
        <v>100</v>
      </c>
      <c r="V9" s="663" t="s">
        <v>14</v>
      </c>
      <c r="W9" s="664">
        <f t="shared" si="2"/>
        <v>100</v>
      </c>
      <c r="X9" s="665"/>
      <c r="Y9" s="3363" t="s">
        <v>1687</v>
      </c>
      <c r="Z9" s="50" t="str">
        <f t="shared" ref="Z9:Z15" si="7">Q9</f>
        <v>用途</v>
      </c>
      <c r="AA9" s="50">
        <f t="shared" si="3"/>
        <v>1</v>
      </c>
      <c r="AB9" s="50">
        <f t="shared" si="4"/>
        <v>1</v>
      </c>
      <c r="AC9" s="50">
        <f t="shared" si="5"/>
        <v>1</v>
      </c>
    </row>
    <row r="10" spans="1:29" s="365" customFormat="1" ht="28.8">
      <c r="A10" s="362"/>
      <c r="B10" s="363" t="s">
        <v>1688</v>
      </c>
      <c r="C10" s="3131"/>
      <c r="D10" s="119">
        <v>100</v>
      </c>
      <c r="E10" s="3132"/>
      <c r="F10" s="363">
        <f>SUMIF(65:65,E10,66:66)-SUMIF(65:65,C10,66:66)+100</f>
        <v>100</v>
      </c>
      <c r="G10" s="3131"/>
      <c r="H10" s="119">
        <f>SUMIF(65:65,G10,66:66)-SUMIF(65:65,C10,66:66)+100</f>
        <v>100</v>
      </c>
      <c r="I10" s="3131"/>
      <c r="J10" s="119">
        <f>SUMIF(65:65,I10,66:66)-SUMIF(65:65,C10,66:66)+100</f>
        <v>100</v>
      </c>
      <c r="K10" s="38"/>
      <c r="L10" s="2488"/>
      <c r="M10" s="2489"/>
      <c r="N10" s="2489"/>
      <c r="O10" s="2489"/>
      <c r="P10" s="3443"/>
      <c r="Q10" s="529" t="str">
        <f t="shared" si="6"/>
        <v>土地使用年限（年）</v>
      </c>
      <c r="R10" s="663" t="s">
        <v>14</v>
      </c>
      <c r="S10" s="664">
        <f t="shared" si="0"/>
        <v>100</v>
      </c>
      <c r="T10" s="663" t="s">
        <v>14</v>
      </c>
      <c r="U10" s="664">
        <f t="shared" si="1"/>
        <v>100</v>
      </c>
      <c r="V10" s="663" t="s">
        <v>14</v>
      </c>
      <c r="W10" s="664">
        <f t="shared" si="2"/>
        <v>100</v>
      </c>
      <c r="X10" s="665"/>
      <c r="Y10" s="3363"/>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537"/>
      <c r="L11" s="2490"/>
      <c r="M11" s="2486"/>
      <c r="N11" s="2486"/>
      <c r="O11" s="2486"/>
      <c r="P11" s="3443"/>
      <c r="Q11" s="529" t="str">
        <f t="shared" si="6"/>
        <v>容积率</v>
      </c>
      <c r="R11" s="663" t="s">
        <v>14</v>
      </c>
      <c r="S11" s="664" t="e">
        <f t="shared" si="0"/>
        <v>#N/A</v>
      </c>
      <c r="T11" s="663" t="s">
        <v>14</v>
      </c>
      <c r="U11" s="664" t="e">
        <f t="shared" si="1"/>
        <v>#N/A</v>
      </c>
      <c r="V11" s="663" t="s">
        <v>14</v>
      </c>
      <c r="W11" s="664" t="e">
        <f t="shared" si="2"/>
        <v>#N/A</v>
      </c>
      <c r="X11" s="665"/>
      <c r="Y11" s="336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7"/>
      <c r="M12" s="2438"/>
      <c r="N12" s="2438"/>
      <c r="O12" s="2438"/>
      <c r="P12" s="3443"/>
      <c r="Q12" s="529">
        <f t="shared" si="6"/>
        <v>111</v>
      </c>
      <c r="R12" s="663" t="s">
        <v>14</v>
      </c>
      <c r="S12" s="664">
        <f t="shared" si="0"/>
        <v>100</v>
      </c>
      <c r="T12" s="663" t="s">
        <v>14</v>
      </c>
      <c r="U12" s="664">
        <f t="shared" si="1"/>
        <v>100</v>
      </c>
      <c r="V12" s="663" t="s">
        <v>14</v>
      </c>
      <c r="W12" s="664">
        <f t="shared" si="2"/>
        <v>100</v>
      </c>
      <c r="X12" s="665"/>
      <c r="Y12" s="33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43"/>
      <c r="Q13" s="529">
        <f t="shared" si="6"/>
        <v>111</v>
      </c>
      <c r="R13" s="663" t="s">
        <v>14</v>
      </c>
      <c r="S13" s="664">
        <f t="shared" si="0"/>
        <v>100</v>
      </c>
      <c r="T13" s="663" t="s">
        <v>14</v>
      </c>
      <c r="U13" s="664">
        <f t="shared" si="1"/>
        <v>100</v>
      </c>
      <c r="V13" s="663" t="s">
        <v>14</v>
      </c>
      <c r="W13" s="664">
        <f t="shared" si="2"/>
        <v>100</v>
      </c>
      <c r="X13" s="665"/>
      <c r="Y13" s="3363"/>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43"/>
      <c r="Q14" s="529">
        <f t="shared" si="6"/>
        <v>111</v>
      </c>
      <c r="R14" s="663" t="s">
        <v>14</v>
      </c>
      <c r="S14" s="664">
        <f t="shared" si="0"/>
        <v>100</v>
      </c>
      <c r="T14" s="663" t="s">
        <v>14</v>
      </c>
      <c r="U14" s="664">
        <f t="shared" si="1"/>
        <v>100</v>
      </c>
      <c r="V14" s="663" t="s">
        <v>14</v>
      </c>
      <c r="W14" s="664">
        <f t="shared" si="2"/>
        <v>100</v>
      </c>
      <c r="X14" s="665"/>
      <c r="Y14" s="3363"/>
      <c r="Z14" s="50">
        <f t="shared" si="7"/>
        <v>111</v>
      </c>
      <c r="AA14" s="50">
        <f t="shared" si="3"/>
        <v>1</v>
      </c>
      <c r="AB14" s="50">
        <f t="shared" si="4"/>
        <v>1</v>
      </c>
      <c r="AC14" s="50">
        <f t="shared" si="5"/>
        <v>1</v>
      </c>
    </row>
    <row r="15" spans="1:29" ht="69">
      <c r="A15" s="378" t="s">
        <v>1690</v>
      </c>
      <c r="B15" s="58" t="s">
        <v>1777</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69" t="s">
        <v>1691</v>
      </c>
      <c r="Q15" s="1261" t="str">
        <f t="shared" si="6"/>
        <v>商业繁华度</v>
      </c>
      <c r="R15" s="666" t="s">
        <v>14</v>
      </c>
      <c r="S15" s="667">
        <f t="shared" si="0"/>
        <v>100</v>
      </c>
      <c r="T15" s="666" t="s">
        <v>14</v>
      </c>
      <c r="U15" s="667">
        <f t="shared" si="1"/>
        <v>100</v>
      </c>
      <c r="V15" s="666" t="s">
        <v>14</v>
      </c>
      <c r="W15" s="667">
        <f t="shared" si="2"/>
        <v>100</v>
      </c>
      <c r="X15" s="1263"/>
      <c r="Y15" s="3462"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1"/>
      <c r="M16" s="2486"/>
      <c r="N16" s="2486"/>
      <c r="O16" s="2486"/>
      <c r="P16" s="3470"/>
      <c r="Q16" s="1261"/>
      <c r="R16" s="666"/>
      <c r="S16" s="667"/>
      <c r="T16" s="666"/>
      <c r="U16" s="667"/>
      <c r="V16" s="666"/>
      <c r="W16" s="667"/>
      <c r="X16" s="1263"/>
      <c r="Y16" s="3463"/>
      <c r="Z16" s="1262"/>
      <c r="AA16" s="1262">
        <v>1</v>
      </c>
      <c r="AB16" s="1262">
        <v>1</v>
      </c>
      <c r="AC16" s="1262">
        <v>1</v>
      </c>
    </row>
    <row r="17" spans="1:29" ht="82.8">
      <c r="A17" s="366"/>
      <c r="B17" s="389" t="s">
        <v>1259</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70"/>
      <c r="Q17" s="1261" t="str">
        <f>B17</f>
        <v>交通便捷度</v>
      </c>
      <c r="R17" s="666" t="s">
        <v>14</v>
      </c>
      <c r="S17" s="667">
        <f>F17</f>
        <v>100</v>
      </c>
      <c r="T17" s="666" t="s">
        <v>14</v>
      </c>
      <c r="U17" s="667">
        <f>H17</f>
        <v>100</v>
      </c>
      <c r="V17" s="666" t="s">
        <v>14</v>
      </c>
      <c r="W17" s="667">
        <f>J17</f>
        <v>100</v>
      </c>
      <c r="X17" s="1263"/>
      <c r="Y17" s="346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1"/>
      <c r="M18" s="2486"/>
      <c r="N18" s="2486"/>
      <c r="O18" s="2486"/>
      <c r="P18" s="3470"/>
      <c r="Q18" s="1261"/>
      <c r="R18" s="666"/>
      <c r="S18" s="667"/>
      <c r="T18" s="666"/>
      <c r="U18" s="667"/>
      <c r="V18" s="666"/>
      <c r="W18" s="667"/>
      <c r="X18" s="1263"/>
      <c r="Y18" s="3463"/>
      <c r="Z18" s="1262"/>
      <c r="AA18" s="1262">
        <v>1</v>
      </c>
      <c r="AB18" s="1262">
        <v>1</v>
      </c>
      <c r="AC18" s="1262">
        <v>1</v>
      </c>
    </row>
    <row r="19" spans="1:29" ht="41.4">
      <c r="A19" s="366"/>
      <c r="B19" s="389" t="s">
        <v>1778</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70"/>
      <c r="Q19" s="1261" t="str">
        <f>B19</f>
        <v>公共配套设施</v>
      </c>
      <c r="R19" s="666" t="s">
        <v>14</v>
      </c>
      <c r="S19" s="667">
        <f>F19</f>
        <v>100</v>
      </c>
      <c r="T19" s="666" t="s">
        <v>14</v>
      </c>
      <c r="U19" s="667">
        <f>H19</f>
        <v>100</v>
      </c>
      <c r="V19" s="666" t="s">
        <v>14</v>
      </c>
      <c r="W19" s="667">
        <f>J19</f>
        <v>100</v>
      </c>
      <c r="X19" s="1263"/>
      <c r="Y19" s="346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1"/>
      <c r="M20" s="2486"/>
      <c r="N20" s="2486"/>
      <c r="O20" s="2486"/>
      <c r="P20" s="3470"/>
      <c r="Q20" s="1261"/>
      <c r="R20" s="666"/>
      <c r="S20" s="667"/>
      <c r="T20" s="666"/>
      <c r="U20" s="667"/>
      <c r="V20" s="666"/>
      <c r="W20" s="667"/>
      <c r="X20" s="1263"/>
      <c r="Y20" s="3463"/>
      <c r="Z20" s="1262"/>
      <c r="AA20" s="1262">
        <v>1</v>
      </c>
      <c r="AB20" s="1262">
        <v>1</v>
      </c>
      <c r="AC20" s="1262">
        <v>1</v>
      </c>
    </row>
    <row r="21" spans="1:29" ht="27.6">
      <c r="A21" s="366"/>
      <c r="B21" s="585" t="s">
        <v>1779</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70"/>
      <c r="Q21" s="1261" t="str">
        <f>B21</f>
        <v>基础设施水平</v>
      </c>
      <c r="R21" s="666" t="s">
        <v>14</v>
      </c>
      <c r="S21" s="667">
        <f>F21</f>
        <v>100</v>
      </c>
      <c r="T21" s="666" t="s">
        <v>14</v>
      </c>
      <c r="U21" s="667">
        <f>H21</f>
        <v>100</v>
      </c>
      <c r="V21" s="666" t="s">
        <v>14</v>
      </c>
      <c r="W21" s="667">
        <f>J21</f>
        <v>100</v>
      </c>
      <c r="X21" s="1263"/>
      <c r="Y21" s="346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3"/>
      <c r="L22" s="2491"/>
      <c r="M22" s="2486"/>
      <c r="N22" s="2486"/>
      <c r="O22" s="2486"/>
      <c r="P22" s="3470"/>
      <c r="Q22" s="1261"/>
      <c r="R22" s="666"/>
      <c r="S22" s="667"/>
      <c r="T22" s="666"/>
      <c r="U22" s="667"/>
      <c r="V22" s="666"/>
      <c r="W22" s="667"/>
      <c r="X22" s="1263"/>
      <c r="Y22" s="3463"/>
      <c r="Z22" s="1262"/>
      <c r="AA22" s="1262">
        <v>1</v>
      </c>
      <c r="AB22" s="1262">
        <v>1</v>
      </c>
      <c r="AC22" s="1262">
        <v>1</v>
      </c>
    </row>
    <row r="23" spans="1:29" ht="55.2">
      <c r="A23" s="366"/>
      <c r="B23" s="389" t="s">
        <v>1261</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70"/>
      <c r="Q23" s="1261" t="str">
        <f>B23</f>
        <v>自然及人文环境</v>
      </c>
      <c r="R23" s="666" t="s">
        <v>14</v>
      </c>
      <c r="S23" s="667">
        <f>F23</f>
        <v>100</v>
      </c>
      <c r="T23" s="666" t="s">
        <v>14</v>
      </c>
      <c r="U23" s="667">
        <f>H23</f>
        <v>100</v>
      </c>
      <c r="V23" s="666" t="s">
        <v>14</v>
      </c>
      <c r="W23" s="667">
        <f>J23</f>
        <v>100</v>
      </c>
      <c r="X23" s="1263"/>
      <c r="Y23" s="3463"/>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1"/>
      <c r="M24" s="2486"/>
      <c r="N24" s="2486"/>
      <c r="O24" s="2486"/>
      <c r="P24" s="3470"/>
      <c r="Q24" s="1261"/>
      <c r="R24" s="666"/>
      <c r="S24" s="667"/>
      <c r="T24" s="666"/>
      <c r="U24" s="667"/>
      <c r="V24" s="666"/>
      <c r="W24" s="667"/>
      <c r="X24" s="1263"/>
      <c r="Y24" s="3463"/>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70"/>
      <c r="Q25" s="1261" t="str">
        <f t="shared" ref="Q25:Q46" si="11">B25</f>
        <v>临街状况</v>
      </c>
      <c r="R25" s="666" t="s">
        <v>14</v>
      </c>
      <c r="S25" s="667">
        <f>F25</f>
        <v>100</v>
      </c>
      <c r="T25" s="666" t="s">
        <v>14</v>
      </c>
      <c r="U25" s="667">
        <f>H25</f>
        <v>100</v>
      </c>
      <c r="V25" s="666" t="s">
        <v>14</v>
      </c>
      <c r="W25" s="667">
        <f>J25</f>
        <v>100</v>
      </c>
      <c r="X25" s="1263"/>
      <c r="Y25" s="3463"/>
      <c r="Z25" s="1262" t="str">
        <f>Q25</f>
        <v>临街状况</v>
      </c>
      <c r="AA25" s="1262">
        <f t="shared" si="3"/>
        <v>1</v>
      </c>
      <c r="AB25" s="1262">
        <f t="shared" si="4"/>
        <v>1</v>
      </c>
      <c r="AC25" s="1262">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70"/>
      <c r="Q26" s="1261" t="str">
        <f t="shared" si="11"/>
        <v>平面位置/可视性</v>
      </c>
      <c r="R26" s="666" t="s">
        <v>14</v>
      </c>
      <c r="S26" s="667">
        <f>F26</f>
        <v>100</v>
      </c>
      <c r="T26" s="666" t="s">
        <v>14</v>
      </c>
      <c r="U26" s="667">
        <f>H26</f>
        <v>100</v>
      </c>
      <c r="V26" s="666" t="s">
        <v>14</v>
      </c>
      <c r="W26" s="667">
        <f>J26</f>
        <v>100</v>
      </c>
      <c r="X26" s="1263"/>
      <c r="Y26" s="3463"/>
      <c r="Z26" s="1262" t="str">
        <f>Q26</f>
        <v>平面位置/可视性</v>
      </c>
      <c r="AA26" s="1262">
        <f t="shared" si="3"/>
        <v>1</v>
      </c>
      <c r="AB26" s="1262">
        <f t="shared" si="4"/>
        <v>1</v>
      </c>
      <c r="AC26" s="1262">
        <f t="shared" si="5"/>
        <v>1</v>
      </c>
    </row>
    <row r="27" spans="1:29" s="102"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7"/>
      <c r="M27" s="2438"/>
      <c r="N27" s="2438"/>
      <c r="O27" s="2438"/>
      <c r="P27" s="3470"/>
      <c r="Q27" s="529" t="str">
        <f t="shared" si="11"/>
        <v>人流量</v>
      </c>
      <c r="R27" s="663" t="s">
        <v>14</v>
      </c>
      <c r="S27" s="664">
        <f>F27</f>
        <v>100</v>
      </c>
      <c r="T27" s="663" t="s">
        <v>14</v>
      </c>
      <c r="U27" s="664">
        <f>H27</f>
        <v>100</v>
      </c>
      <c r="V27" s="663" t="s">
        <v>14</v>
      </c>
      <c r="W27" s="664">
        <f>J27</f>
        <v>100</v>
      </c>
      <c r="X27" s="665"/>
      <c r="Y27" s="3463"/>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7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63"/>
      <c r="Z28" s="1262" t="str">
        <f t="shared" ref="Z28:Z46" si="15">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70"/>
      <c r="Q29" s="1261">
        <f t="shared" si="11"/>
        <v>111</v>
      </c>
      <c r="R29" s="666" t="s">
        <v>14</v>
      </c>
      <c r="S29" s="667">
        <f t="shared" si="12"/>
        <v>100</v>
      </c>
      <c r="T29" s="666" t="s">
        <v>14</v>
      </c>
      <c r="U29" s="667">
        <f t="shared" si="13"/>
        <v>100</v>
      </c>
      <c r="V29" s="666" t="s">
        <v>14</v>
      </c>
      <c r="W29" s="667">
        <f t="shared" si="14"/>
        <v>100</v>
      </c>
      <c r="X29" s="1263"/>
      <c r="Y29" s="3463"/>
      <c r="Z29" s="1262">
        <f t="shared" si="15"/>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70"/>
      <c r="Q30" s="1261">
        <f t="shared" si="11"/>
        <v>111</v>
      </c>
      <c r="R30" s="666" t="s">
        <v>14</v>
      </c>
      <c r="S30" s="667">
        <f t="shared" si="12"/>
        <v>100</v>
      </c>
      <c r="T30" s="666" t="s">
        <v>14</v>
      </c>
      <c r="U30" s="667">
        <f t="shared" si="13"/>
        <v>100</v>
      </c>
      <c r="V30" s="666" t="s">
        <v>14</v>
      </c>
      <c r="W30" s="667">
        <f t="shared" si="14"/>
        <v>100</v>
      </c>
      <c r="X30" s="1263"/>
      <c r="Y30" s="3463"/>
      <c r="Z30" s="1262">
        <f t="shared" si="15"/>
        <v>111</v>
      </c>
      <c r="AA30" s="1262">
        <f t="shared" si="3"/>
        <v>1</v>
      </c>
      <c r="AB30" s="1262">
        <f t="shared" si="4"/>
        <v>1</v>
      </c>
      <c r="AC30" s="1262">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70"/>
      <c r="Q31" s="1261">
        <f t="shared" si="11"/>
        <v>111</v>
      </c>
      <c r="R31" s="666" t="s">
        <v>14</v>
      </c>
      <c r="S31" s="667">
        <f t="shared" si="12"/>
        <v>100</v>
      </c>
      <c r="T31" s="666" t="s">
        <v>14</v>
      </c>
      <c r="U31" s="667">
        <f t="shared" si="13"/>
        <v>100</v>
      </c>
      <c r="V31" s="666" t="s">
        <v>14</v>
      </c>
      <c r="W31" s="667">
        <f t="shared" si="14"/>
        <v>100</v>
      </c>
      <c r="X31" s="1263"/>
      <c r="Y31" s="3463"/>
      <c r="Z31" s="1262">
        <f t="shared" si="15"/>
        <v>111</v>
      </c>
      <c r="AA31" s="1262">
        <f t="shared" si="3"/>
        <v>1</v>
      </c>
      <c r="AB31" s="1262">
        <f t="shared" si="4"/>
        <v>1</v>
      </c>
      <c r="AC31" s="1262">
        <f t="shared" si="5"/>
        <v>1</v>
      </c>
    </row>
    <row r="32" spans="1:29" ht="15">
      <c r="A32" s="378" t="s">
        <v>1694</v>
      </c>
      <c r="B32" s="60"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1"/>
      <c r="M32" s="2486"/>
      <c r="N32" s="2486"/>
      <c r="O32" s="2486"/>
      <c r="P32" s="3464" t="s">
        <v>1696</v>
      </c>
      <c r="Q32" s="1261" t="str">
        <f t="shared" si="11"/>
        <v>商业类型</v>
      </c>
      <c r="R32" s="666" t="s">
        <v>14</v>
      </c>
      <c r="S32" s="667">
        <f t="shared" si="12"/>
        <v>100</v>
      </c>
      <c r="T32" s="666" t="s">
        <v>14</v>
      </c>
      <c r="U32" s="667">
        <f t="shared" si="13"/>
        <v>100</v>
      </c>
      <c r="V32" s="666" t="s">
        <v>14</v>
      </c>
      <c r="W32" s="667">
        <f t="shared" si="14"/>
        <v>100</v>
      </c>
      <c r="X32" s="1263"/>
      <c r="Y32" s="3467" t="s">
        <v>1696</v>
      </c>
      <c r="Z32" s="1262" t="str">
        <f t="shared" si="15"/>
        <v>商业类型</v>
      </c>
      <c r="AA32" s="1262">
        <f t="shared" si="3"/>
        <v>1</v>
      </c>
      <c r="AB32" s="1262">
        <f t="shared" si="4"/>
        <v>1</v>
      </c>
      <c r="AC32" s="1262">
        <f t="shared" si="5"/>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7"/>
      <c r="J33" s="119" t="e">
        <f>LOOKUP(I33,103:103,104:104)-LOOKUP(C33,103:103,104:104)+100</f>
        <v>#N/A</v>
      </c>
      <c r="K33" s="538"/>
      <c r="L33" s="2490"/>
      <c r="M33" s="2492"/>
      <c r="N33" s="2492"/>
      <c r="O33" s="2492"/>
      <c r="P33" s="3465"/>
      <c r="Q33" s="530" t="str">
        <f t="shared" si="11"/>
        <v>项目建筑规模</v>
      </c>
      <c r="R33" s="668" t="s">
        <v>14</v>
      </c>
      <c r="S33" s="669" t="e">
        <f t="shared" si="12"/>
        <v>#N/A</v>
      </c>
      <c r="T33" s="668" t="s">
        <v>14</v>
      </c>
      <c r="U33" s="669" t="e">
        <f t="shared" si="13"/>
        <v>#N/A</v>
      </c>
      <c r="V33" s="668" t="s">
        <v>14</v>
      </c>
      <c r="W33" s="669" t="e">
        <f t="shared" si="14"/>
        <v>#N/A</v>
      </c>
      <c r="X33" s="670"/>
      <c r="Y33" s="3467"/>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65"/>
      <c r="Q34" s="1261" t="str">
        <f t="shared" si="11"/>
        <v>建筑结构</v>
      </c>
      <c r="R34" s="666" t="s">
        <v>14</v>
      </c>
      <c r="S34" s="667">
        <f t="shared" si="12"/>
        <v>100</v>
      </c>
      <c r="T34" s="666" t="s">
        <v>14</v>
      </c>
      <c r="U34" s="667">
        <f t="shared" si="13"/>
        <v>100</v>
      </c>
      <c r="V34" s="666" t="s">
        <v>14</v>
      </c>
      <c r="W34" s="667">
        <f t="shared" si="14"/>
        <v>100</v>
      </c>
      <c r="X34" s="1263"/>
      <c r="Y34" s="3467"/>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1"/>
      <c r="M35" s="2486"/>
      <c r="N35" s="2486"/>
      <c r="O35" s="2486"/>
      <c r="P35" s="3465"/>
      <c r="Q35" s="1261" t="str">
        <f t="shared" si="11"/>
        <v>公共部分装修</v>
      </c>
      <c r="R35" s="666" t="s">
        <v>14</v>
      </c>
      <c r="S35" s="667">
        <f t="shared" si="12"/>
        <v>100</v>
      </c>
      <c r="T35" s="666" t="s">
        <v>14</v>
      </c>
      <c r="U35" s="667">
        <f t="shared" si="13"/>
        <v>100</v>
      </c>
      <c r="V35" s="666" t="s">
        <v>14</v>
      </c>
      <c r="W35" s="667">
        <f t="shared" si="14"/>
        <v>100</v>
      </c>
      <c r="X35" s="1263"/>
      <c r="Y35" s="3467"/>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65"/>
      <c r="Q36" s="1261" t="str">
        <f t="shared" si="11"/>
        <v>成新度</v>
      </c>
      <c r="R36" s="666" t="s">
        <v>14</v>
      </c>
      <c r="S36" s="667" t="e">
        <f t="shared" si="12"/>
        <v>#N/A</v>
      </c>
      <c r="T36" s="666" t="s">
        <v>14</v>
      </c>
      <c r="U36" s="667" t="e">
        <f t="shared" si="13"/>
        <v>#N/A</v>
      </c>
      <c r="V36" s="666" t="s">
        <v>14</v>
      </c>
      <c r="W36" s="667" t="e">
        <f t="shared" si="14"/>
        <v>#N/A</v>
      </c>
      <c r="X36" s="1263"/>
      <c r="Y36" s="3467"/>
      <c r="Z36" s="1262" t="str">
        <f t="shared" si="15"/>
        <v>成新度</v>
      </c>
      <c r="AA36" s="1262" t="e">
        <f t="shared" si="3"/>
        <v>#N/A</v>
      </c>
      <c r="AB36" s="1262" t="e">
        <f t="shared" si="4"/>
        <v>#N/A</v>
      </c>
      <c r="AC36" s="1262" t="e">
        <f t="shared" si="5"/>
        <v>#N/A</v>
      </c>
    </row>
    <row r="37" spans="1:29" s="102" customFormat="1" ht="15">
      <c r="A37" s="409"/>
      <c r="B37" s="363" t="s">
        <v>1787</v>
      </c>
      <c r="C37" s="1758"/>
      <c r="D37" s="119">
        <v>100</v>
      </c>
      <c r="E37" s="1758"/>
      <c r="F37" s="399">
        <f>SUMIF(112:112,E37,113:113)-SUMIF(112:112,C37,113:113)+100</f>
        <v>100</v>
      </c>
      <c r="G37" s="1758"/>
      <c r="H37" s="373">
        <f>SUMIF(112:112,G37,113:113)-SUMIF(112:112,C37,113:113)+100</f>
        <v>100</v>
      </c>
      <c r="I37" s="1758"/>
      <c r="J37" s="373">
        <f>SUMIF(112:112,I37,113:113)-SUMIF(112:112,C37,113:113)+100</f>
        <v>100</v>
      </c>
      <c r="K37" s="537"/>
      <c r="L37" s="2487"/>
      <c r="M37" s="2438"/>
      <c r="N37" s="2438"/>
      <c r="O37" s="2438"/>
      <c r="P37" s="3465"/>
      <c r="Q37" s="529" t="str">
        <f t="shared" si="11"/>
        <v>市政基础设施</v>
      </c>
      <c r="R37" s="663" t="s">
        <v>14</v>
      </c>
      <c r="S37" s="664">
        <f t="shared" si="12"/>
        <v>100</v>
      </c>
      <c r="T37" s="663" t="s">
        <v>14</v>
      </c>
      <c r="U37" s="664">
        <f t="shared" si="13"/>
        <v>100</v>
      </c>
      <c r="V37" s="663" t="s">
        <v>14</v>
      </c>
      <c r="W37" s="664">
        <f t="shared" si="14"/>
        <v>100</v>
      </c>
      <c r="X37" s="665"/>
      <c r="Y37" s="3467"/>
      <c r="Z37" s="50" t="str">
        <f t="shared" si="15"/>
        <v>市政基础设施</v>
      </c>
      <c r="AA37" s="50">
        <f t="shared" si="3"/>
        <v>1</v>
      </c>
      <c r="AB37" s="50">
        <f t="shared" si="4"/>
        <v>1</v>
      </c>
      <c r="AC37" s="50">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1"/>
      <c r="M38" s="2486"/>
      <c r="N38" s="2486"/>
      <c r="O38" s="2486"/>
      <c r="P38" s="3465" t="s">
        <v>1696</v>
      </c>
      <c r="Q38" s="1261" t="str">
        <f t="shared" si="11"/>
        <v>业态</v>
      </c>
      <c r="R38" s="666" t="s">
        <v>14</v>
      </c>
      <c r="S38" s="667">
        <f t="shared" si="12"/>
        <v>100</v>
      </c>
      <c r="T38" s="666" t="s">
        <v>14</v>
      </c>
      <c r="U38" s="667">
        <f t="shared" si="13"/>
        <v>100</v>
      </c>
      <c r="V38" s="666" t="s">
        <v>14</v>
      </c>
      <c r="W38" s="667">
        <f t="shared" si="14"/>
        <v>100</v>
      </c>
      <c r="X38" s="1263"/>
      <c r="Y38" s="3467"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1"/>
      <c r="M39" s="2486"/>
      <c r="N39" s="2486"/>
      <c r="O39" s="2486"/>
      <c r="P39" s="3465"/>
      <c r="Q39" s="1261" t="str">
        <f t="shared" si="11"/>
        <v>层高</v>
      </c>
      <c r="R39" s="666" t="s">
        <v>14</v>
      </c>
      <c r="S39" s="667">
        <f t="shared" si="12"/>
        <v>100</v>
      </c>
      <c r="T39" s="666" t="s">
        <v>14</v>
      </c>
      <c r="U39" s="667">
        <f t="shared" si="13"/>
        <v>100</v>
      </c>
      <c r="V39" s="666" t="s">
        <v>14</v>
      </c>
      <c r="W39" s="667">
        <f t="shared" si="14"/>
        <v>100</v>
      </c>
      <c r="X39" s="1263"/>
      <c r="Y39" s="3467"/>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65"/>
      <c r="Q40" s="1261" t="str">
        <f t="shared" si="11"/>
        <v>单套建筑面积</v>
      </c>
      <c r="R40" s="666" t="s">
        <v>14</v>
      </c>
      <c r="S40" s="667">
        <f t="shared" si="12"/>
        <v>100</v>
      </c>
      <c r="T40" s="666" t="s">
        <v>14</v>
      </c>
      <c r="U40" s="667">
        <f t="shared" si="13"/>
        <v>100</v>
      </c>
      <c r="V40" s="666" t="s">
        <v>14</v>
      </c>
      <c r="W40" s="667">
        <f t="shared" si="14"/>
        <v>100</v>
      </c>
      <c r="X40" s="1263"/>
      <c r="Y40" s="3467"/>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65"/>
      <c r="Q41" s="530" t="str">
        <f t="shared" si="11"/>
        <v>进深比</v>
      </c>
      <c r="R41" s="668" t="s">
        <v>14</v>
      </c>
      <c r="S41" s="669">
        <f t="shared" si="12"/>
        <v>100</v>
      </c>
      <c r="T41" s="668" t="s">
        <v>14</v>
      </c>
      <c r="U41" s="669">
        <f t="shared" si="13"/>
        <v>100</v>
      </c>
      <c r="V41" s="668" t="s">
        <v>14</v>
      </c>
      <c r="W41" s="669">
        <f t="shared" si="14"/>
        <v>100</v>
      </c>
      <c r="X41" s="670"/>
      <c r="Y41" s="3467"/>
      <c r="Z41" s="671"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1"/>
      <c r="M42" s="2486"/>
      <c r="N42" s="2486"/>
      <c r="O42" s="2486"/>
      <c r="P42" s="3465"/>
      <c r="Q42" s="1261" t="str">
        <f t="shared" si="11"/>
        <v>内部装修</v>
      </c>
      <c r="R42" s="666" t="s">
        <v>14</v>
      </c>
      <c r="S42" s="667">
        <f t="shared" si="12"/>
        <v>100</v>
      </c>
      <c r="T42" s="666" t="s">
        <v>14</v>
      </c>
      <c r="U42" s="667">
        <f t="shared" si="13"/>
        <v>100</v>
      </c>
      <c r="V42" s="666" t="s">
        <v>14</v>
      </c>
      <c r="W42" s="667">
        <f t="shared" si="14"/>
        <v>100</v>
      </c>
      <c r="X42" s="1263"/>
      <c r="Y42" s="3467"/>
      <c r="Z42" s="1262" t="str">
        <f t="shared" si="15"/>
        <v>内部装修</v>
      </c>
      <c r="AA42" s="1262">
        <f t="shared" si="3"/>
        <v>1</v>
      </c>
      <c r="AB42" s="1262">
        <f t="shared" si="4"/>
        <v>1</v>
      </c>
      <c r="AC42" s="1262">
        <f t="shared" si="5"/>
        <v>1</v>
      </c>
    </row>
    <row r="43" spans="1:29" ht="28.8">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1"/>
      <c r="M43" s="2486"/>
      <c r="N43" s="2486"/>
      <c r="O43" s="2486"/>
      <c r="P43" s="3465"/>
      <c r="Q43" s="1261" t="str">
        <f t="shared" si="11"/>
        <v>内部装修维护情况</v>
      </c>
      <c r="R43" s="666" t="s">
        <v>14</v>
      </c>
      <c r="S43" s="667">
        <f t="shared" si="12"/>
        <v>100</v>
      </c>
      <c r="T43" s="666" t="s">
        <v>14</v>
      </c>
      <c r="U43" s="667">
        <f t="shared" si="13"/>
        <v>100</v>
      </c>
      <c r="V43" s="666" t="s">
        <v>14</v>
      </c>
      <c r="W43" s="667">
        <f t="shared" si="14"/>
        <v>100</v>
      </c>
      <c r="X43" s="1263"/>
      <c r="Y43" s="3467"/>
      <c r="Z43" s="1262" t="str">
        <f t="shared" si="15"/>
        <v>内部装修维护情况</v>
      </c>
      <c r="AA43" s="1262">
        <f t="shared" si="3"/>
        <v>1</v>
      </c>
      <c r="AB43" s="1262">
        <f t="shared" si="4"/>
        <v>1</v>
      </c>
      <c r="AC43" s="1262">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7"/>
      <c r="M44" s="2438"/>
      <c r="N44" s="2438"/>
      <c r="O44" s="2438"/>
      <c r="P44" s="3465"/>
      <c r="Q44" s="529">
        <f t="shared" si="11"/>
        <v>111</v>
      </c>
      <c r="R44" s="663" t="s">
        <v>14</v>
      </c>
      <c r="S44" s="664">
        <f t="shared" si="12"/>
        <v>100</v>
      </c>
      <c r="T44" s="663" t="s">
        <v>14</v>
      </c>
      <c r="U44" s="664">
        <f t="shared" si="13"/>
        <v>100</v>
      </c>
      <c r="V44" s="663" t="s">
        <v>14</v>
      </c>
      <c r="W44" s="664">
        <f t="shared" si="14"/>
        <v>100</v>
      </c>
      <c r="X44" s="665"/>
      <c r="Y44" s="346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65"/>
      <c r="Q45" s="1261">
        <f t="shared" si="11"/>
        <v>111</v>
      </c>
      <c r="R45" s="666" t="s">
        <v>14</v>
      </c>
      <c r="S45" s="667">
        <f t="shared" si="12"/>
        <v>100</v>
      </c>
      <c r="T45" s="666" t="s">
        <v>14</v>
      </c>
      <c r="U45" s="667">
        <f t="shared" si="13"/>
        <v>100</v>
      </c>
      <c r="V45" s="666" t="s">
        <v>14</v>
      </c>
      <c r="W45" s="667">
        <f t="shared" si="14"/>
        <v>100</v>
      </c>
      <c r="X45" s="1263"/>
      <c r="Y45" s="3467"/>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66"/>
      <c r="Q46" s="1261">
        <f t="shared" si="11"/>
        <v>111</v>
      </c>
      <c r="R46" s="666" t="s">
        <v>14</v>
      </c>
      <c r="S46" s="667">
        <f t="shared" si="12"/>
        <v>100</v>
      </c>
      <c r="T46" s="666" t="s">
        <v>14</v>
      </c>
      <c r="U46" s="667">
        <f t="shared" si="13"/>
        <v>100</v>
      </c>
      <c r="V46" s="666" t="s">
        <v>14</v>
      </c>
      <c r="W46" s="667">
        <f t="shared" si="14"/>
        <v>100</v>
      </c>
      <c r="X46" s="1263"/>
      <c r="Y46" s="3468"/>
      <c r="Z46" s="1262">
        <f t="shared" si="15"/>
        <v>111</v>
      </c>
      <c r="AA46" s="1262">
        <f t="shared" si="3"/>
        <v>1</v>
      </c>
      <c r="AB46" s="1262">
        <f t="shared" si="4"/>
        <v>1</v>
      </c>
      <c r="AC46" s="1262">
        <f t="shared" si="5"/>
        <v>1</v>
      </c>
    </row>
    <row r="47" spans="1:29" ht="14.4">
      <c r="A47" s="415" t="s">
        <v>1708</v>
      </c>
      <c r="B47" s="416"/>
      <c r="C47" s="1079" t="s">
        <v>0</v>
      </c>
      <c r="D47" s="417"/>
      <c r="E47" s="418"/>
      <c r="F47" s="419"/>
      <c r="G47" s="420"/>
      <c r="H47" s="421"/>
      <c r="I47" s="418"/>
      <c r="J47" s="421"/>
      <c r="K47" s="673"/>
      <c r="L47" s="2493"/>
      <c r="M47" s="2486"/>
      <c r="N47" s="2486"/>
      <c r="O47" s="2486"/>
      <c r="P47" s="3461" t="str">
        <f>A47</f>
        <v>成交单价（元/平方米）</v>
      </c>
      <c r="Q47" s="3461"/>
      <c r="R47" s="3456">
        <f>E47</f>
        <v>0</v>
      </c>
      <c r="S47" s="3456"/>
      <c r="T47" s="3456">
        <f>G47</f>
        <v>0</v>
      </c>
      <c r="U47" s="3456"/>
      <c r="V47" s="3456">
        <f>I47</f>
        <v>0</v>
      </c>
      <c r="W47" s="3456"/>
      <c r="X47" s="384"/>
      <c r="Y47" s="672"/>
      <c r="Z47" s="384"/>
      <c r="AA47" s="384"/>
      <c r="AB47" s="384"/>
      <c r="AC47" s="384"/>
    </row>
    <row r="48" spans="1:29" ht="15" thickBot="1">
      <c r="A48" s="422" t="s">
        <v>1793</v>
      </c>
      <c r="B48" s="423"/>
      <c r="C48" s="1080" t="e">
        <f>R49</f>
        <v>#DIV/0!</v>
      </c>
      <c r="D48" s="2139" t="s">
        <v>2138</v>
      </c>
      <c r="E48" s="1081" t="e">
        <f>R48</f>
        <v>#DIV/0!</v>
      </c>
      <c r="F48" s="2140"/>
      <c r="G48" s="1080" t="e">
        <f>T48</f>
        <v>#DIV/0!</v>
      </c>
      <c r="H48" s="2140"/>
      <c r="I48" s="1081" t="e">
        <f>V48</f>
        <v>#DIV/0!</v>
      </c>
      <c r="J48" s="2140"/>
      <c r="K48" s="2142">
        <f>F48+H48+J48</f>
        <v>0</v>
      </c>
      <c r="L48" s="2493"/>
      <c r="M48" s="2486"/>
      <c r="N48" s="2486"/>
      <c r="O48" s="2486"/>
      <c r="P48" s="3461" t="str">
        <f>A48</f>
        <v>比较价值（元/平方米）</v>
      </c>
      <c r="Q48" s="3461"/>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3"/>
      <c r="M49" s="2486"/>
      <c r="N49" s="2486"/>
      <c r="O49" s="2486"/>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4.4">
      <c r="A58" s="439" t="s">
        <v>1679</v>
      </c>
      <c r="B58" s="440"/>
      <c r="C58" s="1101" t="str">
        <f>YEAR(C7)&amp;"-"&amp;MONTH(C7)</f>
        <v>2024-11</v>
      </c>
      <c r="D58" s="1102">
        <f>EDATE(C58,-1)</f>
        <v>45566</v>
      </c>
      <c r="E58" s="1102">
        <f t="shared" ref="E58:N58" si="16">EDATE(D58,-1)</f>
        <v>45536</v>
      </c>
      <c r="F58" s="1102">
        <f t="shared" si="16"/>
        <v>45505</v>
      </c>
      <c r="G58" s="1102">
        <f t="shared" si="16"/>
        <v>45474</v>
      </c>
      <c r="H58" s="1102">
        <f t="shared" si="16"/>
        <v>45444</v>
      </c>
      <c r="I58" s="1102">
        <f t="shared" si="16"/>
        <v>45413</v>
      </c>
      <c r="J58" s="1102">
        <f t="shared" si="16"/>
        <v>45383</v>
      </c>
      <c r="K58" s="1102">
        <f t="shared" si="16"/>
        <v>45352</v>
      </c>
      <c r="L58" s="1102">
        <f t="shared" si="16"/>
        <v>45323</v>
      </c>
      <c r="M58" s="1102">
        <f t="shared" si="16"/>
        <v>45292</v>
      </c>
      <c r="N58" s="1102">
        <f t="shared" si="16"/>
        <v>45261</v>
      </c>
      <c r="O58" s="1102">
        <f>EDATE(N58,-1)</f>
        <v>45231</v>
      </c>
      <c r="P58" s="2508"/>
      <c r="Q58" s="2509"/>
      <c r="R58" s="2509"/>
      <c r="S58" s="2509"/>
      <c r="T58" s="2509"/>
      <c r="U58" s="2509"/>
      <c r="V58" s="2509"/>
      <c r="W58" s="2509"/>
      <c r="X58" s="2509"/>
      <c r="Y58" s="2509"/>
      <c r="Z58" s="2509"/>
      <c r="AA58" s="2509"/>
      <c r="AB58" s="2509"/>
      <c r="AC58" s="2509"/>
    </row>
    <row r="59" spans="1:29" s="102" customFormat="1">
      <c r="A59" s="442"/>
      <c r="B59" s="443"/>
      <c r="C59" s="1100">
        <v>100</v>
      </c>
      <c r="D59" s="445"/>
      <c r="E59" s="445"/>
      <c r="F59" s="445"/>
      <c r="G59" s="445"/>
      <c r="H59" s="445"/>
      <c r="I59" s="445"/>
      <c r="J59" s="445"/>
      <c r="K59" s="445"/>
      <c r="L59" s="445"/>
      <c r="M59" s="446"/>
      <c r="N59" s="445"/>
      <c r="O59" s="446"/>
      <c r="P59" s="2510"/>
      <c r="Q59" s="2438"/>
      <c r="R59" s="2438"/>
      <c r="S59" s="2438"/>
      <c r="T59" s="2438"/>
      <c r="U59" s="2438"/>
      <c r="V59" s="2438"/>
      <c r="W59" s="2438"/>
      <c r="X59" s="2438"/>
      <c r="Y59" s="2438"/>
      <c r="Z59" s="2438"/>
      <c r="AA59" s="2438"/>
      <c r="AB59" s="2438"/>
      <c r="AC59" s="2438"/>
    </row>
    <row r="60" spans="1:29" s="102" customFormat="1" ht="15" thickBot="1">
      <c r="A60" s="448" t="s">
        <v>1716</v>
      </c>
      <c r="B60" s="449"/>
      <c r="C60" s="450"/>
      <c r="D60" s="451"/>
      <c r="E60" s="451"/>
      <c r="F60" s="451"/>
      <c r="G60" s="451"/>
      <c r="H60" s="451"/>
      <c r="I60" s="451"/>
      <c r="J60" s="451"/>
      <c r="K60" s="451"/>
      <c r="L60" s="451"/>
      <c r="M60" s="452"/>
      <c r="N60" s="451"/>
      <c r="O60" s="452"/>
      <c r="P60" s="2510"/>
      <c r="Q60" s="2507"/>
      <c r="R60" s="2438"/>
      <c r="S60" s="2438"/>
      <c r="T60" s="2438"/>
      <c r="U60" s="2438"/>
      <c r="V60" s="2438"/>
      <c r="W60" s="2438"/>
      <c r="X60" s="2438"/>
      <c r="Y60" s="2438"/>
      <c r="Z60" s="2438"/>
      <c r="AA60" s="2438"/>
      <c r="AB60" s="2438"/>
      <c r="AC60" s="2438"/>
    </row>
    <row r="61" spans="1:29" s="102" customFormat="1" ht="14.4">
      <c r="A61" s="454" t="s">
        <v>1681</v>
      </c>
      <c r="B61" s="443"/>
      <c r="C61" s="455" t="s">
        <v>1776</v>
      </c>
      <c r="D61" s="31"/>
      <c r="E61" s="31"/>
      <c r="F61" s="31"/>
      <c r="G61" s="31"/>
      <c r="H61" s="31"/>
      <c r="I61" s="31"/>
      <c r="J61" s="31"/>
      <c r="K61" s="31"/>
      <c r="L61" s="456"/>
      <c r="M61" s="457"/>
      <c r="N61" s="2519"/>
      <c r="O61" s="2519"/>
      <c r="P61" s="2511"/>
      <c r="Q61" s="2507"/>
      <c r="R61" s="2438"/>
      <c r="S61" s="2438"/>
      <c r="T61" s="2438"/>
      <c r="U61" s="2438"/>
      <c r="V61" s="2438"/>
      <c r="W61" s="2438"/>
      <c r="X61" s="2438"/>
      <c r="Y61" s="2438"/>
      <c r="Z61" s="2438"/>
      <c r="AA61" s="2438"/>
      <c r="AB61" s="2438"/>
      <c r="AC61" s="2438"/>
    </row>
    <row r="62" spans="1:29" s="102" customFormat="1" ht="14.4" thickBot="1">
      <c r="A62" s="454"/>
      <c r="B62" s="443"/>
      <c r="C62" s="444">
        <v>100</v>
      </c>
      <c r="D62" s="445"/>
      <c r="E62" s="445"/>
      <c r="F62" s="445"/>
      <c r="G62" s="445"/>
      <c r="H62" s="445"/>
      <c r="I62" s="445"/>
      <c r="J62" s="445"/>
      <c r="K62" s="445"/>
      <c r="L62" s="445"/>
      <c r="M62" s="447"/>
      <c r="N62" s="2519"/>
      <c r="O62" s="2519"/>
      <c r="P62" s="2510"/>
      <c r="Q62" s="2507"/>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4"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9.4"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4"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4"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4"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4"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4"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4"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4"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ht="14.4">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5" thickTop="1">
      <c r="A86" s="369"/>
      <c r="B86" s="468" t="s">
        <v>1804</v>
      </c>
      <c r="C86" s="484"/>
      <c r="D86" s="484"/>
      <c r="E86" s="484"/>
      <c r="F86" s="484"/>
      <c r="G86" s="484"/>
      <c r="H86" s="484"/>
      <c r="I86" s="484"/>
      <c r="J86" s="484"/>
      <c r="K86" s="484"/>
      <c r="L86" s="509"/>
      <c r="M86" s="510"/>
      <c r="N86" s="2519"/>
      <c r="O86" s="2519"/>
      <c r="P86" s="2512"/>
      <c r="Q86" s="2507"/>
      <c r="R86" s="2438"/>
      <c r="S86" s="2438"/>
      <c r="T86" s="2438"/>
      <c r="U86" s="2438"/>
      <c r="V86" s="2438"/>
      <c r="W86" s="2438"/>
      <c r="X86" s="2438"/>
      <c r="Y86" s="2438"/>
      <c r="Z86" s="2438"/>
      <c r="AA86" s="2438"/>
      <c r="AB86" s="2438"/>
      <c r="AC86" s="2438"/>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69"/>
      <c r="B88" s="468" t="str">
        <f>B26</f>
        <v>平面位置/可视性</v>
      </c>
      <c r="C88" s="484"/>
      <c r="D88" s="484"/>
      <c r="E88" s="484"/>
      <c r="F88" s="1778"/>
      <c r="G88" s="484"/>
      <c r="H88" s="484"/>
      <c r="I88" s="484"/>
      <c r="J88" s="484"/>
      <c r="K88" s="484"/>
      <c r="L88" s="484"/>
      <c r="M88" s="510"/>
      <c r="N88" s="2519"/>
      <c r="O88" s="2519"/>
      <c r="P88" s="2512"/>
      <c r="Q88" s="2507"/>
      <c r="R88" s="2438"/>
      <c r="S88" s="2438"/>
      <c r="T88" s="2438"/>
      <c r="U88" s="2438"/>
      <c r="V88" s="2438"/>
      <c r="W88" s="2438"/>
      <c r="X88" s="2438"/>
      <c r="Y88" s="2438"/>
      <c r="Z88" s="2438"/>
      <c r="AA88" s="2438"/>
      <c r="AB88" s="2438"/>
      <c r="AC88" s="2438"/>
    </row>
    <row r="89" spans="1:29" s="102" customFormat="1" ht="14.4" thickBot="1">
      <c r="A89" s="369"/>
      <c r="B89" s="473"/>
      <c r="C89" s="490"/>
      <c r="D89" s="466"/>
      <c r="E89" s="466"/>
      <c r="F89" s="466"/>
      <c r="G89" s="466"/>
      <c r="H89" s="466"/>
      <c r="I89" s="466"/>
      <c r="J89" s="466"/>
      <c r="K89" s="466"/>
      <c r="L89" s="466"/>
      <c r="M89" s="466"/>
      <c r="N89" s="2521"/>
      <c r="O89" s="2521"/>
      <c r="P89" s="2512"/>
      <c r="Q89" s="2507"/>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4"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4"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4"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4"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4"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4"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4"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ht="14.4">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4"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4"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4"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4"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4"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4"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4"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4"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48377.229999999996</v>
      </c>
      <c r="E3" s="1803"/>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4.4">
      <c r="A4" s="344" t="s">
        <v>1769</v>
      </c>
      <c r="B4" s="345"/>
      <c r="C4" s="3444" t="s">
        <v>1770</v>
      </c>
      <c r="D4" s="3445"/>
      <c r="E4" s="3446" t="s">
        <v>1771</v>
      </c>
      <c r="F4" s="3447"/>
      <c r="G4" s="3444" t="s">
        <v>1772</v>
      </c>
      <c r="H4" s="3445"/>
      <c r="I4" s="3444" t="s">
        <v>1773</v>
      </c>
      <c r="J4" s="3445"/>
      <c r="K4" s="536" t="s">
        <v>1774</v>
      </c>
      <c r="L4" s="2485"/>
      <c r="M4" s="2486"/>
      <c r="N4" s="2486"/>
      <c r="O4" s="2486"/>
      <c r="P4" s="3477" t="s">
        <v>1775</v>
      </c>
      <c r="Q4" s="3478"/>
      <c r="R4" s="3472" t="s">
        <v>1771</v>
      </c>
      <c r="S4" s="3473"/>
      <c r="T4" s="3472" t="s">
        <v>1772</v>
      </c>
      <c r="U4" s="3473"/>
      <c r="V4" s="3481" t="s">
        <v>1773</v>
      </c>
      <c r="W4" s="3481"/>
      <c r="X4" s="1807"/>
      <c r="Y4" s="3472" t="s">
        <v>1775</v>
      </c>
      <c r="Z4" s="3473"/>
      <c r="AA4" s="3471" t="s">
        <v>1771</v>
      </c>
      <c r="AB4" s="3471" t="s">
        <v>1772</v>
      </c>
      <c r="AC4" s="3474" t="s">
        <v>1773</v>
      </c>
    </row>
    <row r="5" spans="1:29">
      <c r="A5" s="347"/>
      <c r="B5" s="348"/>
      <c r="C5" s="3437" t="s">
        <v>1673</v>
      </c>
      <c r="D5" s="3438"/>
      <c r="E5" s="3435" t="s">
        <v>1674</v>
      </c>
      <c r="F5" s="3436"/>
      <c r="G5" s="3437" t="s">
        <v>1675</v>
      </c>
      <c r="H5" s="3438"/>
      <c r="I5" s="3437" t="s">
        <v>1676</v>
      </c>
      <c r="J5" s="3438"/>
      <c r="K5" s="536"/>
      <c r="L5" s="2485"/>
      <c r="M5" s="2486"/>
      <c r="N5" s="2486"/>
      <c r="O5" s="2486"/>
      <c r="P5" s="3479"/>
      <c r="Q5" s="3451"/>
      <c r="R5" s="3433"/>
      <c r="S5" s="3434"/>
      <c r="T5" s="3433"/>
      <c r="U5" s="3434"/>
      <c r="V5" s="3456"/>
      <c r="W5" s="3456"/>
      <c r="X5" s="1263"/>
      <c r="Y5" s="3433"/>
      <c r="Z5" s="3434"/>
      <c r="AA5" s="3427"/>
      <c r="AB5" s="3427"/>
      <c r="AC5" s="3475"/>
    </row>
    <row r="6" spans="1:29" ht="15" thickBot="1">
      <c r="A6" s="349"/>
      <c r="B6" s="350"/>
      <c r="C6" s="3439" t="s">
        <v>1677</v>
      </c>
      <c r="D6" s="3440"/>
      <c r="E6" s="3441" t="s">
        <v>1677</v>
      </c>
      <c r="F6" s="3442"/>
      <c r="G6" s="3439" t="s">
        <v>1677</v>
      </c>
      <c r="H6" s="3440"/>
      <c r="I6" s="3439" t="s">
        <v>1677</v>
      </c>
      <c r="J6" s="3440"/>
      <c r="K6" s="536" t="s">
        <v>1678</v>
      </c>
      <c r="L6" s="2485"/>
      <c r="M6" s="2486"/>
      <c r="N6" s="2486"/>
      <c r="O6" s="2486"/>
      <c r="P6" s="3480"/>
      <c r="Q6" s="3453"/>
      <c r="R6" s="3433"/>
      <c r="S6" s="3434"/>
      <c r="T6" s="3454"/>
      <c r="U6" s="3455"/>
      <c r="V6" s="3456"/>
      <c r="W6" s="3456"/>
      <c r="X6" s="1263"/>
      <c r="Y6" s="3454"/>
      <c r="Z6" s="3455"/>
      <c r="AA6" s="3428"/>
      <c r="AB6" s="3428"/>
      <c r="AC6" s="3476"/>
    </row>
    <row r="7" spans="1:29" s="102" customFormat="1" ht="15" thickBot="1">
      <c r="A7" s="351" t="s">
        <v>1679</v>
      </c>
      <c r="B7" s="352"/>
      <c r="C7" s="353">
        <f>'数据-取费表'!B2</f>
        <v>45607</v>
      </c>
      <c r="D7" s="354">
        <v>100</v>
      </c>
      <c r="E7" s="355"/>
      <c r="F7" s="356">
        <f>SUMIF(59:59,YEAR(E7)&amp;"-"&amp;MONTH(E7),60:60)</f>
        <v>0</v>
      </c>
      <c r="G7" s="355"/>
      <c r="H7" s="354">
        <f>SUMIF(59:59,YEAR(G7)&amp;"-"&amp;MONTH(G7),60:60)</f>
        <v>0</v>
      </c>
      <c r="I7" s="355"/>
      <c r="J7" s="354">
        <f>SUMIF(59:59,YEAR(I7)&amp;"-"&amp;MONTH(I7),60:60)</f>
        <v>0</v>
      </c>
      <c r="K7" s="38"/>
      <c r="L7" s="2487"/>
      <c r="M7" s="2438"/>
      <c r="N7" s="2438"/>
      <c r="O7" s="2438"/>
      <c r="P7" s="3482" t="s">
        <v>1680</v>
      </c>
      <c r="Q7" s="3457"/>
      <c r="R7" s="663" t="s">
        <v>14</v>
      </c>
      <c r="S7" s="664">
        <f t="shared" ref="S7:S15" si="0">F7</f>
        <v>0</v>
      </c>
      <c r="T7" s="663" t="s">
        <v>14</v>
      </c>
      <c r="U7" s="664">
        <f t="shared" ref="U7:U15" si="1">H7</f>
        <v>0</v>
      </c>
      <c r="V7" s="663" t="s">
        <v>14</v>
      </c>
      <c r="W7" s="664">
        <f t="shared" ref="W7:W15" si="2">J7</f>
        <v>0</v>
      </c>
      <c r="X7" s="665"/>
      <c r="Y7" s="3429" t="s">
        <v>1680</v>
      </c>
      <c r="Z7" s="3430"/>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7"/>
      <c r="M8" s="2438"/>
      <c r="N8" s="2438"/>
      <c r="O8" s="2438"/>
      <c r="P8" s="3482" t="s">
        <v>1683</v>
      </c>
      <c r="Q8" s="3430"/>
      <c r="R8" s="663" t="s">
        <v>14</v>
      </c>
      <c r="S8" s="664">
        <f t="shared" si="0"/>
        <v>100</v>
      </c>
      <c r="T8" s="663" t="s">
        <v>14</v>
      </c>
      <c r="U8" s="664">
        <f t="shared" si="1"/>
        <v>100</v>
      </c>
      <c r="V8" s="663" t="s">
        <v>14</v>
      </c>
      <c r="W8" s="664">
        <f t="shared" si="2"/>
        <v>100</v>
      </c>
      <c r="X8" s="665"/>
      <c r="Y8" s="3429" t="s">
        <v>1683</v>
      </c>
      <c r="Z8" s="3430"/>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7"/>
      <c r="M9" s="2438"/>
      <c r="N9" s="2438"/>
      <c r="O9" s="2438"/>
      <c r="P9" s="3443" t="s">
        <v>1686</v>
      </c>
      <c r="Q9" s="529" t="str">
        <f t="shared" ref="Q9:Q15" si="6">B9</f>
        <v>用途</v>
      </c>
      <c r="R9" s="663" t="s">
        <v>14</v>
      </c>
      <c r="S9" s="664">
        <f t="shared" si="0"/>
        <v>100</v>
      </c>
      <c r="T9" s="663" t="s">
        <v>14</v>
      </c>
      <c r="U9" s="664">
        <f t="shared" si="1"/>
        <v>100</v>
      </c>
      <c r="V9" s="663" t="s">
        <v>14</v>
      </c>
      <c r="W9" s="664">
        <f t="shared" si="2"/>
        <v>100</v>
      </c>
      <c r="X9" s="665"/>
      <c r="Y9" s="3363" t="s">
        <v>1687</v>
      </c>
      <c r="Z9" s="50" t="str">
        <f t="shared" ref="Z9:Z15" si="7">Q9</f>
        <v>用途</v>
      </c>
      <c r="AA9" s="50">
        <f t="shared" si="3"/>
        <v>1</v>
      </c>
      <c r="AB9" s="50">
        <f t="shared" si="4"/>
        <v>1</v>
      </c>
      <c r="AC9" s="801">
        <f t="shared" si="5"/>
        <v>1</v>
      </c>
    </row>
    <row r="10" spans="1:29" s="365" customFormat="1" ht="28.8">
      <c r="A10" s="362"/>
      <c r="B10" s="363"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43"/>
      <c r="Q10" s="529" t="str">
        <f t="shared" si="6"/>
        <v>土地使用年限（年）</v>
      </c>
      <c r="R10" s="663" t="s">
        <v>14</v>
      </c>
      <c r="S10" s="664">
        <f t="shared" si="0"/>
        <v>100</v>
      </c>
      <c r="T10" s="663" t="s">
        <v>14</v>
      </c>
      <c r="U10" s="664">
        <f t="shared" si="1"/>
        <v>100</v>
      </c>
      <c r="V10" s="663" t="s">
        <v>14</v>
      </c>
      <c r="W10" s="664">
        <f t="shared" si="2"/>
        <v>100</v>
      </c>
      <c r="X10" s="665"/>
      <c r="Y10" s="3363"/>
      <c r="Z10" s="50" t="str">
        <f t="shared" si="7"/>
        <v>土地使用年限（年）</v>
      </c>
      <c r="AA10" s="50">
        <f t="shared" si="3"/>
        <v>1</v>
      </c>
      <c r="AB10" s="50">
        <f t="shared" si="4"/>
        <v>1</v>
      </c>
      <c r="AC10" s="801">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90"/>
      <c r="M11" s="2486"/>
      <c r="N11" s="2486"/>
      <c r="O11" s="2486"/>
      <c r="P11" s="3443"/>
      <c r="Q11" s="529" t="str">
        <f t="shared" si="6"/>
        <v>容积率</v>
      </c>
      <c r="R11" s="663" t="s">
        <v>14</v>
      </c>
      <c r="S11" s="664">
        <f t="shared" si="0"/>
        <v>100</v>
      </c>
      <c r="T11" s="663" t="s">
        <v>14</v>
      </c>
      <c r="U11" s="664">
        <f t="shared" si="1"/>
        <v>100</v>
      </c>
      <c r="V11" s="663" t="s">
        <v>14</v>
      </c>
      <c r="W11" s="664">
        <f t="shared" si="2"/>
        <v>100</v>
      </c>
      <c r="X11" s="665"/>
      <c r="Y11" s="3363"/>
      <c r="Z11" s="50" t="str">
        <f t="shared" si="7"/>
        <v>容积率</v>
      </c>
      <c r="AA11" s="50">
        <f t="shared" si="3"/>
        <v>1</v>
      </c>
      <c r="AB11" s="50">
        <f t="shared" si="4"/>
        <v>1</v>
      </c>
      <c r="AC11" s="801">
        <f t="shared" si="5"/>
        <v>1</v>
      </c>
    </row>
    <row r="12" spans="1:29" s="102" customFormat="1" ht="15">
      <c r="A12" s="369"/>
      <c r="B12" s="446">
        <v>111</v>
      </c>
      <c r="C12" s="370"/>
      <c r="D12" s="371">
        <v>100</v>
      </c>
      <c r="E12" s="370"/>
      <c r="F12" s="119">
        <f>SUMIF(71:71,E12,72:72)-SUMIF(71:71,C12,72:72)+100</f>
        <v>100</v>
      </c>
      <c r="G12" s="1808"/>
      <c r="H12" s="119">
        <f>SUMIF(71:71,G12,72:72)-SUMIF(71:71,C12,72:72)+100</f>
        <v>100</v>
      </c>
      <c r="I12" s="370"/>
      <c r="J12" s="119">
        <f>SUMIF(71:71,I12,72:72)-SUMIF(71:71,C12,72:72)+100</f>
        <v>100</v>
      </c>
      <c r="K12" s="538"/>
      <c r="L12" s="2487"/>
      <c r="M12" s="2438"/>
      <c r="N12" s="2438"/>
      <c r="O12" s="2438"/>
      <c r="P12" s="3443"/>
      <c r="Q12" s="529">
        <f t="shared" si="6"/>
        <v>111</v>
      </c>
      <c r="R12" s="663" t="s">
        <v>14</v>
      </c>
      <c r="S12" s="664">
        <f t="shared" si="0"/>
        <v>100</v>
      </c>
      <c r="T12" s="663" t="s">
        <v>14</v>
      </c>
      <c r="U12" s="664">
        <f t="shared" si="1"/>
        <v>100</v>
      </c>
      <c r="V12" s="663" t="s">
        <v>14</v>
      </c>
      <c r="W12" s="664">
        <f t="shared" si="2"/>
        <v>100</v>
      </c>
      <c r="X12" s="665"/>
      <c r="Y12" s="3363"/>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8"/>
      <c r="H13" s="373">
        <f>SUMIF(73:73,G13,74:74)-SUMIF(73:73,C13,74:74)+100</f>
        <v>100</v>
      </c>
      <c r="I13" s="370"/>
      <c r="J13" s="373">
        <f>SUMIF(73:73,I13,74:74)-SUMIF(73:73,C13,74:74)+100</f>
        <v>100</v>
      </c>
      <c r="K13" s="538"/>
      <c r="L13" s="2491"/>
      <c r="M13" s="2486"/>
      <c r="N13" s="2486"/>
      <c r="O13" s="2486"/>
      <c r="P13" s="3443"/>
      <c r="Q13" s="529">
        <f t="shared" si="6"/>
        <v>111</v>
      </c>
      <c r="R13" s="663" t="s">
        <v>14</v>
      </c>
      <c r="S13" s="664">
        <f t="shared" si="0"/>
        <v>100</v>
      </c>
      <c r="T13" s="663" t="s">
        <v>14</v>
      </c>
      <c r="U13" s="664">
        <f t="shared" si="1"/>
        <v>100</v>
      </c>
      <c r="V13" s="663" t="s">
        <v>14</v>
      </c>
      <c r="W13" s="664">
        <f t="shared" si="2"/>
        <v>100</v>
      </c>
      <c r="X13" s="665"/>
      <c r="Y13" s="3363"/>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91"/>
      <c r="M14" s="2486"/>
      <c r="N14" s="2486"/>
      <c r="O14" s="2486"/>
      <c r="P14" s="3443"/>
      <c r="Q14" s="529">
        <f t="shared" si="6"/>
        <v>111</v>
      </c>
      <c r="R14" s="663" t="s">
        <v>14</v>
      </c>
      <c r="S14" s="664">
        <f t="shared" si="0"/>
        <v>100</v>
      </c>
      <c r="T14" s="663" t="s">
        <v>14</v>
      </c>
      <c r="U14" s="664">
        <f t="shared" si="1"/>
        <v>100</v>
      </c>
      <c r="V14" s="663" t="s">
        <v>14</v>
      </c>
      <c r="W14" s="664">
        <f t="shared" si="2"/>
        <v>100</v>
      </c>
      <c r="X14" s="665"/>
      <c r="Y14" s="3363"/>
      <c r="Z14" s="50">
        <f t="shared" si="7"/>
        <v>111</v>
      </c>
      <c r="AA14" s="50">
        <f t="shared" si="3"/>
        <v>1</v>
      </c>
      <c r="AB14" s="50">
        <f t="shared" si="4"/>
        <v>1</v>
      </c>
      <c r="AC14" s="801">
        <f t="shared" si="5"/>
        <v>1</v>
      </c>
    </row>
    <row r="15" spans="1:29" ht="69">
      <c r="A15" s="378" t="s">
        <v>1690</v>
      </c>
      <c r="B15" s="553" t="s">
        <v>1811</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69" t="s">
        <v>1691</v>
      </c>
      <c r="Q15" s="1261" t="str">
        <f t="shared" si="6"/>
        <v>办公集聚程度</v>
      </c>
      <c r="R15" s="666" t="s">
        <v>14</v>
      </c>
      <c r="S15" s="667">
        <f t="shared" si="0"/>
        <v>100</v>
      </c>
      <c r="T15" s="666" t="s">
        <v>14</v>
      </c>
      <c r="U15" s="667">
        <f t="shared" si="1"/>
        <v>100</v>
      </c>
      <c r="V15" s="666" t="s">
        <v>14</v>
      </c>
      <c r="W15" s="667">
        <f t="shared" si="2"/>
        <v>100</v>
      </c>
      <c r="X15" s="1263"/>
      <c r="Y15" s="3462" t="s">
        <v>1691</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91"/>
      <c r="M16" s="2486"/>
      <c r="N16" s="2486"/>
      <c r="O16" s="2486"/>
      <c r="P16" s="3470"/>
      <c r="Q16" s="1261"/>
      <c r="R16" s="666"/>
      <c r="S16" s="667"/>
      <c r="T16" s="666"/>
      <c r="U16" s="667"/>
      <c r="V16" s="666"/>
      <c r="W16" s="667"/>
      <c r="X16" s="1263"/>
      <c r="Y16" s="3463"/>
      <c r="Z16" s="1262"/>
      <c r="AA16" s="1262">
        <v>1</v>
      </c>
      <c r="AB16" s="1262">
        <v>1</v>
      </c>
      <c r="AC16" s="1810">
        <v>1</v>
      </c>
    </row>
    <row r="17" spans="1:29" ht="82.8">
      <c r="A17" s="366"/>
      <c r="B17" s="555" t="s">
        <v>1259</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70"/>
      <c r="Q17" s="1261" t="str">
        <f>B17</f>
        <v>交通便捷度</v>
      </c>
      <c r="R17" s="666" t="s">
        <v>14</v>
      </c>
      <c r="S17" s="667">
        <f>F17</f>
        <v>100</v>
      </c>
      <c r="T17" s="666" t="s">
        <v>14</v>
      </c>
      <c r="U17" s="667">
        <f>H17</f>
        <v>100</v>
      </c>
      <c r="V17" s="666" t="s">
        <v>14</v>
      </c>
      <c r="W17" s="667">
        <f>J17</f>
        <v>100</v>
      </c>
      <c r="X17" s="1263"/>
      <c r="Y17" s="3463"/>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91"/>
      <c r="M18" s="2486"/>
      <c r="N18" s="2486"/>
      <c r="O18" s="2486"/>
      <c r="P18" s="3470"/>
      <c r="Q18" s="1261"/>
      <c r="R18" s="666"/>
      <c r="S18" s="667"/>
      <c r="T18" s="666"/>
      <c r="U18" s="667"/>
      <c r="V18" s="666"/>
      <c r="W18" s="667"/>
      <c r="X18" s="1263"/>
      <c r="Y18" s="3463"/>
      <c r="Z18" s="1262"/>
      <c r="AA18" s="1262">
        <v>1</v>
      </c>
      <c r="AB18" s="1262">
        <v>1</v>
      </c>
      <c r="AC18" s="1810">
        <v>1</v>
      </c>
    </row>
    <row r="19" spans="1:29" ht="41.4">
      <c r="A19" s="366"/>
      <c r="B19" s="555" t="s">
        <v>1812</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70"/>
      <c r="Q19" s="1261" t="str">
        <f>B19</f>
        <v>公共配套设施</v>
      </c>
      <c r="R19" s="666" t="s">
        <v>14</v>
      </c>
      <c r="S19" s="667">
        <f>F19</f>
        <v>100</v>
      </c>
      <c r="T19" s="666" t="s">
        <v>14</v>
      </c>
      <c r="U19" s="667">
        <f>H19</f>
        <v>100</v>
      </c>
      <c r="V19" s="666" t="s">
        <v>14</v>
      </c>
      <c r="W19" s="667">
        <f>J19</f>
        <v>100</v>
      </c>
      <c r="X19" s="1263"/>
      <c r="Y19" s="3463"/>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91"/>
      <c r="M20" s="2486"/>
      <c r="N20" s="2486"/>
      <c r="O20" s="2486"/>
      <c r="P20" s="3470"/>
      <c r="Q20" s="1261"/>
      <c r="R20" s="666"/>
      <c r="S20" s="667"/>
      <c r="T20" s="666"/>
      <c r="U20" s="667"/>
      <c r="V20" s="666"/>
      <c r="W20" s="667"/>
      <c r="X20" s="1263"/>
      <c r="Y20" s="3463"/>
      <c r="Z20" s="1262"/>
      <c r="AA20" s="1262">
        <v>1</v>
      </c>
      <c r="AB20" s="1262">
        <v>1</v>
      </c>
      <c r="AC20" s="1810">
        <v>1</v>
      </c>
    </row>
    <row r="21" spans="1:29" ht="27.6">
      <c r="A21" s="366"/>
      <c r="B21" s="556" t="s">
        <v>1813</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70"/>
      <c r="Q21" s="1261" t="str">
        <f>B21</f>
        <v>基础设施水平</v>
      </c>
      <c r="R21" s="666" t="s">
        <v>14</v>
      </c>
      <c r="S21" s="667">
        <f>F21</f>
        <v>100</v>
      </c>
      <c r="T21" s="666" t="s">
        <v>14</v>
      </c>
      <c r="U21" s="667">
        <f>H21</f>
        <v>100</v>
      </c>
      <c r="V21" s="666" t="s">
        <v>14</v>
      </c>
      <c r="W21" s="667">
        <f>J21</f>
        <v>100</v>
      </c>
      <c r="X21" s="1263"/>
      <c r="Y21" s="3463"/>
      <c r="Z21" s="1262" t="str">
        <f>Q21</f>
        <v>基础设施水平</v>
      </c>
      <c r="AA21" s="1262">
        <f t="shared" ref="AA21" si="8">D21/F21</f>
        <v>1</v>
      </c>
      <c r="AB21" s="1262">
        <f t="shared" ref="AB21" si="9">D21/H21</f>
        <v>1</v>
      </c>
      <c r="AC21" s="1810">
        <f t="shared" ref="AC21" si="10">D21/J21</f>
        <v>1</v>
      </c>
    </row>
    <row r="22" spans="1:29" ht="15">
      <c r="A22" s="366"/>
      <c r="B22" s="556"/>
      <c r="C22" s="1812"/>
      <c r="D22" s="386"/>
      <c r="E22" s="385"/>
      <c r="F22" s="386"/>
      <c r="G22" s="1756"/>
      <c r="H22" s="386"/>
      <c r="I22" s="1756"/>
      <c r="J22" s="386"/>
      <c r="K22" s="1063"/>
      <c r="L22" s="2491"/>
      <c r="M22" s="2486"/>
      <c r="N22" s="2486"/>
      <c r="O22" s="2486"/>
      <c r="P22" s="3470"/>
      <c r="Q22" s="1261"/>
      <c r="R22" s="666"/>
      <c r="S22" s="667"/>
      <c r="T22" s="666"/>
      <c r="U22" s="667"/>
      <c r="V22" s="666"/>
      <c r="W22" s="667"/>
      <c r="X22" s="1263"/>
      <c r="Y22" s="3463"/>
      <c r="Z22" s="1262"/>
      <c r="AA22" s="1262">
        <v>1</v>
      </c>
      <c r="AB22" s="1262">
        <v>1</v>
      </c>
      <c r="AC22" s="1810">
        <v>1</v>
      </c>
    </row>
    <row r="23" spans="1:29" ht="55.2">
      <c r="A23" s="366"/>
      <c r="B23" s="555" t="s">
        <v>1814</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70"/>
      <c r="Q23" s="1261" t="str">
        <f>B23</f>
        <v>环境质量</v>
      </c>
      <c r="R23" s="666" t="s">
        <v>14</v>
      </c>
      <c r="S23" s="667">
        <f>F23</f>
        <v>100</v>
      </c>
      <c r="T23" s="666" t="s">
        <v>14</v>
      </c>
      <c r="U23" s="667">
        <f>H23</f>
        <v>100</v>
      </c>
      <c r="V23" s="666" t="s">
        <v>14</v>
      </c>
      <c r="W23" s="667">
        <f>J23</f>
        <v>100</v>
      </c>
      <c r="X23" s="1263"/>
      <c r="Y23" s="3463"/>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91"/>
      <c r="M24" s="2486"/>
      <c r="N24" s="2486"/>
      <c r="O24" s="2486"/>
      <c r="P24" s="3470"/>
      <c r="Q24" s="1261"/>
      <c r="R24" s="666"/>
      <c r="S24" s="667"/>
      <c r="T24" s="666"/>
      <c r="U24" s="667"/>
      <c r="V24" s="666"/>
      <c r="W24" s="667"/>
      <c r="X24" s="1263"/>
      <c r="Y24" s="3463"/>
      <c r="Z24" s="1262"/>
      <c r="AA24" s="1262">
        <v>1</v>
      </c>
      <c r="AB24" s="1262">
        <v>1</v>
      </c>
      <c r="AC24" s="1810">
        <v>1</v>
      </c>
    </row>
    <row r="25" spans="1:29" ht="28.8">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c r="L25" s="2491"/>
      <c r="M25" s="2486"/>
      <c r="N25" s="2486"/>
      <c r="O25" s="2486"/>
      <c r="P25" s="3470"/>
      <c r="Q25" s="1261" t="str">
        <f>B25</f>
        <v>毗邻道路的类型与等级</v>
      </c>
      <c r="R25" s="666" t="s">
        <v>14</v>
      </c>
      <c r="S25" s="667">
        <f>F25</f>
        <v>100</v>
      </c>
      <c r="T25" s="666" t="s">
        <v>14</v>
      </c>
      <c r="U25" s="667">
        <f>H25</f>
        <v>100</v>
      </c>
      <c r="V25" s="666" t="s">
        <v>14</v>
      </c>
      <c r="W25" s="667">
        <f>J25</f>
        <v>100</v>
      </c>
      <c r="X25" s="1263"/>
      <c r="Y25" s="3463"/>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91"/>
      <c r="M26" s="2486"/>
      <c r="N26" s="2486"/>
      <c r="O26" s="2486"/>
      <c r="P26" s="3470"/>
      <c r="Q26" s="1261"/>
      <c r="R26" s="666"/>
      <c r="S26" s="667"/>
      <c r="T26" s="666"/>
      <c r="U26" s="667"/>
      <c r="V26" s="666"/>
      <c r="W26" s="667"/>
      <c r="X26" s="1263"/>
      <c r="Y26" s="3463"/>
      <c r="Z26" s="1262"/>
      <c r="AA26" s="1262">
        <v>1</v>
      </c>
      <c r="AB26" s="1262">
        <v>1</v>
      </c>
      <c r="AC26" s="1810">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70"/>
      <c r="Q27" s="1261" t="str">
        <f t="shared" ref="Q27:Q47" si="11">B27</f>
        <v>楼层</v>
      </c>
      <c r="R27" s="666" t="s">
        <v>14</v>
      </c>
      <c r="S27" s="667">
        <f>F27</f>
        <v>100</v>
      </c>
      <c r="T27" s="666" t="s">
        <v>14</v>
      </c>
      <c r="U27" s="667">
        <f>H27</f>
        <v>100</v>
      </c>
      <c r="V27" s="666" t="s">
        <v>14</v>
      </c>
      <c r="W27" s="667">
        <f>J27</f>
        <v>100</v>
      </c>
      <c r="X27" s="1263"/>
      <c r="Y27" s="3463"/>
      <c r="Z27" s="1262" t="str">
        <f>Q27</f>
        <v>楼层</v>
      </c>
      <c r="AA27" s="1262">
        <f t="shared" si="3"/>
        <v>1</v>
      </c>
      <c r="AB27" s="1262">
        <f t="shared" si="4"/>
        <v>1</v>
      </c>
      <c r="AC27" s="1810">
        <f t="shared" si="5"/>
        <v>1</v>
      </c>
    </row>
    <row r="28" spans="1:29" s="102"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7"/>
      <c r="M28" s="2438"/>
      <c r="N28" s="2438"/>
      <c r="O28" s="2438"/>
      <c r="P28" s="3470"/>
      <c r="Q28" s="529" t="str">
        <f t="shared" si="11"/>
        <v>朝向</v>
      </c>
      <c r="R28" s="663" t="s">
        <v>14</v>
      </c>
      <c r="S28" s="664">
        <f>F28</f>
        <v>100</v>
      </c>
      <c r="T28" s="663" t="s">
        <v>14</v>
      </c>
      <c r="U28" s="664">
        <f>H28</f>
        <v>100</v>
      </c>
      <c r="V28" s="663" t="s">
        <v>14</v>
      </c>
      <c r="W28" s="664">
        <f>J28</f>
        <v>100</v>
      </c>
      <c r="X28" s="665"/>
      <c r="Y28" s="3463"/>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91"/>
      <c r="M29" s="2486"/>
      <c r="N29" s="2486"/>
      <c r="O29" s="2486"/>
      <c r="P29" s="3470"/>
      <c r="Q29" s="1261">
        <f t="shared" si="11"/>
        <v>111</v>
      </c>
      <c r="R29" s="666" t="s">
        <v>14</v>
      </c>
      <c r="S29" s="667">
        <f t="shared" ref="S29:S47" si="12">F29</f>
        <v>100</v>
      </c>
      <c r="T29" s="666" t="s">
        <v>14</v>
      </c>
      <c r="U29" s="667">
        <f t="shared" ref="U29:U47" si="13">H29</f>
        <v>100</v>
      </c>
      <c r="V29" s="666" t="s">
        <v>14</v>
      </c>
      <c r="W29" s="667">
        <f t="shared" ref="W29:W47" si="14">J29</f>
        <v>100</v>
      </c>
      <c r="X29" s="1263"/>
      <c r="Y29" s="3463"/>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91"/>
      <c r="M30" s="2486"/>
      <c r="N30" s="2486"/>
      <c r="O30" s="2486"/>
      <c r="P30" s="3470"/>
      <c r="Q30" s="1261">
        <f t="shared" si="11"/>
        <v>111</v>
      </c>
      <c r="R30" s="666" t="s">
        <v>14</v>
      </c>
      <c r="S30" s="667">
        <f t="shared" si="12"/>
        <v>100</v>
      </c>
      <c r="T30" s="666" t="s">
        <v>14</v>
      </c>
      <c r="U30" s="667">
        <f t="shared" si="13"/>
        <v>100</v>
      </c>
      <c r="V30" s="666" t="s">
        <v>14</v>
      </c>
      <c r="W30" s="667">
        <f t="shared" si="14"/>
        <v>100</v>
      </c>
      <c r="X30" s="1263"/>
      <c r="Y30" s="3463"/>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91"/>
      <c r="M31" s="2486"/>
      <c r="N31" s="2486"/>
      <c r="O31" s="2486"/>
      <c r="P31" s="3470"/>
      <c r="Q31" s="1261">
        <f t="shared" si="11"/>
        <v>111</v>
      </c>
      <c r="R31" s="666" t="s">
        <v>14</v>
      </c>
      <c r="S31" s="667">
        <f t="shared" si="12"/>
        <v>100</v>
      </c>
      <c r="T31" s="666" t="s">
        <v>14</v>
      </c>
      <c r="U31" s="667">
        <f t="shared" si="13"/>
        <v>100</v>
      </c>
      <c r="V31" s="666" t="s">
        <v>14</v>
      </c>
      <c r="W31" s="667">
        <f t="shared" si="14"/>
        <v>100</v>
      </c>
      <c r="X31" s="1263"/>
      <c r="Y31" s="3463"/>
      <c r="Z31" s="1262">
        <f t="shared" si="15"/>
        <v>111</v>
      </c>
      <c r="AA31" s="1262">
        <f t="shared" si="3"/>
        <v>1</v>
      </c>
      <c r="AB31" s="1262">
        <f t="shared" si="4"/>
        <v>1</v>
      </c>
      <c r="AC31" s="1810">
        <f t="shared" si="5"/>
        <v>1</v>
      </c>
    </row>
    <row r="32" spans="1:29" ht="15.6"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91"/>
      <c r="M32" s="2486"/>
      <c r="N32" s="2486"/>
      <c r="O32" s="2486"/>
      <c r="P32" s="3470"/>
      <c r="Q32" s="1261">
        <f t="shared" si="11"/>
        <v>111</v>
      </c>
      <c r="R32" s="666" t="s">
        <v>14</v>
      </c>
      <c r="S32" s="667">
        <f t="shared" si="12"/>
        <v>100</v>
      </c>
      <c r="T32" s="666" t="s">
        <v>14</v>
      </c>
      <c r="U32" s="667">
        <f t="shared" si="13"/>
        <v>100</v>
      </c>
      <c r="V32" s="666" t="s">
        <v>14</v>
      </c>
      <c r="W32" s="667">
        <f t="shared" si="14"/>
        <v>100</v>
      </c>
      <c r="X32" s="1263"/>
      <c r="Y32" s="3463"/>
      <c r="Z32" s="1262">
        <f t="shared" si="15"/>
        <v>111</v>
      </c>
      <c r="AA32" s="1262">
        <f t="shared" si="3"/>
        <v>1</v>
      </c>
      <c r="AB32" s="1262">
        <f t="shared" si="4"/>
        <v>1</v>
      </c>
      <c r="AC32" s="1810">
        <f t="shared" si="5"/>
        <v>1</v>
      </c>
    </row>
    <row r="33" spans="1:29" ht="15">
      <c r="A33" s="378" t="s">
        <v>1694</v>
      </c>
      <c r="B33" s="60" t="s">
        <v>1817</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1"/>
      <c r="M33" s="2486"/>
      <c r="N33" s="2486"/>
      <c r="O33" s="2486"/>
      <c r="P33" s="3464" t="s">
        <v>1696</v>
      </c>
      <c r="Q33" s="1261" t="str">
        <f t="shared" si="11"/>
        <v>建筑类型</v>
      </c>
      <c r="R33" s="666" t="s">
        <v>14</v>
      </c>
      <c r="S33" s="667">
        <f t="shared" si="12"/>
        <v>100</v>
      </c>
      <c r="T33" s="666" t="s">
        <v>14</v>
      </c>
      <c r="U33" s="667">
        <f t="shared" si="13"/>
        <v>100</v>
      </c>
      <c r="V33" s="666" t="s">
        <v>14</v>
      </c>
      <c r="W33" s="667">
        <f t="shared" si="14"/>
        <v>100</v>
      </c>
      <c r="X33" s="1263"/>
      <c r="Y33" s="3467" t="s">
        <v>1696</v>
      </c>
      <c r="Z33" s="1262" t="str">
        <f t="shared" si="15"/>
        <v>建筑类型</v>
      </c>
      <c r="AA33" s="1262">
        <f t="shared" si="3"/>
        <v>1</v>
      </c>
      <c r="AB33" s="1262">
        <f t="shared" si="4"/>
        <v>1</v>
      </c>
      <c r="AC33" s="1810">
        <f t="shared" si="5"/>
        <v>1</v>
      </c>
    </row>
    <row r="34" spans="1:29" s="407" customFormat="1" ht="15">
      <c r="A34" s="405"/>
      <c r="B34" s="363" t="s">
        <v>1697</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90"/>
      <c r="M34" s="2492"/>
      <c r="N34" s="2492"/>
      <c r="O34" s="2492"/>
      <c r="P34" s="3465"/>
      <c r="Q34" s="530" t="str">
        <f t="shared" si="11"/>
        <v>项目建筑规模</v>
      </c>
      <c r="R34" s="668" t="s">
        <v>14</v>
      </c>
      <c r="S34" s="669" t="e">
        <f t="shared" si="12"/>
        <v>#N/A</v>
      </c>
      <c r="T34" s="668" t="s">
        <v>14</v>
      </c>
      <c r="U34" s="669" t="e">
        <f t="shared" si="13"/>
        <v>#N/A</v>
      </c>
      <c r="V34" s="668" t="s">
        <v>14</v>
      </c>
      <c r="W34" s="669" t="e">
        <f t="shared" si="14"/>
        <v>#N/A</v>
      </c>
      <c r="X34" s="670"/>
      <c r="Y34" s="3467"/>
      <c r="Z34" s="671" t="str">
        <f t="shared" si="15"/>
        <v>项目建筑规模</v>
      </c>
      <c r="AA34" s="1262" t="e">
        <f t="shared" si="3"/>
        <v>#N/A</v>
      </c>
      <c r="AB34" s="1262" t="e">
        <f t="shared" si="4"/>
        <v>#N/A</v>
      </c>
      <c r="AC34" s="1810"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65"/>
      <c r="Q35" s="1261" t="str">
        <f t="shared" si="11"/>
        <v>建筑结构</v>
      </c>
      <c r="R35" s="666" t="s">
        <v>14</v>
      </c>
      <c r="S35" s="667">
        <f t="shared" si="12"/>
        <v>100</v>
      </c>
      <c r="T35" s="666" t="s">
        <v>14</v>
      </c>
      <c r="U35" s="667">
        <f t="shared" si="13"/>
        <v>100</v>
      </c>
      <c r="V35" s="666" t="s">
        <v>14</v>
      </c>
      <c r="W35" s="667">
        <f t="shared" si="14"/>
        <v>100</v>
      </c>
      <c r="X35" s="1263"/>
      <c r="Y35" s="3467"/>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65"/>
      <c r="Q36" s="1261" t="str">
        <f t="shared" si="11"/>
        <v>公共部分装修</v>
      </c>
      <c r="R36" s="666" t="s">
        <v>14</v>
      </c>
      <c r="S36" s="667">
        <f t="shared" si="12"/>
        <v>100</v>
      </c>
      <c r="T36" s="666" t="s">
        <v>14</v>
      </c>
      <c r="U36" s="667">
        <f t="shared" si="13"/>
        <v>100</v>
      </c>
      <c r="V36" s="666" t="s">
        <v>14</v>
      </c>
      <c r="W36" s="667">
        <f t="shared" si="14"/>
        <v>100</v>
      </c>
      <c r="X36" s="1263"/>
      <c r="Y36" s="3467"/>
      <c r="Z36" s="1262" t="str">
        <f t="shared" si="15"/>
        <v>公共部分装修</v>
      </c>
      <c r="AA36" s="1262">
        <f t="shared" si="3"/>
        <v>1</v>
      </c>
      <c r="AB36" s="1262">
        <f t="shared" si="4"/>
        <v>1</v>
      </c>
      <c r="AC36" s="1810">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65"/>
      <c r="Q37" s="1261" t="str">
        <f t="shared" si="11"/>
        <v>成新度</v>
      </c>
      <c r="R37" s="666" t="s">
        <v>14</v>
      </c>
      <c r="S37" s="667" t="e">
        <f t="shared" si="12"/>
        <v>#N/A</v>
      </c>
      <c r="T37" s="666" t="s">
        <v>14</v>
      </c>
      <c r="U37" s="667" t="e">
        <f t="shared" si="13"/>
        <v>#N/A</v>
      </c>
      <c r="V37" s="666" t="s">
        <v>14</v>
      </c>
      <c r="W37" s="667" t="e">
        <f t="shared" si="14"/>
        <v>#N/A</v>
      </c>
      <c r="X37" s="1263"/>
      <c r="Y37" s="3467"/>
      <c r="Z37" s="1262" t="str">
        <f t="shared" si="15"/>
        <v>成新度</v>
      </c>
      <c r="AA37" s="1262" t="e">
        <f t="shared" si="3"/>
        <v>#N/A</v>
      </c>
      <c r="AB37" s="1262" t="e">
        <f t="shared" si="4"/>
        <v>#N/A</v>
      </c>
      <c r="AC37" s="1810" t="e">
        <f t="shared" si="5"/>
        <v>#N/A</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7"/>
      <c r="M38" s="2438"/>
      <c r="N38" s="2438"/>
      <c r="O38" s="2438"/>
      <c r="P38" s="3465"/>
      <c r="Q38" s="529" t="str">
        <f t="shared" si="11"/>
        <v>写字楼等级</v>
      </c>
      <c r="R38" s="663" t="s">
        <v>14</v>
      </c>
      <c r="S38" s="664">
        <f t="shared" si="12"/>
        <v>100</v>
      </c>
      <c r="T38" s="663" t="s">
        <v>14</v>
      </c>
      <c r="U38" s="664">
        <f t="shared" si="13"/>
        <v>100</v>
      </c>
      <c r="V38" s="663" t="s">
        <v>14</v>
      </c>
      <c r="W38" s="664">
        <f t="shared" si="14"/>
        <v>100</v>
      </c>
      <c r="X38" s="665"/>
      <c r="Y38" s="346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65" t="s">
        <v>1696</v>
      </c>
      <c r="Q39" s="1261" t="str">
        <f t="shared" si="11"/>
        <v>物业管理</v>
      </c>
      <c r="R39" s="666" t="s">
        <v>14</v>
      </c>
      <c r="S39" s="667">
        <f t="shared" si="12"/>
        <v>100</v>
      </c>
      <c r="T39" s="666" t="s">
        <v>14</v>
      </c>
      <c r="U39" s="667">
        <f t="shared" si="13"/>
        <v>100</v>
      </c>
      <c r="V39" s="666" t="s">
        <v>14</v>
      </c>
      <c r="W39" s="667">
        <f t="shared" si="14"/>
        <v>100</v>
      </c>
      <c r="X39" s="1263"/>
      <c r="Y39" s="3467" t="s">
        <v>1696</v>
      </c>
      <c r="Z39" s="1262" t="str">
        <f t="shared" si="15"/>
        <v>物业管理</v>
      </c>
      <c r="AA39" s="1262">
        <f t="shared" si="3"/>
        <v>1</v>
      </c>
      <c r="AB39" s="1262">
        <f t="shared" si="4"/>
        <v>1</v>
      </c>
      <c r="AC39" s="1810">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65"/>
      <c r="Q40" s="1261" t="str">
        <f t="shared" si="11"/>
        <v>市政基础设施</v>
      </c>
      <c r="R40" s="666" t="s">
        <v>14</v>
      </c>
      <c r="S40" s="667">
        <f t="shared" si="12"/>
        <v>100</v>
      </c>
      <c r="T40" s="666" t="s">
        <v>14</v>
      </c>
      <c r="U40" s="667">
        <f t="shared" si="13"/>
        <v>100</v>
      </c>
      <c r="V40" s="666" t="s">
        <v>14</v>
      </c>
      <c r="W40" s="667">
        <f t="shared" si="14"/>
        <v>100</v>
      </c>
      <c r="X40" s="1263"/>
      <c r="Y40" s="3467"/>
      <c r="Z40" s="1262" t="str">
        <f t="shared" si="15"/>
        <v>市政基础设施</v>
      </c>
      <c r="AA40" s="1262">
        <f t="shared" si="3"/>
        <v>1</v>
      </c>
      <c r="AB40" s="1262">
        <f t="shared" si="4"/>
        <v>1</v>
      </c>
      <c r="AC40" s="1810">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65"/>
      <c r="Q41" s="1261" t="str">
        <f t="shared" si="11"/>
        <v>层高</v>
      </c>
      <c r="R41" s="666" t="s">
        <v>14</v>
      </c>
      <c r="S41" s="667">
        <f t="shared" si="12"/>
        <v>100</v>
      </c>
      <c r="T41" s="666" t="s">
        <v>14</v>
      </c>
      <c r="U41" s="667">
        <f t="shared" si="13"/>
        <v>100</v>
      </c>
      <c r="V41" s="666" t="s">
        <v>14</v>
      </c>
      <c r="W41" s="667">
        <f t="shared" si="14"/>
        <v>100</v>
      </c>
      <c r="X41" s="1263"/>
      <c r="Y41" s="3467"/>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65"/>
      <c r="Q42" s="530" t="str">
        <f t="shared" si="11"/>
        <v>单套建筑面积</v>
      </c>
      <c r="R42" s="668" t="s">
        <v>14</v>
      </c>
      <c r="S42" s="669">
        <f t="shared" si="12"/>
        <v>100</v>
      </c>
      <c r="T42" s="668" t="s">
        <v>14</v>
      </c>
      <c r="U42" s="669">
        <f t="shared" si="13"/>
        <v>100</v>
      </c>
      <c r="V42" s="668" t="s">
        <v>14</v>
      </c>
      <c r="W42" s="669">
        <f t="shared" si="14"/>
        <v>100</v>
      </c>
      <c r="X42" s="670"/>
      <c r="Y42" s="3467"/>
      <c r="Z42" s="671" t="str">
        <f t="shared" si="15"/>
        <v>单套建筑面积</v>
      </c>
      <c r="AA42" s="1262">
        <f t="shared" si="3"/>
        <v>1</v>
      </c>
      <c r="AB42" s="1262">
        <f t="shared" si="4"/>
        <v>1</v>
      </c>
      <c r="AC42" s="1810">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65"/>
      <c r="Q43" s="1261" t="str">
        <f t="shared" si="11"/>
        <v>内部装修</v>
      </c>
      <c r="R43" s="666" t="s">
        <v>14</v>
      </c>
      <c r="S43" s="667">
        <f t="shared" si="12"/>
        <v>100</v>
      </c>
      <c r="T43" s="666" t="s">
        <v>14</v>
      </c>
      <c r="U43" s="667">
        <f t="shared" si="13"/>
        <v>100</v>
      </c>
      <c r="V43" s="666" t="s">
        <v>14</v>
      </c>
      <c r="W43" s="667">
        <f t="shared" si="14"/>
        <v>100</v>
      </c>
      <c r="X43" s="1263"/>
      <c r="Y43" s="3467"/>
      <c r="Z43" s="1262" t="str">
        <f t="shared" si="15"/>
        <v>内部装修</v>
      </c>
      <c r="AA43" s="1262">
        <f t="shared" si="3"/>
        <v>1</v>
      </c>
      <c r="AB43" s="1262">
        <f t="shared" si="4"/>
        <v>1</v>
      </c>
      <c r="AC43" s="1810">
        <f t="shared" si="5"/>
        <v>1</v>
      </c>
    </row>
    <row r="44" spans="1:29" ht="28.8">
      <c r="A44" s="408"/>
      <c r="B44" s="363" t="s">
        <v>1707</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1"/>
      <c r="M44" s="2486"/>
      <c r="N44" s="2486"/>
      <c r="O44" s="2486"/>
      <c r="P44" s="3465"/>
      <c r="Q44" s="1261" t="str">
        <f t="shared" si="11"/>
        <v>内部装修维护情况</v>
      </c>
      <c r="R44" s="666" t="s">
        <v>14</v>
      </c>
      <c r="S44" s="667">
        <f t="shared" si="12"/>
        <v>100</v>
      </c>
      <c r="T44" s="666" t="s">
        <v>14</v>
      </c>
      <c r="U44" s="667">
        <f t="shared" si="13"/>
        <v>100</v>
      </c>
      <c r="V44" s="666" t="s">
        <v>14</v>
      </c>
      <c r="W44" s="667">
        <f t="shared" si="14"/>
        <v>100</v>
      </c>
      <c r="X44" s="1263"/>
      <c r="Y44" s="3467"/>
      <c r="Z44" s="1262" t="str">
        <f t="shared" si="15"/>
        <v>内部装修维护情况</v>
      </c>
      <c r="AA44" s="1262">
        <f t="shared" si="3"/>
        <v>1</v>
      </c>
      <c r="AB44" s="1262">
        <f t="shared" si="4"/>
        <v>1</v>
      </c>
      <c r="AC44" s="1810">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7"/>
      <c r="M45" s="2438"/>
      <c r="N45" s="2438"/>
      <c r="O45" s="2438"/>
      <c r="P45" s="3465"/>
      <c r="Q45" s="529">
        <f t="shared" si="11"/>
        <v>111</v>
      </c>
      <c r="R45" s="663" t="s">
        <v>14</v>
      </c>
      <c r="S45" s="664">
        <f t="shared" si="12"/>
        <v>100</v>
      </c>
      <c r="T45" s="663" t="s">
        <v>14</v>
      </c>
      <c r="U45" s="664">
        <f t="shared" si="13"/>
        <v>100</v>
      </c>
      <c r="V45" s="663" t="s">
        <v>14</v>
      </c>
      <c r="W45" s="664">
        <f t="shared" si="14"/>
        <v>100</v>
      </c>
      <c r="X45" s="665"/>
      <c r="Y45" s="346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65"/>
      <c r="Q46" s="1261">
        <f t="shared" si="11"/>
        <v>111</v>
      </c>
      <c r="R46" s="666" t="s">
        <v>14</v>
      </c>
      <c r="S46" s="667">
        <f t="shared" si="12"/>
        <v>100</v>
      </c>
      <c r="T46" s="666" t="s">
        <v>14</v>
      </c>
      <c r="U46" s="667">
        <f t="shared" si="13"/>
        <v>100</v>
      </c>
      <c r="V46" s="666" t="s">
        <v>14</v>
      </c>
      <c r="W46" s="667">
        <f t="shared" si="14"/>
        <v>100</v>
      </c>
      <c r="X46" s="1263"/>
      <c r="Y46" s="3467"/>
      <c r="Z46" s="1262">
        <f t="shared" si="15"/>
        <v>111</v>
      </c>
      <c r="AA46" s="1262">
        <f t="shared" si="3"/>
        <v>1</v>
      </c>
      <c r="AB46" s="1262">
        <f t="shared" si="4"/>
        <v>1</v>
      </c>
      <c r="AC46" s="1810">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66"/>
      <c r="Q47" s="1261">
        <f t="shared" si="11"/>
        <v>111</v>
      </c>
      <c r="R47" s="666" t="s">
        <v>14</v>
      </c>
      <c r="S47" s="667">
        <f t="shared" si="12"/>
        <v>100</v>
      </c>
      <c r="T47" s="666" t="s">
        <v>14</v>
      </c>
      <c r="U47" s="667">
        <f t="shared" si="13"/>
        <v>100</v>
      </c>
      <c r="V47" s="666" t="s">
        <v>14</v>
      </c>
      <c r="W47" s="667">
        <f t="shared" si="14"/>
        <v>100</v>
      </c>
      <c r="X47" s="1263"/>
      <c r="Y47" s="3468"/>
      <c r="Z47" s="1262">
        <f t="shared" si="15"/>
        <v>111</v>
      </c>
      <c r="AA47" s="1262">
        <f t="shared" si="3"/>
        <v>1</v>
      </c>
      <c r="AB47" s="1262">
        <f t="shared" si="4"/>
        <v>1</v>
      </c>
      <c r="AC47" s="1810">
        <f t="shared" si="5"/>
        <v>1</v>
      </c>
    </row>
    <row r="48" spans="1:29" ht="14.4">
      <c r="A48" s="415" t="s">
        <v>1708</v>
      </c>
      <c r="B48" s="416"/>
      <c r="C48" s="1079" t="s">
        <v>0</v>
      </c>
      <c r="D48" s="417"/>
      <c r="E48" s="418"/>
      <c r="F48" s="419"/>
      <c r="G48" s="420"/>
      <c r="H48" s="421"/>
      <c r="I48" s="418"/>
      <c r="J48" s="421"/>
      <c r="K48" s="673"/>
      <c r="L48" s="2493"/>
      <c r="M48" s="2486"/>
      <c r="N48" s="2486"/>
      <c r="O48" s="2486"/>
      <c r="P48" s="3443" t="str">
        <f>A48</f>
        <v>成交单价（元/平方米）</v>
      </c>
      <c r="Q48" s="3461"/>
      <c r="R48" s="3456">
        <f>E48</f>
        <v>0</v>
      </c>
      <c r="S48" s="3456"/>
      <c r="T48" s="3456">
        <f>G48</f>
        <v>0</v>
      </c>
      <c r="U48" s="3456"/>
      <c r="V48" s="3456">
        <f>I48</f>
        <v>0</v>
      </c>
      <c r="W48" s="3456"/>
      <c r="X48" s="384"/>
      <c r="Y48" s="672"/>
      <c r="Z48" s="384"/>
      <c r="AA48" s="384"/>
      <c r="AB48" s="384"/>
      <c r="AC48" s="554"/>
    </row>
    <row r="49" spans="1:29" ht="15" thickBot="1">
      <c r="A49" s="422" t="s">
        <v>1793</v>
      </c>
      <c r="B49" s="423"/>
      <c r="C49" s="1080" t="e">
        <f>R50</f>
        <v>#DIV/0!</v>
      </c>
      <c r="D49" s="2139" t="s">
        <v>2138</v>
      </c>
      <c r="E49" s="1081" t="e">
        <f>R49</f>
        <v>#DIV/0!</v>
      </c>
      <c r="F49" s="2140"/>
      <c r="G49" s="1080" t="e">
        <f>T49</f>
        <v>#DIV/0!</v>
      </c>
      <c r="H49" s="2140"/>
      <c r="I49" s="1081" t="e">
        <f>V49</f>
        <v>#DIV/0!</v>
      </c>
      <c r="J49" s="2140"/>
      <c r="K49" s="2142">
        <f>F49+H49+J49</f>
        <v>0</v>
      </c>
      <c r="L49" s="2493"/>
      <c r="M49" s="2486"/>
      <c r="N49" s="2486"/>
      <c r="O49" s="2486"/>
      <c r="P49" s="3443" t="str">
        <f>A49</f>
        <v>比较价值（元/平方米）</v>
      </c>
      <c r="Q49" s="3461"/>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3"/>
      <c r="M50" s="2486"/>
      <c r="N50" s="2486"/>
      <c r="O50" s="2486"/>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4.4">
      <c r="A59" s="439" t="s">
        <v>1679</v>
      </c>
      <c r="B59" s="440"/>
      <c r="C59" s="1101" t="str">
        <f>YEAR(C7)&amp;"-"&amp;MONTH(C7)</f>
        <v>2024-11</v>
      </c>
      <c r="D59" s="1102">
        <f>EDATE(C59,-1)</f>
        <v>45566</v>
      </c>
      <c r="E59" s="1102">
        <f>EDATE(D59,-1)</f>
        <v>45536</v>
      </c>
      <c r="F59" s="1102">
        <f t="shared" ref="F59:O59" si="16">EDATE(E59,-1)</f>
        <v>45505</v>
      </c>
      <c r="G59" s="1102">
        <f t="shared" si="16"/>
        <v>45474</v>
      </c>
      <c r="H59" s="1102">
        <f t="shared" si="16"/>
        <v>45444</v>
      </c>
      <c r="I59" s="1102">
        <f t="shared" si="16"/>
        <v>45413</v>
      </c>
      <c r="J59" s="1102">
        <f t="shared" si="16"/>
        <v>45383</v>
      </c>
      <c r="K59" s="1102">
        <f t="shared" si="16"/>
        <v>45352</v>
      </c>
      <c r="L59" s="1102">
        <f t="shared" si="16"/>
        <v>45323</v>
      </c>
      <c r="M59" s="1102">
        <f t="shared" si="16"/>
        <v>45292</v>
      </c>
      <c r="N59" s="1102">
        <f t="shared" si="16"/>
        <v>45261</v>
      </c>
      <c r="O59" s="1102">
        <f t="shared" si="16"/>
        <v>45231</v>
      </c>
      <c r="P59" s="2526"/>
      <c r="Q59" s="2509"/>
      <c r="R59" s="2509"/>
      <c r="S59" s="2509"/>
      <c r="T59" s="2509"/>
      <c r="U59" s="2509"/>
      <c r="V59" s="2509"/>
      <c r="W59" s="2509"/>
      <c r="X59" s="2509"/>
      <c r="Y59" s="2509"/>
      <c r="Z59" s="2509"/>
      <c r="AA59" s="2509"/>
      <c r="AB59" s="2509"/>
      <c r="AC59" s="2509"/>
    </row>
    <row r="60" spans="1:29" s="102" customFormat="1">
      <c r="A60" s="442"/>
      <c r="B60" s="443"/>
      <c r="C60" s="1100">
        <v>100</v>
      </c>
      <c r="D60" s="445"/>
      <c r="E60" s="445"/>
      <c r="F60" s="445"/>
      <c r="G60" s="445"/>
      <c r="H60" s="445"/>
      <c r="I60" s="445"/>
      <c r="J60" s="445"/>
      <c r="K60" s="445"/>
      <c r="L60" s="445"/>
      <c r="M60" s="446"/>
      <c r="N60" s="445"/>
      <c r="O60" s="446"/>
      <c r="P60" s="2527"/>
      <c r="Q60" s="2438"/>
      <c r="R60" s="2438"/>
      <c r="S60" s="2438"/>
      <c r="T60" s="2438"/>
      <c r="U60" s="2438"/>
      <c r="V60" s="2438"/>
      <c r="W60" s="2438"/>
      <c r="X60" s="2438"/>
      <c r="Y60" s="2438"/>
      <c r="Z60" s="2438"/>
      <c r="AA60" s="2438"/>
      <c r="AB60" s="2438"/>
      <c r="AC60" s="2438"/>
    </row>
    <row r="61" spans="1:29" s="102" customFormat="1" ht="15" thickBot="1">
      <c r="A61" s="448" t="s">
        <v>1716</v>
      </c>
      <c r="B61" s="449"/>
      <c r="C61" s="450"/>
      <c r="D61" s="451"/>
      <c r="E61" s="451"/>
      <c r="F61" s="451"/>
      <c r="G61" s="451"/>
      <c r="H61" s="451"/>
      <c r="I61" s="451"/>
      <c r="J61" s="451"/>
      <c r="K61" s="451"/>
      <c r="L61" s="451"/>
      <c r="M61" s="452"/>
      <c r="N61" s="451"/>
      <c r="O61" s="452"/>
      <c r="P61" s="2527"/>
      <c r="Q61" s="2507"/>
      <c r="R61" s="2438"/>
      <c r="S61" s="2438"/>
      <c r="T61" s="2438"/>
      <c r="U61" s="2438"/>
      <c r="V61" s="2438"/>
      <c r="W61" s="2438"/>
      <c r="X61" s="2438"/>
      <c r="Y61" s="2438"/>
      <c r="Z61" s="2438"/>
      <c r="AA61" s="2438"/>
      <c r="AB61" s="2438"/>
      <c r="AC61" s="2438"/>
    </row>
    <row r="62" spans="1:29" s="102" customFormat="1" ht="14.4">
      <c r="A62" s="454" t="s">
        <v>1681</v>
      </c>
      <c r="B62" s="443"/>
      <c r="C62" s="455" t="s">
        <v>1776</v>
      </c>
      <c r="D62" s="31"/>
      <c r="E62" s="31"/>
      <c r="F62" s="31"/>
      <c r="G62" s="31"/>
      <c r="H62" s="31"/>
      <c r="I62" s="31"/>
      <c r="J62" s="31"/>
      <c r="K62" s="31"/>
      <c r="L62" s="456"/>
      <c r="M62" s="457"/>
      <c r="N62" s="2519"/>
      <c r="O62" s="2519"/>
      <c r="P62" s="2528"/>
      <c r="Q62" s="2507"/>
      <c r="R62" s="2438"/>
      <c r="S62" s="2438"/>
      <c r="T62" s="2438"/>
      <c r="U62" s="2438"/>
      <c r="V62" s="2438"/>
      <c r="W62" s="2438"/>
      <c r="X62" s="2438"/>
      <c r="Y62" s="2438"/>
      <c r="Z62" s="2438"/>
      <c r="AA62" s="2438"/>
      <c r="AB62" s="2438"/>
      <c r="AC62" s="2438"/>
    </row>
    <row r="63" spans="1:29" s="102" customFormat="1" ht="14.4" thickBot="1">
      <c r="A63" s="454"/>
      <c r="B63" s="443"/>
      <c r="C63" s="444">
        <v>100</v>
      </c>
      <c r="D63" s="445"/>
      <c r="E63" s="445"/>
      <c r="F63" s="445"/>
      <c r="G63" s="445"/>
      <c r="H63" s="445"/>
      <c r="I63" s="445"/>
      <c r="J63" s="445"/>
      <c r="K63" s="445"/>
      <c r="L63" s="445"/>
      <c r="M63" s="447"/>
      <c r="N63" s="2519"/>
      <c r="O63" s="2519"/>
      <c r="P63" s="2527"/>
      <c r="Q63" s="2507"/>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4"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9.4"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4"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4"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4"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4"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4"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4"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4"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ht="14.4">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9.4" thickTop="1">
      <c r="A87" s="369"/>
      <c r="B87" s="468" t="s">
        <v>1823</v>
      </c>
      <c r="C87" s="484"/>
      <c r="D87" s="484"/>
      <c r="E87" s="484"/>
      <c r="F87" s="484"/>
      <c r="G87" s="484"/>
      <c r="H87" s="484"/>
      <c r="I87" s="484"/>
      <c r="J87" s="484"/>
      <c r="K87" s="484"/>
      <c r="L87" s="509"/>
      <c r="M87" s="510"/>
      <c r="N87" s="2519"/>
      <c r="O87" s="2519"/>
      <c r="P87" s="2529"/>
      <c r="Q87" s="2507"/>
      <c r="R87" s="2438"/>
      <c r="S87" s="2438"/>
      <c r="T87" s="2438"/>
      <c r="U87" s="2438"/>
      <c r="V87" s="2438"/>
      <c r="W87" s="2438"/>
      <c r="X87" s="2438"/>
      <c r="Y87" s="2438"/>
      <c r="Z87" s="2438"/>
      <c r="AA87" s="2438"/>
      <c r="AB87" s="2438"/>
      <c r="AC87" s="2438"/>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69"/>
      <c r="B89" s="468" t="str">
        <f>B27</f>
        <v>楼层</v>
      </c>
      <c r="C89" s="484"/>
      <c r="D89" s="484"/>
      <c r="E89" s="484"/>
      <c r="F89" s="1778"/>
      <c r="G89" s="484"/>
      <c r="H89" s="484"/>
      <c r="I89" s="484"/>
      <c r="J89" s="484"/>
      <c r="K89" s="484"/>
      <c r="L89" s="484"/>
      <c r="M89" s="510"/>
      <c r="N89" s="2519"/>
      <c r="O89" s="2519"/>
      <c r="P89" s="2529"/>
      <c r="Q89" s="2507"/>
      <c r="R89" s="2438"/>
      <c r="S89" s="2438"/>
      <c r="T89" s="2438"/>
      <c r="U89" s="2438"/>
      <c r="V89" s="2438"/>
      <c r="W89" s="2438"/>
      <c r="X89" s="2438"/>
      <c r="Y89" s="2438"/>
      <c r="Z89" s="2438"/>
      <c r="AA89" s="2438"/>
      <c r="AB89" s="2438"/>
      <c r="AC89" s="2438"/>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4"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4"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4"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4"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4"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ht="14.4">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4"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4"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4"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4"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4"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4"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4"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4"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17.399999999999999">
      <c r="A4" s="1380" t="str">
        <f>"受贵公司委托，我公司对"&amp;项目基本情况!S1&amp;"进行了预评估。"</f>
        <v>受贵公司委托，我公司对北京市房地产抵押价值进行了预评估。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2024年11月11日（评估专业人员实地查勘之日）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48377.229999999996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44" t="s">
        <v>1770</v>
      </c>
      <c r="D4" s="3445"/>
      <c r="E4" s="3446" t="s">
        <v>1771</v>
      </c>
      <c r="F4" s="3447"/>
      <c r="G4" s="3444" t="s">
        <v>1772</v>
      </c>
      <c r="H4" s="3445"/>
      <c r="I4" s="3444" t="s">
        <v>1773</v>
      </c>
      <c r="J4" s="3445"/>
      <c r="K4" s="536" t="s">
        <v>1774</v>
      </c>
      <c r="L4" s="859"/>
      <c r="M4" s="860"/>
      <c r="N4" s="860"/>
      <c r="O4" s="860"/>
      <c r="P4" s="3448" t="s">
        <v>1775</v>
      </c>
      <c r="Q4" s="3449"/>
      <c r="R4" s="3431" t="s">
        <v>1771</v>
      </c>
      <c r="S4" s="3432"/>
      <c r="T4" s="3431" t="s">
        <v>1772</v>
      </c>
      <c r="U4" s="3432"/>
      <c r="V4" s="3456" t="s">
        <v>1773</v>
      </c>
      <c r="W4" s="3456"/>
      <c r="X4" s="1263"/>
      <c r="Y4" s="3431" t="s">
        <v>1775</v>
      </c>
      <c r="Z4" s="3432"/>
      <c r="AA4" s="3426" t="s">
        <v>1771</v>
      </c>
      <c r="AB4" s="3427" t="s">
        <v>1772</v>
      </c>
      <c r="AC4" s="3426" t="s">
        <v>1773</v>
      </c>
    </row>
    <row r="5" spans="1:29">
      <c r="A5" s="347"/>
      <c r="B5" s="348"/>
      <c r="C5" s="3437" t="s">
        <v>1673</v>
      </c>
      <c r="D5" s="3438"/>
      <c r="E5" s="3435" t="s">
        <v>1674</v>
      </c>
      <c r="F5" s="3436"/>
      <c r="G5" s="3437" t="s">
        <v>1675</v>
      </c>
      <c r="H5" s="3438"/>
      <c r="I5" s="3437" t="s">
        <v>1676</v>
      </c>
      <c r="J5" s="3438"/>
      <c r="K5" s="536"/>
      <c r="L5" s="859"/>
      <c r="M5" s="860"/>
      <c r="N5" s="860"/>
      <c r="O5" s="860"/>
      <c r="P5" s="3450"/>
      <c r="Q5" s="3451"/>
      <c r="R5" s="3433"/>
      <c r="S5" s="3434"/>
      <c r="T5" s="3433"/>
      <c r="U5" s="3434"/>
      <c r="V5" s="3456"/>
      <c r="W5" s="3456"/>
      <c r="X5" s="1263"/>
      <c r="Y5" s="3433"/>
      <c r="Z5" s="3434"/>
      <c r="AA5" s="3427"/>
      <c r="AB5" s="3427"/>
      <c r="AC5" s="3427"/>
    </row>
    <row r="6" spans="1:29" ht="15" thickBot="1">
      <c r="A6" s="349"/>
      <c r="B6" s="350"/>
      <c r="C6" s="3439" t="s">
        <v>1677</v>
      </c>
      <c r="D6" s="3440"/>
      <c r="E6" s="3441" t="s">
        <v>1677</v>
      </c>
      <c r="F6" s="3442"/>
      <c r="G6" s="3439" t="s">
        <v>1677</v>
      </c>
      <c r="H6" s="3440"/>
      <c r="I6" s="3439" t="s">
        <v>1677</v>
      </c>
      <c r="J6" s="3440"/>
      <c r="K6" s="536" t="s">
        <v>1678</v>
      </c>
      <c r="L6" s="859"/>
      <c r="M6" s="860"/>
      <c r="N6" s="860"/>
      <c r="O6" s="860"/>
      <c r="P6" s="3452"/>
      <c r="Q6" s="3453"/>
      <c r="R6" s="3433"/>
      <c r="S6" s="3434"/>
      <c r="T6" s="3454"/>
      <c r="U6" s="3455"/>
      <c r="V6" s="3456"/>
      <c r="W6" s="3456"/>
      <c r="X6" s="1263"/>
      <c r="Y6" s="3454"/>
      <c r="Z6" s="3455"/>
      <c r="AA6" s="3428"/>
      <c r="AB6" s="3428"/>
      <c r="AC6" s="3428"/>
    </row>
    <row r="7" spans="1:29" s="102" customFormat="1" ht="15" thickBot="1">
      <c r="A7" s="351" t="s">
        <v>1679</v>
      </c>
      <c r="B7" s="352"/>
      <c r="C7" s="353">
        <f>'数据-取费表'!B2</f>
        <v>45607</v>
      </c>
      <c r="D7" s="354">
        <v>100</v>
      </c>
      <c r="E7" s="355"/>
      <c r="F7" s="356">
        <f>SUMIF(52:52,YEAR(E7)&amp;"-"&amp;MONTH(E7),53:53)</f>
        <v>0</v>
      </c>
      <c r="G7" s="355"/>
      <c r="H7" s="354">
        <f>SUMIF(52:52,YEAR(G7)&amp;"-"&amp;MONTH(G7),53:53)</f>
        <v>0</v>
      </c>
      <c r="I7" s="355"/>
      <c r="J7" s="354">
        <f>SUMIF(52:52,YEAR(I7)&amp;"-"&amp;MONTH(I7),53:53)</f>
        <v>0</v>
      </c>
      <c r="K7" s="38"/>
      <c r="L7" s="861"/>
      <c r="M7" s="862"/>
      <c r="N7" s="862"/>
      <c r="O7" s="862"/>
      <c r="P7" s="3429" t="s">
        <v>1680</v>
      </c>
      <c r="Q7" s="3457"/>
      <c r="R7" s="663" t="s">
        <v>14</v>
      </c>
      <c r="S7" s="664">
        <f t="shared" ref="S7:S15" si="0">F7</f>
        <v>0</v>
      </c>
      <c r="T7" s="663" t="s">
        <v>14</v>
      </c>
      <c r="U7" s="664">
        <f t="shared" ref="U7:U15" si="1">H7</f>
        <v>0</v>
      </c>
      <c r="V7" s="663" t="s">
        <v>14</v>
      </c>
      <c r="W7" s="664">
        <f t="shared" ref="W7:W15" si="2">J7</f>
        <v>0</v>
      </c>
      <c r="X7" s="665"/>
      <c r="Y7" s="3429" t="s">
        <v>1680</v>
      </c>
      <c r="Z7" s="3430"/>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9" t="s">
        <v>1683</v>
      </c>
      <c r="Q8" s="3430"/>
      <c r="R8" s="663" t="s">
        <v>14</v>
      </c>
      <c r="S8" s="664">
        <f t="shared" si="0"/>
        <v>100</v>
      </c>
      <c r="T8" s="663" t="s">
        <v>14</v>
      </c>
      <c r="U8" s="664">
        <f t="shared" si="1"/>
        <v>100</v>
      </c>
      <c r="V8" s="663" t="s">
        <v>14</v>
      </c>
      <c r="W8" s="664">
        <f t="shared" si="2"/>
        <v>100</v>
      </c>
      <c r="X8" s="665"/>
      <c r="Y8" s="3429" t="s">
        <v>1683</v>
      </c>
      <c r="Z8" s="3430"/>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1" t="s">
        <v>1686</v>
      </c>
      <c r="Q9" s="529" t="str">
        <f t="shared" ref="Q9:Q15" si="6">B9</f>
        <v>用途</v>
      </c>
      <c r="R9" s="663" t="s">
        <v>14</v>
      </c>
      <c r="S9" s="664">
        <f t="shared" si="0"/>
        <v>100</v>
      </c>
      <c r="T9" s="663" t="s">
        <v>14</v>
      </c>
      <c r="U9" s="664">
        <f t="shared" si="1"/>
        <v>100</v>
      </c>
      <c r="V9" s="663" t="s">
        <v>14</v>
      </c>
      <c r="W9" s="664">
        <f t="shared" si="2"/>
        <v>100</v>
      </c>
      <c r="X9" s="665"/>
      <c r="Y9" s="3363" t="s">
        <v>1687</v>
      </c>
      <c r="Z9" s="50" t="str">
        <f t="shared" ref="Z9:Z15" si="7">Q9</f>
        <v>用途</v>
      </c>
      <c r="AA9" s="50">
        <f t="shared" si="3"/>
        <v>1</v>
      </c>
      <c r="AB9" s="50">
        <f t="shared" si="4"/>
        <v>1</v>
      </c>
      <c r="AC9" s="50">
        <f t="shared" si="5"/>
        <v>1</v>
      </c>
    </row>
    <row r="10" spans="1:29" s="365" customFormat="1" ht="28.8">
      <c r="A10" s="362"/>
      <c r="B10" s="363"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61"/>
      <c r="Q10" s="529" t="str">
        <f t="shared" si="6"/>
        <v>土地使用年限（年）</v>
      </c>
      <c r="R10" s="663" t="s">
        <v>14</v>
      </c>
      <c r="S10" s="664">
        <f t="shared" si="0"/>
        <v>100</v>
      </c>
      <c r="T10" s="663" t="s">
        <v>14</v>
      </c>
      <c r="U10" s="664">
        <f t="shared" si="1"/>
        <v>100</v>
      </c>
      <c r="V10" s="663" t="s">
        <v>14</v>
      </c>
      <c r="W10" s="664">
        <f t="shared" si="2"/>
        <v>100</v>
      </c>
      <c r="X10" s="665"/>
      <c r="Y10" s="3363"/>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461"/>
      <c r="Q11" s="529" t="str">
        <f t="shared" si="6"/>
        <v>容积率</v>
      </c>
      <c r="R11" s="663" t="s">
        <v>14</v>
      </c>
      <c r="S11" s="664">
        <f t="shared" si="0"/>
        <v>100</v>
      </c>
      <c r="T11" s="663" t="s">
        <v>14</v>
      </c>
      <c r="U11" s="664">
        <f t="shared" si="1"/>
        <v>100</v>
      </c>
      <c r="V11" s="663" t="s">
        <v>14</v>
      </c>
      <c r="W11" s="664">
        <f t="shared" si="2"/>
        <v>100</v>
      </c>
      <c r="X11" s="665"/>
      <c r="Y11" s="3363"/>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6"/>
      <c r="H12" s="119">
        <f>SUMIF(64:64,G12,65:65)-SUMIF(64:64,C12,65:65)+100</f>
        <v>100</v>
      </c>
      <c r="I12" s="406"/>
      <c r="J12" s="119">
        <f>SUMIF(64:64,I12,65:65)-SUMIF(64:64,C12,65:65)+100</f>
        <v>100</v>
      </c>
      <c r="K12" s="538"/>
      <c r="L12" s="861"/>
      <c r="M12" s="862"/>
      <c r="N12" s="862"/>
      <c r="O12" s="863"/>
      <c r="P12" s="3461"/>
      <c r="Q12" s="529">
        <f t="shared" si="6"/>
        <v>111</v>
      </c>
      <c r="R12" s="663" t="s">
        <v>14</v>
      </c>
      <c r="S12" s="664">
        <f t="shared" si="0"/>
        <v>100</v>
      </c>
      <c r="T12" s="663" t="s">
        <v>14</v>
      </c>
      <c r="U12" s="664">
        <f t="shared" si="1"/>
        <v>100</v>
      </c>
      <c r="V12" s="663" t="s">
        <v>14</v>
      </c>
      <c r="W12" s="664">
        <f t="shared" si="2"/>
        <v>100</v>
      </c>
      <c r="X12" s="665"/>
      <c r="Y12" s="3363"/>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6"/>
      <c r="H13" s="373">
        <f>SUMIF(66:66,G13,67:67)-SUMIF(66:66,C13,67:67)+100</f>
        <v>100</v>
      </c>
      <c r="I13" s="406"/>
      <c r="J13" s="373">
        <f>SUMIF(66:66,I13,67:67)-SUMIF(66:66,C13,67:67)+100</f>
        <v>100</v>
      </c>
      <c r="K13" s="538"/>
      <c r="L13" s="869"/>
      <c r="M13" s="860"/>
      <c r="N13" s="860"/>
      <c r="O13" s="868"/>
      <c r="P13" s="3461"/>
      <c r="Q13" s="529">
        <f t="shared" si="6"/>
        <v>111</v>
      </c>
      <c r="R13" s="663" t="s">
        <v>14</v>
      </c>
      <c r="S13" s="664">
        <f t="shared" si="0"/>
        <v>100</v>
      </c>
      <c r="T13" s="663" t="s">
        <v>14</v>
      </c>
      <c r="U13" s="664">
        <f t="shared" si="1"/>
        <v>100</v>
      </c>
      <c r="V13" s="663" t="s">
        <v>14</v>
      </c>
      <c r="W13" s="664">
        <f t="shared" si="2"/>
        <v>100</v>
      </c>
      <c r="X13" s="665"/>
      <c r="Y13" s="3363"/>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461"/>
      <c r="Q14" s="529">
        <f t="shared" si="6"/>
        <v>111</v>
      </c>
      <c r="R14" s="663" t="s">
        <v>14</v>
      </c>
      <c r="S14" s="664">
        <f t="shared" si="0"/>
        <v>100</v>
      </c>
      <c r="T14" s="663" t="s">
        <v>14</v>
      </c>
      <c r="U14" s="664">
        <f t="shared" si="1"/>
        <v>100</v>
      </c>
      <c r="V14" s="663" t="s">
        <v>14</v>
      </c>
      <c r="W14" s="664">
        <f t="shared" si="2"/>
        <v>100</v>
      </c>
      <c r="X14" s="665"/>
      <c r="Y14" s="3363"/>
      <c r="Z14" s="50">
        <f t="shared" si="7"/>
        <v>111</v>
      </c>
      <c r="AA14" s="50">
        <f t="shared" si="3"/>
        <v>1</v>
      </c>
      <c r="AB14" s="50">
        <f t="shared" si="4"/>
        <v>1</v>
      </c>
      <c r="AC14" s="50">
        <f t="shared" si="5"/>
        <v>1</v>
      </c>
    </row>
    <row r="15" spans="1:29" ht="69">
      <c r="A15" s="378" t="s">
        <v>1690</v>
      </c>
      <c r="B15" s="58"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62" t="s">
        <v>1691</v>
      </c>
      <c r="Q15" s="1261" t="str">
        <f t="shared" si="6"/>
        <v>产业集聚程度</v>
      </c>
      <c r="R15" s="666" t="s">
        <v>14</v>
      </c>
      <c r="S15" s="667">
        <f t="shared" si="0"/>
        <v>100</v>
      </c>
      <c r="T15" s="666" t="s">
        <v>14</v>
      </c>
      <c r="U15" s="667">
        <f t="shared" si="1"/>
        <v>100</v>
      </c>
      <c r="V15" s="666" t="s">
        <v>14</v>
      </c>
      <c r="W15" s="667">
        <f t="shared" si="2"/>
        <v>100</v>
      </c>
      <c r="X15" s="1263"/>
      <c r="Y15" s="3462"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63"/>
      <c r="Q16" s="1261"/>
      <c r="R16" s="666"/>
      <c r="S16" s="667"/>
      <c r="T16" s="666"/>
      <c r="U16" s="667"/>
      <c r="V16" s="666"/>
      <c r="W16" s="667"/>
      <c r="X16" s="1263"/>
      <c r="Y16" s="3463"/>
      <c r="Z16" s="1262"/>
      <c r="AA16" s="1262">
        <v>1</v>
      </c>
      <c r="AB16" s="1262">
        <v>1</v>
      </c>
      <c r="AC16" s="1262">
        <v>1</v>
      </c>
    </row>
    <row r="17" spans="1:29" ht="96.6">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63"/>
      <c r="Q17" s="1261" t="str">
        <f>B17</f>
        <v>交通便捷度</v>
      </c>
      <c r="R17" s="666" t="s">
        <v>14</v>
      </c>
      <c r="S17" s="667">
        <f>F17</f>
        <v>100</v>
      </c>
      <c r="T17" s="666" t="s">
        <v>14</v>
      </c>
      <c r="U17" s="667">
        <f>H17</f>
        <v>100</v>
      </c>
      <c r="V17" s="666" t="s">
        <v>14</v>
      </c>
      <c r="W17" s="667">
        <f>J17</f>
        <v>100</v>
      </c>
      <c r="X17" s="1263"/>
      <c r="Y17" s="346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63"/>
      <c r="Q18" s="1261"/>
      <c r="R18" s="666"/>
      <c r="S18" s="667"/>
      <c r="T18" s="666"/>
      <c r="U18" s="667"/>
      <c r="V18" s="666"/>
      <c r="W18" s="667"/>
      <c r="X18" s="1263"/>
      <c r="Y18" s="3463"/>
      <c r="Z18" s="1262"/>
      <c r="AA18" s="1262">
        <v>1</v>
      </c>
      <c r="AB18" s="1262">
        <v>1</v>
      </c>
      <c r="AC18" s="1262">
        <v>1</v>
      </c>
    </row>
    <row r="19" spans="1:29" ht="41.4">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63"/>
      <c r="Q19" s="1261" t="str">
        <f>B19</f>
        <v>公共配套设施</v>
      </c>
      <c r="R19" s="666" t="s">
        <v>14</v>
      </c>
      <c r="S19" s="667">
        <f>F19</f>
        <v>100</v>
      </c>
      <c r="T19" s="666" t="s">
        <v>14</v>
      </c>
      <c r="U19" s="667">
        <f>H19</f>
        <v>100</v>
      </c>
      <c r="V19" s="666" t="s">
        <v>14</v>
      </c>
      <c r="W19" s="667">
        <f>J19</f>
        <v>100</v>
      </c>
      <c r="X19" s="1263"/>
      <c r="Y19" s="346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63"/>
      <c r="Q20" s="1261"/>
      <c r="R20" s="666"/>
      <c r="S20" s="667"/>
      <c r="T20" s="666"/>
      <c r="U20" s="667"/>
      <c r="V20" s="666"/>
      <c r="W20" s="667"/>
      <c r="X20" s="1263"/>
      <c r="Y20" s="3463"/>
      <c r="Z20" s="1262"/>
      <c r="AA20" s="1262">
        <v>1</v>
      </c>
      <c r="AB20" s="1262">
        <v>1</v>
      </c>
      <c r="AC20" s="1262">
        <v>1</v>
      </c>
    </row>
    <row r="21" spans="1:29" ht="41.4">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63"/>
      <c r="Q21" s="1261" t="str">
        <f>B21</f>
        <v>基础设施水平</v>
      </c>
      <c r="R21" s="666" t="s">
        <v>14</v>
      </c>
      <c r="S21" s="667">
        <f>F21</f>
        <v>100</v>
      </c>
      <c r="T21" s="666" t="s">
        <v>14</v>
      </c>
      <c r="U21" s="667">
        <f>H21</f>
        <v>100</v>
      </c>
      <c r="V21" s="666" t="s">
        <v>14</v>
      </c>
      <c r="W21" s="667">
        <f>J21</f>
        <v>100</v>
      </c>
      <c r="X21" s="1263"/>
      <c r="Y21" s="346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3"/>
      <c r="L22" s="869"/>
      <c r="M22" s="860"/>
      <c r="N22" s="860"/>
      <c r="O22" s="868"/>
      <c r="P22" s="3463"/>
      <c r="Q22" s="1261"/>
      <c r="R22" s="666"/>
      <c r="S22" s="667"/>
      <c r="T22" s="666"/>
      <c r="U22" s="667"/>
      <c r="V22" s="666"/>
      <c r="W22" s="667"/>
      <c r="X22" s="1263"/>
      <c r="Y22" s="3463"/>
      <c r="Z22" s="1262"/>
      <c r="AA22" s="1262">
        <v>1</v>
      </c>
      <c r="AB22" s="1262">
        <v>1</v>
      </c>
      <c r="AC22" s="1262">
        <v>1</v>
      </c>
    </row>
    <row r="23" spans="1:29" ht="82.8">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63"/>
      <c r="Q23" s="1261" t="str">
        <f>B23</f>
        <v>环境质量</v>
      </c>
      <c r="R23" s="666" t="s">
        <v>14</v>
      </c>
      <c r="S23" s="667">
        <f>F23</f>
        <v>100</v>
      </c>
      <c r="T23" s="666" t="s">
        <v>14</v>
      </c>
      <c r="U23" s="667">
        <f>H23</f>
        <v>100</v>
      </c>
      <c r="V23" s="666" t="s">
        <v>14</v>
      </c>
      <c r="W23" s="667">
        <f>J23</f>
        <v>100</v>
      </c>
      <c r="X23" s="1263"/>
      <c r="Y23" s="3463"/>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63"/>
      <c r="Q24" s="1261"/>
      <c r="R24" s="666"/>
      <c r="S24" s="667"/>
      <c r="T24" s="666"/>
      <c r="U24" s="667"/>
      <c r="V24" s="666"/>
      <c r="W24" s="667"/>
      <c r="X24" s="1263"/>
      <c r="Y24" s="3463"/>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63"/>
      <c r="Q25" s="1261">
        <f>B25</f>
        <v>111</v>
      </c>
      <c r="R25" s="666" t="s">
        <v>14</v>
      </c>
      <c r="S25" s="667">
        <f>F25</f>
        <v>100</v>
      </c>
      <c r="T25" s="666" t="s">
        <v>14</v>
      </c>
      <c r="U25" s="667">
        <f>H25</f>
        <v>100</v>
      </c>
      <c r="V25" s="666" t="s">
        <v>14</v>
      </c>
      <c r="W25" s="667">
        <f>J25</f>
        <v>100</v>
      </c>
      <c r="X25" s="1263"/>
      <c r="Y25" s="3463"/>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63"/>
      <c r="Q26" s="1261">
        <f t="shared" ref="Q26:Q40" si="11">B26</f>
        <v>111</v>
      </c>
      <c r="R26" s="666" t="s">
        <v>14</v>
      </c>
      <c r="S26" s="667">
        <f>F26</f>
        <v>100</v>
      </c>
      <c r="T26" s="666" t="s">
        <v>14</v>
      </c>
      <c r="U26" s="667">
        <f>H26</f>
        <v>100</v>
      </c>
      <c r="V26" s="666" t="s">
        <v>14</v>
      </c>
      <c r="W26" s="667">
        <f>J26</f>
        <v>100</v>
      </c>
      <c r="X26" s="1263"/>
      <c r="Y26" s="3463"/>
      <c r="Z26" s="1262">
        <f>Q26</f>
        <v>111</v>
      </c>
      <c r="AA26" s="1262">
        <f t="shared" si="3"/>
        <v>1</v>
      </c>
      <c r="AB26" s="1262">
        <f t="shared" si="4"/>
        <v>1</v>
      </c>
      <c r="AC26" s="1262">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63"/>
      <c r="Q27" s="529">
        <f t="shared" si="11"/>
        <v>111</v>
      </c>
      <c r="R27" s="663" t="s">
        <v>14</v>
      </c>
      <c r="S27" s="664">
        <f>F27</f>
        <v>100</v>
      </c>
      <c r="T27" s="663" t="s">
        <v>14</v>
      </c>
      <c r="U27" s="664">
        <f>H27</f>
        <v>100</v>
      </c>
      <c r="V27" s="663" t="s">
        <v>14</v>
      </c>
      <c r="W27" s="664">
        <f>J27</f>
        <v>100</v>
      </c>
      <c r="X27" s="665"/>
      <c r="Y27" s="3463"/>
      <c r="Z27" s="50">
        <f>Q27</f>
        <v>111</v>
      </c>
      <c r="AA27" s="1262">
        <f>D27/F27</f>
        <v>1</v>
      </c>
      <c r="AB27" s="1262">
        <f>D27/H27</f>
        <v>1</v>
      </c>
      <c r="AC27" s="1262">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63"/>
      <c r="Q28" s="1261">
        <f t="shared" si="11"/>
        <v>111</v>
      </c>
      <c r="R28" s="666" t="s">
        <v>14</v>
      </c>
      <c r="S28" s="667">
        <f t="shared" ref="S28:S40" si="12">F28</f>
        <v>100</v>
      </c>
      <c r="T28" s="666" t="s">
        <v>14</v>
      </c>
      <c r="U28" s="667">
        <f t="shared" ref="U28:U40" si="13">H28</f>
        <v>100</v>
      </c>
      <c r="V28" s="666" t="s">
        <v>14</v>
      </c>
      <c r="W28" s="667">
        <f t="shared" ref="W28:W40" si="14">J28</f>
        <v>100</v>
      </c>
      <c r="X28" s="1263"/>
      <c r="Y28" s="3463"/>
      <c r="Z28" s="1262">
        <f t="shared" ref="Z28:Z40" si="15">Q28</f>
        <v>111</v>
      </c>
      <c r="AA28" s="1262">
        <f t="shared" si="3"/>
        <v>1</v>
      </c>
      <c r="AB28" s="1262">
        <f t="shared" si="4"/>
        <v>1</v>
      </c>
      <c r="AC28" s="1262">
        <f t="shared" si="5"/>
        <v>1</v>
      </c>
    </row>
    <row r="29" spans="1:29" ht="30">
      <c r="A29" s="403" t="s">
        <v>1694</v>
      </c>
      <c r="B29" s="60"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86" t="s">
        <v>1696</v>
      </c>
      <c r="Q29" s="1261" t="str">
        <f t="shared" si="11"/>
        <v>建筑类型</v>
      </c>
      <c r="R29" s="666" t="s">
        <v>14</v>
      </c>
      <c r="S29" s="667">
        <f t="shared" si="12"/>
        <v>100</v>
      </c>
      <c r="T29" s="666" t="s">
        <v>14</v>
      </c>
      <c r="U29" s="667">
        <f t="shared" si="13"/>
        <v>100</v>
      </c>
      <c r="V29" s="666" t="s">
        <v>14</v>
      </c>
      <c r="W29" s="667">
        <f t="shared" si="14"/>
        <v>100</v>
      </c>
      <c r="X29" s="1263"/>
      <c r="Y29" s="3467" t="s">
        <v>1696</v>
      </c>
      <c r="Z29" s="1262" t="str">
        <f t="shared" si="15"/>
        <v>建筑类型</v>
      </c>
      <c r="AA29" s="1262">
        <f t="shared" si="3"/>
        <v>1</v>
      </c>
      <c r="AB29" s="1262">
        <f t="shared" si="4"/>
        <v>1</v>
      </c>
      <c r="AC29" s="1262">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467"/>
      <c r="Q30" s="530" t="str">
        <f t="shared" si="11"/>
        <v>项目建筑规模</v>
      </c>
      <c r="R30" s="668" t="s">
        <v>14</v>
      </c>
      <c r="S30" s="669" t="e">
        <f t="shared" si="12"/>
        <v>#N/A</v>
      </c>
      <c r="T30" s="668" t="s">
        <v>14</v>
      </c>
      <c r="U30" s="669" t="e">
        <f t="shared" si="13"/>
        <v>#N/A</v>
      </c>
      <c r="V30" s="668" t="s">
        <v>14</v>
      </c>
      <c r="W30" s="669" t="e">
        <f t="shared" si="14"/>
        <v>#N/A</v>
      </c>
      <c r="X30" s="670"/>
      <c r="Y30" s="3467"/>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67"/>
      <c r="Q31" s="1261" t="str">
        <f t="shared" si="11"/>
        <v>建筑结构</v>
      </c>
      <c r="R31" s="666" t="s">
        <v>14</v>
      </c>
      <c r="S31" s="667">
        <f t="shared" si="12"/>
        <v>100</v>
      </c>
      <c r="T31" s="666" t="s">
        <v>14</v>
      </c>
      <c r="U31" s="667">
        <f t="shared" si="13"/>
        <v>100</v>
      </c>
      <c r="V31" s="666" t="s">
        <v>14</v>
      </c>
      <c r="W31" s="667">
        <f t="shared" si="14"/>
        <v>100</v>
      </c>
      <c r="X31" s="1263"/>
      <c r="Y31" s="3467"/>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67"/>
      <c r="Q32" s="1261" t="str">
        <f t="shared" si="11"/>
        <v>公共部分装修</v>
      </c>
      <c r="R32" s="666" t="s">
        <v>14</v>
      </c>
      <c r="S32" s="667">
        <f t="shared" si="12"/>
        <v>100</v>
      </c>
      <c r="T32" s="666" t="s">
        <v>14</v>
      </c>
      <c r="U32" s="667">
        <f t="shared" si="13"/>
        <v>100</v>
      </c>
      <c r="V32" s="666" t="s">
        <v>14</v>
      </c>
      <c r="W32" s="667">
        <f t="shared" si="14"/>
        <v>100</v>
      </c>
      <c r="X32" s="1263"/>
      <c r="Y32" s="3467"/>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67"/>
      <c r="Q33" s="1261" t="str">
        <f t="shared" si="11"/>
        <v>成新度</v>
      </c>
      <c r="R33" s="666" t="s">
        <v>14</v>
      </c>
      <c r="S33" s="667" t="e">
        <f t="shared" si="12"/>
        <v>#N/A</v>
      </c>
      <c r="T33" s="666" t="s">
        <v>14</v>
      </c>
      <c r="U33" s="667" t="e">
        <f t="shared" si="13"/>
        <v>#N/A</v>
      </c>
      <c r="V33" s="666" t="s">
        <v>14</v>
      </c>
      <c r="W33" s="667" t="e">
        <f t="shared" si="14"/>
        <v>#N/A</v>
      </c>
      <c r="X33" s="1263"/>
      <c r="Y33" s="3467"/>
      <c r="Z33" s="1262" t="str">
        <f t="shared" si="15"/>
        <v>成新度</v>
      </c>
      <c r="AA33" s="1262" t="e">
        <f t="shared" si="3"/>
        <v>#N/A</v>
      </c>
      <c r="AB33" s="1262" t="e">
        <f t="shared" si="4"/>
        <v>#N/A</v>
      </c>
      <c r="AC33" s="1262"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67"/>
      <c r="Q34" s="529" t="str">
        <f t="shared" si="11"/>
        <v>物业管理</v>
      </c>
      <c r="R34" s="663" t="s">
        <v>14</v>
      </c>
      <c r="S34" s="664">
        <f t="shared" si="12"/>
        <v>100</v>
      </c>
      <c r="T34" s="663" t="s">
        <v>14</v>
      </c>
      <c r="U34" s="664">
        <f t="shared" si="13"/>
        <v>100</v>
      </c>
      <c r="V34" s="663" t="s">
        <v>14</v>
      </c>
      <c r="W34" s="664">
        <f t="shared" si="14"/>
        <v>100</v>
      </c>
      <c r="X34" s="665"/>
      <c r="Y34" s="346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67" t="s">
        <v>1696</v>
      </c>
      <c r="Q35" s="1261" t="str">
        <f t="shared" si="11"/>
        <v>市政基础设施</v>
      </c>
      <c r="R35" s="666" t="s">
        <v>14</v>
      </c>
      <c r="S35" s="667">
        <f t="shared" si="12"/>
        <v>100</v>
      </c>
      <c r="T35" s="666" t="s">
        <v>14</v>
      </c>
      <c r="U35" s="667">
        <f t="shared" si="13"/>
        <v>100</v>
      </c>
      <c r="V35" s="666" t="s">
        <v>14</v>
      </c>
      <c r="W35" s="667">
        <f t="shared" si="14"/>
        <v>100</v>
      </c>
      <c r="X35" s="1263"/>
      <c r="Y35" s="3467"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67"/>
      <c r="Q36" s="1261" t="str">
        <f t="shared" si="11"/>
        <v>内部装修</v>
      </c>
      <c r="R36" s="666" t="s">
        <v>14</v>
      </c>
      <c r="S36" s="667">
        <f t="shared" si="12"/>
        <v>100</v>
      </c>
      <c r="T36" s="666" t="s">
        <v>14</v>
      </c>
      <c r="U36" s="667">
        <f t="shared" si="13"/>
        <v>100</v>
      </c>
      <c r="V36" s="666" t="s">
        <v>14</v>
      </c>
      <c r="W36" s="667">
        <f t="shared" si="14"/>
        <v>100</v>
      </c>
      <c r="X36" s="1263"/>
      <c r="Y36" s="3467"/>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67"/>
      <c r="Q37" s="1261" t="str">
        <f t="shared" si="11"/>
        <v>内部装修状况</v>
      </c>
      <c r="R37" s="666" t="s">
        <v>14</v>
      </c>
      <c r="S37" s="667">
        <f t="shared" si="12"/>
        <v>100</v>
      </c>
      <c r="T37" s="666" t="s">
        <v>14</v>
      </c>
      <c r="U37" s="667">
        <f t="shared" si="13"/>
        <v>100</v>
      </c>
      <c r="V37" s="666" t="s">
        <v>14</v>
      </c>
      <c r="W37" s="667">
        <f t="shared" si="14"/>
        <v>100</v>
      </c>
      <c r="X37" s="1263"/>
      <c r="Y37" s="3467"/>
      <c r="Z37" s="1262" t="str">
        <f t="shared" si="15"/>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67"/>
      <c r="Q38" s="530">
        <f t="shared" si="11"/>
        <v>111</v>
      </c>
      <c r="R38" s="668" t="s">
        <v>14</v>
      </c>
      <c r="S38" s="669">
        <f t="shared" si="12"/>
        <v>100</v>
      </c>
      <c r="T38" s="668" t="s">
        <v>14</v>
      </c>
      <c r="U38" s="669">
        <f t="shared" si="13"/>
        <v>100</v>
      </c>
      <c r="V38" s="668" t="s">
        <v>14</v>
      </c>
      <c r="W38" s="669">
        <f t="shared" si="14"/>
        <v>100</v>
      </c>
      <c r="X38" s="670"/>
      <c r="Y38" s="3467"/>
      <c r="Z38" s="671">
        <f t="shared" si="15"/>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67"/>
      <c r="Q39" s="1261">
        <f t="shared" si="11"/>
        <v>111</v>
      </c>
      <c r="R39" s="666" t="s">
        <v>14</v>
      </c>
      <c r="S39" s="667">
        <f t="shared" si="12"/>
        <v>100</v>
      </c>
      <c r="T39" s="666" t="s">
        <v>14</v>
      </c>
      <c r="U39" s="667">
        <f t="shared" si="13"/>
        <v>100</v>
      </c>
      <c r="V39" s="666" t="s">
        <v>14</v>
      </c>
      <c r="W39" s="667">
        <f t="shared" si="14"/>
        <v>100</v>
      </c>
      <c r="X39" s="1263"/>
      <c r="Y39" s="3467"/>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68"/>
      <c r="Q40" s="1261">
        <f t="shared" si="11"/>
        <v>111</v>
      </c>
      <c r="R40" s="666" t="s">
        <v>14</v>
      </c>
      <c r="S40" s="667">
        <f t="shared" si="12"/>
        <v>100</v>
      </c>
      <c r="T40" s="666" t="s">
        <v>14</v>
      </c>
      <c r="U40" s="667">
        <f t="shared" si="13"/>
        <v>100</v>
      </c>
      <c r="V40" s="666" t="s">
        <v>14</v>
      </c>
      <c r="W40" s="667">
        <f t="shared" si="14"/>
        <v>100</v>
      </c>
      <c r="X40" s="1263"/>
      <c r="Y40" s="3468"/>
      <c r="Z40" s="1262">
        <f t="shared" si="15"/>
        <v>111</v>
      </c>
      <c r="AA40" s="1262">
        <f t="shared" si="3"/>
        <v>1</v>
      </c>
      <c r="AB40" s="1262">
        <f t="shared" si="4"/>
        <v>1</v>
      </c>
      <c r="AC40" s="1262">
        <f t="shared" si="5"/>
        <v>1</v>
      </c>
    </row>
    <row r="41" spans="1:29" ht="14.4">
      <c r="A41" s="415" t="s">
        <v>1708</v>
      </c>
      <c r="B41" s="416"/>
      <c r="C41" s="1079" t="s">
        <v>0</v>
      </c>
      <c r="D41" s="417"/>
      <c r="E41" s="418"/>
      <c r="F41" s="419"/>
      <c r="G41" s="420"/>
      <c r="H41" s="421"/>
      <c r="I41" s="418"/>
      <c r="J41" s="421"/>
      <c r="K41" s="673"/>
      <c r="L41" s="872"/>
      <c r="M41" s="860"/>
      <c r="N41" s="860"/>
      <c r="O41" s="860"/>
      <c r="P41" s="3461" t="str">
        <f>A41</f>
        <v>成交单价（元/平方米）</v>
      </c>
      <c r="Q41" s="3461"/>
      <c r="R41" s="3456">
        <f>E41</f>
        <v>0</v>
      </c>
      <c r="S41" s="3456"/>
      <c r="T41" s="3456">
        <f>G41</f>
        <v>0</v>
      </c>
      <c r="U41" s="3456"/>
      <c r="V41" s="3456">
        <f>I41</f>
        <v>0</v>
      </c>
      <c r="W41" s="3456"/>
      <c r="X41" s="384"/>
      <c r="Y41" s="672"/>
      <c r="Z41" s="384"/>
      <c r="AA41" s="384"/>
      <c r="AB41" s="384"/>
      <c r="AC41" s="384"/>
    </row>
    <row r="42" spans="1:29" ht="15" thickBot="1">
      <c r="A42" s="422" t="s">
        <v>1793</v>
      </c>
      <c r="B42" s="423"/>
      <c r="C42" s="1080" t="e">
        <f>R43</f>
        <v>#DIV/0!</v>
      </c>
      <c r="D42" s="2139" t="s">
        <v>2138</v>
      </c>
      <c r="E42" s="1081" t="e">
        <f>R42</f>
        <v>#DIV/0!</v>
      </c>
      <c r="F42" s="2140"/>
      <c r="G42" s="1080" t="e">
        <f>T42</f>
        <v>#DIV/0!</v>
      </c>
      <c r="H42" s="2140"/>
      <c r="I42" s="1081" t="e">
        <f>V42</f>
        <v>#DIV/0!</v>
      </c>
      <c r="J42" s="2140"/>
      <c r="K42" s="2142">
        <f>F42+H42+J42</f>
        <v>0</v>
      </c>
      <c r="L42" s="872"/>
      <c r="M42" s="860"/>
      <c r="N42" s="860"/>
      <c r="O42" s="860"/>
      <c r="P42" s="3461" t="str">
        <f>A42</f>
        <v>比较价值（元/平方米）</v>
      </c>
      <c r="Q42" s="3461"/>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1" t="str">
        <f>YEAR(C7)&amp;"-"&amp;MONTH(C7)</f>
        <v>2024-11</v>
      </c>
      <c r="D52" s="1102">
        <f>EDATE(C52,-1)</f>
        <v>45566</v>
      </c>
      <c r="E52" s="1102">
        <f t="shared" ref="E52:O52" si="16">EDATE(D52,-1)</f>
        <v>45536</v>
      </c>
      <c r="F52" s="1102">
        <f t="shared" si="16"/>
        <v>45505</v>
      </c>
      <c r="G52" s="1102">
        <f t="shared" si="16"/>
        <v>45474</v>
      </c>
      <c r="H52" s="1102">
        <f t="shared" si="16"/>
        <v>45444</v>
      </c>
      <c r="I52" s="1102">
        <f t="shared" si="16"/>
        <v>45413</v>
      </c>
      <c r="J52" s="1102">
        <f t="shared" si="16"/>
        <v>45383</v>
      </c>
      <c r="K52" s="1102">
        <f t="shared" si="16"/>
        <v>45352</v>
      </c>
      <c r="L52" s="1102">
        <f t="shared" si="16"/>
        <v>45323</v>
      </c>
      <c r="M52" s="1102">
        <f t="shared" si="16"/>
        <v>45292</v>
      </c>
      <c r="N52" s="1102">
        <f t="shared" si="16"/>
        <v>45261</v>
      </c>
      <c r="O52" s="1102">
        <f t="shared" si="16"/>
        <v>45231</v>
      </c>
    </row>
    <row r="53" spans="1:17" s="102" customFormat="1">
      <c r="A53" s="442"/>
      <c r="B53" s="443"/>
      <c r="C53" s="1100">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7"/>
      <c r="O54" s="2538"/>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3335</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0"/>
      <c r="R3" s="340"/>
      <c r="S3" s="340"/>
      <c r="T3" s="340"/>
      <c r="U3" s="340"/>
      <c r="V3" s="340"/>
      <c r="W3" s="340"/>
      <c r="X3" s="340"/>
      <c r="Y3" s="340"/>
      <c r="Z3" s="340"/>
      <c r="AA3" s="340"/>
      <c r="AB3" s="675"/>
      <c r="AC3" s="662"/>
    </row>
    <row r="4" spans="1:29" ht="14.4">
      <c r="A4" s="344" t="s">
        <v>1769</v>
      </c>
      <c r="B4" s="345"/>
      <c r="C4" s="3444" t="s">
        <v>1770</v>
      </c>
      <c r="D4" s="3445"/>
      <c r="E4" s="3446" t="s">
        <v>1771</v>
      </c>
      <c r="F4" s="3447"/>
      <c r="G4" s="3444" t="s">
        <v>1772</v>
      </c>
      <c r="H4" s="3445"/>
      <c r="I4" s="3444" t="s">
        <v>1773</v>
      </c>
      <c r="J4" s="3445"/>
      <c r="K4" s="536" t="s">
        <v>1774</v>
      </c>
      <c r="L4" s="2485"/>
      <c r="M4" s="2486"/>
      <c r="N4" s="2486"/>
      <c r="O4" s="2486"/>
      <c r="P4" s="3448" t="s">
        <v>1775</v>
      </c>
      <c r="Q4" s="3449"/>
      <c r="R4" s="3431" t="s">
        <v>1771</v>
      </c>
      <c r="S4" s="3432"/>
      <c r="T4" s="3431" t="s">
        <v>1772</v>
      </c>
      <c r="U4" s="3432"/>
      <c r="V4" s="3456" t="s">
        <v>1773</v>
      </c>
      <c r="W4" s="3456"/>
      <c r="X4" s="1263"/>
      <c r="Y4" s="3431" t="s">
        <v>1775</v>
      </c>
      <c r="Z4" s="3432"/>
      <c r="AA4" s="3426" t="s">
        <v>1771</v>
      </c>
      <c r="AB4" s="3427" t="s">
        <v>1772</v>
      </c>
      <c r="AC4" s="3426" t="s">
        <v>1773</v>
      </c>
    </row>
    <row r="5" spans="1:29">
      <c r="A5" s="347"/>
      <c r="B5" s="348"/>
      <c r="C5" s="3437" t="s">
        <v>1673</v>
      </c>
      <c r="D5" s="3438"/>
      <c r="E5" s="3435" t="s">
        <v>1674</v>
      </c>
      <c r="F5" s="3436"/>
      <c r="G5" s="3437" t="s">
        <v>1675</v>
      </c>
      <c r="H5" s="3438"/>
      <c r="I5" s="3437" t="s">
        <v>1676</v>
      </c>
      <c r="J5" s="3438"/>
      <c r="K5" s="536"/>
      <c r="L5" s="2485"/>
      <c r="M5" s="2486"/>
      <c r="N5" s="2486"/>
      <c r="O5" s="2486"/>
      <c r="P5" s="3450"/>
      <c r="Q5" s="3451"/>
      <c r="R5" s="3433"/>
      <c r="S5" s="3434"/>
      <c r="T5" s="3433"/>
      <c r="U5" s="3434"/>
      <c r="V5" s="3456"/>
      <c r="W5" s="3456"/>
      <c r="X5" s="1263"/>
      <c r="Y5" s="3433"/>
      <c r="Z5" s="3434"/>
      <c r="AA5" s="3427"/>
      <c r="AB5" s="3427"/>
      <c r="AC5" s="3427"/>
    </row>
    <row r="6" spans="1:29" ht="15" thickBot="1">
      <c r="A6" s="349"/>
      <c r="B6" s="350"/>
      <c r="C6" s="3439" t="s">
        <v>1677</v>
      </c>
      <c r="D6" s="3440"/>
      <c r="E6" s="3441" t="s">
        <v>1677</v>
      </c>
      <c r="F6" s="3442"/>
      <c r="G6" s="3439" t="s">
        <v>1677</v>
      </c>
      <c r="H6" s="3440"/>
      <c r="I6" s="3439" t="s">
        <v>1677</v>
      </c>
      <c r="J6" s="3440"/>
      <c r="K6" s="536" t="s">
        <v>1678</v>
      </c>
      <c r="L6" s="2485"/>
      <c r="M6" s="2486"/>
      <c r="N6" s="2486"/>
      <c r="O6" s="2486"/>
      <c r="P6" s="3452"/>
      <c r="Q6" s="3453"/>
      <c r="R6" s="3433"/>
      <c r="S6" s="3434"/>
      <c r="T6" s="3454"/>
      <c r="U6" s="3455"/>
      <c r="V6" s="3456"/>
      <c r="W6" s="3456"/>
      <c r="X6" s="1263"/>
      <c r="Y6" s="3454"/>
      <c r="Z6" s="3455"/>
      <c r="AA6" s="3428"/>
      <c r="AB6" s="3428"/>
      <c r="AC6" s="3428"/>
    </row>
    <row r="7" spans="1:29" s="102" customFormat="1" ht="15" thickBot="1">
      <c r="A7" s="351" t="s">
        <v>1679</v>
      </c>
      <c r="B7" s="352"/>
      <c r="C7" s="353">
        <f>'数据-取费表'!B2</f>
        <v>45607</v>
      </c>
      <c r="D7" s="354">
        <v>100</v>
      </c>
      <c r="E7" s="355"/>
      <c r="F7" s="356">
        <f>SUMIF(48:48,YEAR(E7)&amp;"-"&amp;MONTH(E7),49:49)</f>
        <v>0</v>
      </c>
      <c r="G7" s="355"/>
      <c r="H7" s="354">
        <f>SUMIF(48:48,YEAR(G7)&amp;"-"&amp;MONTH(G7),49:49)</f>
        <v>0</v>
      </c>
      <c r="I7" s="355"/>
      <c r="J7" s="354">
        <f>SUMIF(48:48,YEAR(I7)&amp;"-"&amp;MONTH(I7),49:49)</f>
        <v>0</v>
      </c>
      <c r="K7" s="38"/>
      <c r="L7" s="2487"/>
      <c r="M7" s="2438"/>
      <c r="N7" s="2438"/>
      <c r="O7" s="2438"/>
      <c r="P7" s="3429" t="s">
        <v>1680</v>
      </c>
      <c r="Q7" s="3457"/>
      <c r="R7" s="663" t="s">
        <v>14</v>
      </c>
      <c r="S7" s="664">
        <f t="shared" ref="S7:S14" si="0">F7</f>
        <v>0</v>
      </c>
      <c r="T7" s="663" t="s">
        <v>14</v>
      </c>
      <c r="U7" s="664">
        <f t="shared" ref="U7:U14" si="1">H7</f>
        <v>0</v>
      </c>
      <c r="V7" s="663" t="s">
        <v>14</v>
      </c>
      <c r="W7" s="664">
        <f t="shared" ref="W7:W14" si="2">J7</f>
        <v>0</v>
      </c>
      <c r="X7" s="665"/>
      <c r="Y7" s="3429" t="s">
        <v>1680</v>
      </c>
      <c r="Z7" s="3430"/>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8"/>
      <c r="N8" s="2438"/>
      <c r="O8" s="2438"/>
      <c r="P8" s="3429" t="s">
        <v>1683</v>
      </c>
      <c r="Q8" s="3430"/>
      <c r="R8" s="663" t="s">
        <v>14</v>
      </c>
      <c r="S8" s="664">
        <f t="shared" si="0"/>
        <v>100</v>
      </c>
      <c r="T8" s="663" t="s">
        <v>14</v>
      </c>
      <c r="U8" s="664">
        <f t="shared" si="1"/>
        <v>100</v>
      </c>
      <c r="V8" s="663" t="s">
        <v>14</v>
      </c>
      <c r="W8" s="664">
        <f t="shared" si="2"/>
        <v>100</v>
      </c>
      <c r="X8" s="665"/>
      <c r="Y8" s="3429" t="s">
        <v>1683</v>
      </c>
      <c r="Z8" s="3430"/>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8"/>
      <c r="N9" s="2438"/>
      <c r="O9" s="2438"/>
      <c r="P9" s="3461" t="s">
        <v>1686</v>
      </c>
      <c r="Q9" s="529" t="str">
        <f t="shared" ref="Q9:Q14" si="6">B9</f>
        <v>用途</v>
      </c>
      <c r="R9" s="663" t="s">
        <v>14</v>
      </c>
      <c r="S9" s="664">
        <f t="shared" si="0"/>
        <v>100</v>
      </c>
      <c r="T9" s="663" t="s">
        <v>14</v>
      </c>
      <c r="U9" s="664">
        <f t="shared" si="1"/>
        <v>100</v>
      </c>
      <c r="V9" s="663" t="s">
        <v>14</v>
      </c>
      <c r="W9" s="664">
        <f t="shared" si="2"/>
        <v>100</v>
      </c>
      <c r="X9" s="665"/>
      <c r="Y9" s="3363" t="s">
        <v>1687</v>
      </c>
      <c r="Z9" s="50" t="str">
        <f t="shared" ref="Z9:Z14" si="7">Q9</f>
        <v>用途</v>
      </c>
      <c r="AA9" s="50">
        <f t="shared" si="3"/>
        <v>1</v>
      </c>
      <c r="AB9" s="50">
        <f t="shared" si="4"/>
        <v>1</v>
      </c>
      <c r="AC9" s="50">
        <f t="shared" si="5"/>
        <v>1</v>
      </c>
    </row>
    <row r="10" spans="1:29" s="365" customFormat="1" ht="28.8">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61"/>
      <c r="Q10" s="529" t="str">
        <f t="shared" si="6"/>
        <v>土地使用年限（年）</v>
      </c>
      <c r="R10" s="663" t="s">
        <v>14</v>
      </c>
      <c r="S10" s="664">
        <f t="shared" si="0"/>
        <v>100</v>
      </c>
      <c r="T10" s="663" t="s">
        <v>14</v>
      </c>
      <c r="U10" s="664">
        <f t="shared" si="1"/>
        <v>100</v>
      </c>
      <c r="V10" s="663" t="s">
        <v>14</v>
      </c>
      <c r="W10" s="664">
        <f t="shared" si="2"/>
        <v>100</v>
      </c>
      <c r="X10" s="665"/>
      <c r="Y10" s="3363"/>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90"/>
      <c r="M11" s="2486"/>
      <c r="N11" s="2486"/>
      <c r="O11" s="2486"/>
      <c r="P11" s="3461"/>
      <c r="Q11" s="529">
        <f t="shared" si="6"/>
        <v>111</v>
      </c>
      <c r="R11" s="663" t="s">
        <v>14</v>
      </c>
      <c r="S11" s="664">
        <f t="shared" si="0"/>
        <v>100</v>
      </c>
      <c r="T11" s="663" t="s">
        <v>14</v>
      </c>
      <c r="U11" s="664">
        <f t="shared" si="1"/>
        <v>100</v>
      </c>
      <c r="V11" s="663" t="s">
        <v>14</v>
      </c>
      <c r="W11" s="664">
        <f t="shared" si="2"/>
        <v>100</v>
      </c>
      <c r="X11" s="665"/>
      <c r="Y11" s="3363"/>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7"/>
      <c r="M12" s="2438"/>
      <c r="N12" s="2438"/>
      <c r="O12" s="2438"/>
      <c r="P12" s="3461"/>
      <c r="Q12" s="529">
        <f t="shared" si="6"/>
        <v>111</v>
      </c>
      <c r="R12" s="663" t="s">
        <v>14</v>
      </c>
      <c r="S12" s="664">
        <f t="shared" si="0"/>
        <v>100</v>
      </c>
      <c r="T12" s="663" t="s">
        <v>14</v>
      </c>
      <c r="U12" s="664">
        <f t="shared" si="1"/>
        <v>100</v>
      </c>
      <c r="V12" s="663" t="s">
        <v>14</v>
      </c>
      <c r="W12" s="664">
        <f t="shared" si="2"/>
        <v>100</v>
      </c>
      <c r="X12" s="665"/>
      <c r="Y12" s="3363"/>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91"/>
      <c r="M13" s="2486"/>
      <c r="N13" s="2486"/>
      <c r="O13" s="2486"/>
      <c r="P13" s="3461"/>
      <c r="Q13" s="529">
        <f t="shared" si="6"/>
        <v>111</v>
      </c>
      <c r="R13" s="663" t="s">
        <v>14</v>
      </c>
      <c r="S13" s="664">
        <f t="shared" si="0"/>
        <v>100</v>
      </c>
      <c r="T13" s="663" t="s">
        <v>14</v>
      </c>
      <c r="U13" s="664">
        <f t="shared" si="1"/>
        <v>100</v>
      </c>
      <c r="V13" s="663" t="s">
        <v>14</v>
      </c>
      <c r="W13" s="664">
        <f t="shared" si="2"/>
        <v>100</v>
      </c>
      <c r="X13" s="665"/>
      <c r="Y13" s="3363"/>
      <c r="Z13" s="50">
        <f t="shared" si="7"/>
        <v>111</v>
      </c>
      <c r="AA13" s="50">
        <f t="shared" si="3"/>
        <v>1</v>
      </c>
      <c r="AB13" s="50">
        <f t="shared" si="4"/>
        <v>1</v>
      </c>
      <c r="AC13" s="50">
        <f t="shared" si="5"/>
        <v>1</v>
      </c>
    </row>
    <row r="14" spans="1:29" ht="96.6">
      <c r="A14" s="344" t="s">
        <v>1690</v>
      </c>
      <c r="B14" s="553" t="s">
        <v>1833</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62" t="s">
        <v>1691</v>
      </c>
      <c r="Q14" s="1261" t="str">
        <f t="shared" si="6"/>
        <v>交通便捷度</v>
      </c>
      <c r="R14" s="666" t="s">
        <v>14</v>
      </c>
      <c r="S14" s="667">
        <f t="shared" si="0"/>
        <v>100</v>
      </c>
      <c r="T14" s="666" t="s">
        <v>14</v>
      </c>
      <c r="U14" s="667">
        <f t="shared" si="1"/>
        <v>100</v>
      </c>
      <c r="V14" s="666" t="s">
        <v>14</v>
      </c>
      <c r="W14" s="667">
        <f t="shared" si="2"/>
        <v>100</v>
      </c>
      <c r="X14" s="1263"/>
      <c r="Y14" s="3462"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1"/>
      <c r="M15" s="2486"/>
      <c r="N15" s="2486"/>
      <c r="O15" s="2486"/>
      <c r="P15" s="3463"/>
      <c r="Q15" s="1261"/>
      <c r="R15" s="666"/>
      <c r="S15" s="667"/>
      <c r="T15" s="666"/>
      <c r="U15" s="667"/>
      <c r="V15" s="666"/>
      <c r="W15" s="667"/>
      <c r="X15" s="1263"/>
      <c r="Y15" s="3463"/>
      <c r="Z15" s="1262"/>
      <c r="AA15" s="1262">
        <v>1</v>
      </c>
      <c r="AB15" s="1262">
        <v>1</v>
      </c>
      <c r="AC15" s="1262">
        <v>1</v>
      </c>
    </row>
    <row r="16" spans="1:29" ht="41.4">
      <c r="A16" s="347"/>
      <c r="B16" s="555" t="s">
        <v>1812</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63"/>
      <c r="Q16" s="1261" t="str">
        <f>B16</f>
        <v>公共配套设施</v>
      </c>
      <c r="R16" s="666" t="s">
        <v>14</v>
      </c>
      <c r="S16" s="667">
        <f>F16</f>
        <v>100</v>
      </c>
      <c r="T16" s="666" t="s">
        <v>14</v>
      </c>
      <c r="U16" s="667">
        <f>H16</f>
        <v>100</v>
      </c>
      <c r="V16" s="666" t="s">
        <v>14</v>
      </c>
      <c r="W16" s="667">
        <f>J16</f>
        <v>100</v>
      </c>
      <c r="X16" s="1263"/>
      <c r="Y16" s="3463"/>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1"/>
      <c r="M17" s="2486"/>
      <c r="N17" s="2486"/>
      <c r="O17" s="2486"/>
      <c r="P17" s="3463"/>
      <c r="Q17" s="1261"/>
      <c r="R17" s="666"/>
      <c r="S17" s="667"/>
      <c r="T17" s="666"/>
      <c r="U17" s="667"/>
      <c r="V17" s="666"/>
      <c r="W17" s="667"/>
      <c r="X17" s="1263"/>
      <c r="Y17" s="3463"/>
      <c r="Z17" s="1262"/>
      <c r="AA17" s="1262">
        <v>1</v>
      </c>
      <c r="AB17" s="1262">
        <v>1</v>
      </c>
      <c r="AC17" s="1262">
        <v>1</v>
      </c>
    </row>
    <row r="18" spans="1:29" ht="41.4">
      <c r="A18" s="347"/>
      <c r="B18" s="556" t="s">
        <v>1813</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63"/>
      <c r="Q18" s="1261" t="str">
        <f>B18</f>
        <v>基础设施水平</v>
      </c>
      <c r="R18" s="666" t="s">
        <v>14</v>
      </c>
      <c r="S18" s="667">
        <f>F18</f>
        <v>100</v>
      </c>
      <c r="T18" s="666" t="s">
        <v>14</v>
      </c>
      <c r="U18" s="667">
        <f>H18</f>
        <v>100</v>
      </c>
      <c r="V18" s="666" t="s">
        <v>14</v>
      </c>
      <c r="W18" s="667">
        <f>J18</f>
        <v>100</v>
      </c>
      <c r="X18" s="1263"/>
      <c r="Y18" s="3463"/>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3"/>
      <c r="L19" s="2491"/>
      <c r="M19" s="2486"/>
      <c r="N19" s="2486"/>
      <c r="O19" s="2486"/>
      <c r="P19" s="3463"/>
      <c r="Q19" s="1261"/>
      <c r="R19" s="666"/>
      <c r="S19" s="667"/>
      <c r="T19" s="666"/>
      <c r="U19" s="667"/>
      <c r="V19" s="666"/>
      <c r="W19" s="667"/>
      <c r="X19" s="1263"/>
      <c r="Y19" s="3463"/>
      <c r="Z19" s="1262"/>
      <c r="AA19" s="1262">
        <v>1</v>
      </c>
      <c r="AB19" s="1262">
        <v>1</v>
      </c>
      <c r="AC19" s="1262">
        <v>1</v>
      </c>
    </row>
    <row r="20" spans="1:29" ht="55.2">
      <c r="A20" s="347"/>
      <c r="B20" s="555" t="s">
        <v>1834</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63"/>
      <c r="Q20" s="1261" t="str">
        <f>B20</f>
        <v>自然及人文环境</v>
      </c>
      <c r="R20" s="666" t="s">
        <v>14</v>
      </c>
      <c r="S20" s="667">
        <f>F20</f>
        <v>100</v>
      </c>
      <c r="T20" s="666" t="s">
        <v>14</v>
      </c>
      <c r="U20" s="667">
        <f>H20</f>
        <v>100</v>
      </c>
      <c r="V20" s="666" t="s">
        <v>14</v>
      </c>
      <c r="W20" s="667">
        <f>J20</f>
        <v>100</v>
      </c>
      <c r="X20" s="1263"/>
      <c r="Y20" s="3463"/>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1"/>
      <c r="M21" s="2486"/>
      <c r="N21" s="2486"/>
      <c r="O21" s="2486"/>
      <c r="P21" s="3463"/>
      <c r="Q21" s="1261"/>
      <c r="R21" s="666"/>
      <c r="S21" s="667"/>
      <c r="T21" s="666"/>
      <c r="U21" s="667"/>
      <c r="V21" s="666"/>
      <c r="W21" s="667"/>
      <c r="X21" s="1263"/>
      <c r="Y21" s="3463"/>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63"/>
      <c r="Q22" s="1261" t="str">
        <f>B22</f>
        <v>楼层</v>
      </c>
      <c r="R22" s="666" t="s">
        <v>14</v>
      </c>
      <c r="S22" s="667">
        <f>F22</f>
        <v>100</v>
      </c>
      <c r="T22" s="666" t="s">
        <v>14</v>
      </c>
      <c r="U22" s="667">
        <f>H22</f>
        <v>100</v>
      </c>
      <c r="V22" s="666" t="s">
        <v>14</v>
      </c>
      <c r="W22" s="667">
        <f>J22</f>
        <v>100</v>
      </c>
      <c r="X22" s="1263"/>
      <c r="Y22" s="3463"/>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63"/>
      <c r="Q23" s="1261">
        <f>B23</f>
        <v>111</v>
      </c>
      <c r="R23" s="666" t="s">
        <v>14</v>
      </c>
      <c r="S23" s="667">
        <f>F23</f>
        <v>100</v>
      </c>
      <c r="T23" s="666" t="s">
        <v>14</v>
      </c>
      <c r="U23" s="667">
        <f>H23</f>
        <v>100</v>
      </c>
      <c r="V23" s="666" t="s">
        <v>14</v>
      </c>
      <c r="W23" s="667">
        <f>J23</f>
        <v>100</v>
      </c>
      <c r="X23" s="1263"/>
      <c r="Y23" s="3463"/>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63"/>
      <c r="Q24" s="1261">
        <f t="shared" ref="Q24:Q36" si="11">B24</f>
        <v>111</v>
      </c>
      <c r="R24" s="666" t="s">
        <v>14</v>
      </c>
      <c r="S24" s="667">
        <f>F24</f>
        <v>100</v>
      </c>
      <c r="T24" s="666" t="s">
        <v>14</v>
      </c>
      <c r="U24" s="667">
        <f>H24</f>
        <v>100</v>
      </c>
      <c r="V24" s="666" t="s">
        <v>14</v>
      </c>
      <c r="W24" s="667">
        <f>J24</f>
        <v>100</v>
      </c>
      <c r="X24" s="1263"/>
      <c r="Y24" s="3463"/>
      <c r="Z24" s="1262">
        <f>Q24</f>
        <v>111</v>
      </c>
      <c r="AA24" s="1262">
        <f t="shared" si="3"/>
        <v>1</v>
      </c>
      <c r="AB24" s="1262">
        <f t="shared" si="4"/>
        <v>1</v>
      </c>
      <c r="AC24" s="1262">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8"/>
      <c r="N25" s="2438"/>
      <c r="O25" s="2438"/>
      <c r="P25" s="3463"/>
      <c r="Q25" s="529">
        <f t="shared" si="11"/>
        <v>111</v>
      </c>
      <c r="R25" s="663" t="s">
        <v>14</v>
      </c>
      <c r="S25" s="664">
        <f>F25</f>
        <v>100</v>
      </c>
      <c r="T25" s="663" t="s">
        <v>14</v>
      </c>
      <c r="U25" s="664">
        <f>H25</f>
        <v>100</v>
      </c>
      <c r="V25" s="663" t="s">
        <v>14</v>
      </c>
      <c r="W25" s="664">
        <f>J25</f>
        <v>100</v>
      </c>
      <c r="X25" s="665"/>
      <c r="Y25" s="3463"/>
      <c r="Z25" s="50">
        <f>Q25</f>
        <v>111</v>
      </c>
      <c r="AA25" s="1262">
        <f>D25/F25</f>
        <v>1</v>
      </c>
      <c r="AB25" s="1262">
        <f>D25/H25</f>
        <v>1</v>
      </c>
      <c r="AC25" s="1262">
        <f>D25/J25</f>
        <v>1</v>
      </c>
    </row>
    <row r="26" spans="1:29" ht="30">
      <c r="A26" s="573" t="s">
        <v>1694</v>
      </c>
      <c r="B26" s="59"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86"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67" t="s">
        <v>1696</v>
      </c>
      <c r="Z26" s="1262" t="str">
        <f t="shared" ref="Z26:Z36" si="15">Q26</f>
        <v>配套类型</v>
      </c>
      <c r="AA26" s="1262" t="e">
        <f t="shared" si="3"/>
        <v>#DIV/0!</v>
      </c>
      <c r="AB26" s="1262" t="e">
        <f t="shared" si="4"/>
        <v>#DIV/0!</v>
      </c>
      <c r="AC26" s="1262"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67"/>
      <c r="Q27" s="530" t="str">
        <f t="shared" si="11"/>
        <v>项目停车位配比</v>
      </c>
      <c r="R27" s="668" t="s">
        <v>14</v>
      </c>
      <c r="S27" s="669">
        <f t="shared" si="12"/>
        <v>100</v>
      </c>
      <c r="T27" s="668" t="s">
        <v>14</v>
      </c>
      <c r="U27" s="669">
        <f t="shared" si="13"/>
        <v>100</v>
      </c>
      <c r="V27" s="668" t="s">
        <v>14</v>
      </c>
      <c r="W27" s="669">
        <f t="shared" si="14"/>
        <v>100</v>
      </c>
      <c r="X27" s="670"/>
      <c r="Y27" s="3467"/>
      <c r="Z27" s="671" t="str">
        <f t="shared" si="15"/>
        <v>项目停车位配比</v>
      </c>
      <c r="AA27" s="1262">
        <f t="shared" si="3"/>
        <v>1</v>
      </c>
      <c r="AB27" s="1262">
        <f t="shared" si="4"/>
        <v>1</v>
      </c>
      <c r="AC27" s="1262">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67"/>
      <c r="Q28" s="1261" t="str">
        <f t="shared" si="11"/>
        <v>公共部分装修</v>
      </c>
      <c r="R28" s="666" t="s">
        <v>14</v>
      </c>
      <c r="S28" s="667">
        <f t="shared" si="12"/>
        <v>100</v>
      </c>
      <c r="T28" s="666" t="s">
        <v>14</v>
      </c>
      <c r="U28" s="667">
        <f t="shared" si="13"/>
        <v>100</v>
      </c>
      <c r="V28" s="666" t="s">
        <v>14</v>
      </c>
      <c r="W28" s="667">
        <f t="shared" si="14"/>
        <v>100</v>
      </c>
      <c r="X28" s="1263"/>
      <c r="Y28" s="3467"/>
      <c r="Z28" s="1262" t="str">
        <f t="shared" si="15"/>
        <v>公共部分装修</v>
      </c>
      <c r="AA28" s="1262">
        <f t="shared" si="3"/>
        <v>1</v>
      </c>
      <c r="AB28" s="1262">
        <f t="shared" si="4"/>
        <v>1</v>
      </c>
      <c r="AC28" s="1262">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67"/>
      <c r="Q29" s="1261" t="str">
        <f t="shared" si="11"/>
        <v>成新率</v>
      </c>
      <c r="R29" s="666" t="s">
        <v>14</v>
      </c>
      <c r="S29" s="667" t="e">
        <f t="shared" si="12"/>
        <v>#N/A</v>
      </c>
      <c r="T29" s="666" t="s">
        <v>14</v>
      </c>
      <c r="U29" s="667" t="e">
        <f t="shared" si="13"/>
        <v>#N/A</v>
      </c>
      <c r="V29" s="666" t="s">
        <v>14</v>
      </c>
      <c r="W29" s="667" t="e">
        <f t="shared" si="14"/>
        <v>#N/A</v>
      </c>
      <c r="X29" s="1263"/>
      <c r="Y29" s="3467"/>
      <c r="Z29" s="1262" t="str">
        <f t="shared" si="15"/>
        <v>成新率</v>
      </c>
      <c r="AA29" s="1262" t="e">
        <f t="shared" si="3"/>
        <v>#N/A</v>
      </c>
      <c r="AB29" s="1262" t="e">
        <f t="shared" si="4"/>
        <v>#N/A</v>
      </c>
      <c r="AC29" s="1262"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67"/>
      <c r="Q30" s="1261" t="str">
        <f t="shared" si="11"/>
        <v>物业等级</v>
      </c>
      <c r="R30" s="666" t="s">
        <v>14</v>
      </c>
      <c r="S30" s="667">
        <f t="shared" si="12"/>
        <v>100</v>
      </c>
      <c r="T30" s="666" t="s">
        <v>14</v>
      </c>
      <c r="U30" s="667">
        <f t="shared" si="13"/>
        <v>100</v>
      </c>
      <c r="V30" s="666" t="s">
        <v>14</v>
      </c>
      <c r="W30" s="667">
        <f t="shared" si="14"/>
        <v>100</v>
      </c>
      <c r="X30" s="1263"/>
      <c r="Y30" s="3467"/>
      <c r="Z30" s="1262" t="str">
        <f t="shared" si="15"/>
        <v>物业等级</v>
      </c>
      <c r="AA30" s="1262">
        <f t="shared" si="3"/>
        <v>1</v>
      </c>
      <c r="AB30" s="1262">
        <f t="shared" si="4"/>
        <v>1</v>
      </c>
      <c r="AC30" s="1262">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7"/>
      <c r="M31" s="2438"/>
      <c r="N31" s="2438"/>
      <c r="O31" s="2438"/>
      <c r="P31" s="3467"/>
      <c r="Q31" s="529" t="str">
        <f t="shared" si="11"/>
        <v>停车位面积</v>
      </c>
      <c r="R31" s="663" t="s">
        <v>14</v>
      </c>
      <c r="S31" s="664" t="e">
        <f t="shared" si="12"/>
        <v>#N/A</v>
      </c>
      <c r="T31" s="663" t="s">
        <v>14</v>
      </c>
      <c r="U31" s="664" t="e">
        <f t="shared" si="13"/>
        <v>#N/A</v>
      </c>
      <c r="V31" s="663" t="s">
        <v>14</v>
      </c>
      <c r="W31" s="664" t="e">
        <f t="shared" si="14"/>
        <v>#N/A</v>
      </c>
      <c r="X31" s="665"/>
      <c r="Y31" s="3467"/>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67" t="s">
        <v>1696</v>
      </c>
      <c r="Q32" s="1261" t="str">
        <f t="shared" si="11"/>
        <v>车位类型</v>
      </c>
      <c r="R32" s="666" t="s">
        <v>14</v>
      </c>
      <c r="S32" s="667">
        <f t="shared" si="12"/>
        <v>100</v>
      </c>
      <c r="T32" s="666" t="s">
        <v>14</v>
      </c>
      <c r="U32" s="667">
        <f t="shared" si="13"/>
        <v>100</v>
      </c>
      <c r="V32" s="666" t="s">
        <v>14</v>
      </c>
      <c r="W32" s="667">
        <f t="shared" si="14"/>
        <v>100</v>
      </c>
      <c r="X32" s="1263"/>
      <c r="Y32" s="3467" t="s">
        <v>1696</v>
      </c>
      <c r="Z32" s="1262" t="str">
        <f t="shared" si="15"/>
        <v>车位类型</v>
      </c>
      <c r="AA32" s="1262">
        <f t="shared" si="3"/>
        <v>1</v>
      </c>
      <c r="AB32" s="1262">
        <f t="shared" si="4"/>
        <v>1</v>
      </c>
      <c r="AC32" s="1262">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67"/>
      <c r="Q33" s="1261" t="str">
        <f t="shared" si="11"/>
        <v>是否直接入户</v>
      </c>
      <c r="R33" s="666" t="s">
        <v>14</v>
      </c>
      <c r="S33" s="667">
        <f t="shared" si="12"/>
        <v>100</v>
      </c>
      <c r="T33" s="666" t="s">
        <v>14</v>
      </c>
      <c r="U33" s="667">
        <f t="shared" si="13"/>
        <v>100</v>
      </c>
      <c r="V33" s="666" t="s">
        <v>14</v>
      </c>
      <c r="W33" s="667">
        <f t="shared" si="14"/>
        <v>100</v>
      </c>
      <c r="X33" s="1263"/>
      <c r="Y33" s="3467"/>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67"/>
      <c r="Q34" s="1261">
        <f t="shared" si="11"/>
        <v>111</v>
      </c>
      <c r="R34" s="666" t="s">
        <v>14</v>
      </c>
      <c r="S34" s="667">
        <f t="shared" si="12"/>
        <v>100</v>
      </c>
      <c r="T34" s="666" t="s">
        <v>14</v>
      </c>
      <c r="U34" s="667">
        <f t="shared" si="13"/>
        <v>100</v>
      </c>
      <c r="V34" s="666" t="s">
        <v>14</v>
      </c>
      <c r="W34" s="667">
        <f t="shared" si="14"/>
        <v>100</v>
      </c>
      <c r="X34" s="1263"/>
      <c r="Y34" s="3467"/>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67"/>
      <c r="Q35" s="530">
        <f t="shared" si="11"/>
        <v>111</v>
      </c>
      <c r="R35" s="668" t="s">
        <v>14</v>
      </c>
      <c r="S35" s="669">
        <f t="shared" si="12"/>
        <v>100</v>
      </c>
      <c r="T35" s="668" t="s">
        <v>14</v>
      </c>
      <c r="U35" s="669">
        <f t="shared" si="13"/>
        <v>100</v>
      </c>
      <c r="V35" s="668" t="s">
        <v>14</v>
      </c>
      <c r="W35" s="669">
        <f t="shared" si="14"/>
        <v>100</v>
      </c>
      <c r="X35" s="670"/>
      <c r="Y35" s="3467"/>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67"/>
      <c r="Q36" s="1261">
        <f t="shared" si="11"/>
        <v>111</v>
      </c>
      <c r="R36" s="666" t="s">
        <v>14</v>
      </c>
      <c r="S36" s="667">
        <f t="shared" si="12"/>
        <v>100</v>
      </c>
      <c r="T36" s="666" t="s">
        <v>14</v>
      </c>
      <c r="U36" s="667">
        <f t="shared" si="13"/>
        <v>100</v>
      </c>
      <c r="V36" s="666" t="s">
        <v>14</v>
      </c>
      <c r="W36" s="667">
        <f t="shared" si="14"/>
        <v>100</v>
      </c>
      <c r="X36" s="1263"/>
      <c r="Y36" s="3467"/>
      <c r="Z36" s="1262">
        <f t="shared" si="15"/>
        <v>111</v>
      </c>
      <c r="AA36" s="1262">
        <f t="shared" si="3"/>
        <v>1</v>
      </c>
      <c r="AB36" s="1262">
        <f t="shared" si="4"/>
        <v>1</v>
      </c>
      <c r="AC36" s="1262">
        <f t="shared" si="5"/>
        <v>1</v>
      </c>
    </row>
    <row r="37" spans="1:29" ht="14.4">
      <c r="A37" s="415" t="s">
        <v>1844</v>
      </c>
      <c r="B37" s="1819" t="s">
        <v>3356</v>
      </c>
      <c r="C37" s="1079" t="s">
        <v>0</v>
      </c>
      <c r="D37" s="417"/>
      <c r="E37" s="418"/>
      <c r="F37" s="419"/>
      <c r="G37" s="420"/>
      <c r="H37" s="421"/>
      <c r="I37" s="418"/>
      <c r="J37" s="421"/>
      <c r="K37" s="544"/>
      <c r="L37" s="2493"/>
      <c r="M37" s="2486"/>
      <c r="N37" s="2486"/>
      <c r="O37" s="2486"/>
      <c r="P37" s="3461" t="str">
        <f>A37</f>
        <v>成交单价</v>
      </c>
      <c r="Q37" s="3461"/>
      <c r="R37" s="3456">
        <f>E37</f>
        <v>0</v>
      </c>
      <c r="S37" s="3456"/>
      <c r="T37" s="3456">
        <f>G37</f>
        <v>0</v>
      </c>
      <c r="U37" s="3456"/>
      <c r="V37" s="3456">
        <f>I37</f>
        <v>0</v>
      </c>
      <c r="W37" s="3456"/>
      <c r="X37" s="384"/>
      <c r="Y37" s="672"/>
      <c r="Z37" s="384"/>
      <c r="AA37" s="384"/>
      <c r="AB37" s="384"/>
      <c r="AC37" s="384"/>
    </row>
    <row r="38" spans="1:29" ht="15" thickBot="1">
      <c r="A38" s="422" t="s">
        <v>1845</v>
      </c>
      <c r="B38" s="423" t="str">
        <f>B37</f>
        <v>元/平方米</v>
      </c>
      <c r="C38" s="1080" t="e">
        <f>R39</f>
        <v>#DIV/0!</v>
      </c>
      <c r="D38" s="2139" t="s">
        <v>2138</v>
      </c>
      <c r="E38" s="1081" t="e">
        <f>R38</f>
        <v>#DIV/0!</v>
      </c>
      <c r="F38" s="2140"/>
      <c r="G38" s="1080" t="e">
        <f>T38</f>
        <v>#DIV/0!</v>
      </c>
      <c r="H38" s="2140"/>
      <c r="I38" s="1081" t="e">
        <f>V38</f>
        <v>#DIV/0!</v>
      </c>
      <c r="J38" s="2140"/>
      <c r="K38" s="2142">
        <f>F38+H38+J38</f>
        <v>0</v>
      </c>
      <c r="L38" s="2493"/>
      <c r="M38" s="2486"/>
      <c r="N38" s="2486"/>
      <c r="O38" s="2486"/>
      <c r="P38" s="3461" t="str">
        <f>A38</f>
        <v>比较价值（元/平方米）</v>
      </c>
      <c r="Q38" s="3461"/>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3"/>
      <c r="M39" s="2486"/>
      <c r="N39" s="2486"/>
      <c r="O39" s="2486"/>
      <c r="P39" s="3458" t="str">
        <f>A39</f>
        <v>估价对象XX用房的比较价值（楼面单价，元/平方米）</v>
      </c>
      <c r="Q39" s="3459"/>
      <c r="R39" s="3487" t="e">
        <f>IF(F1="售价",ROUND(IF(D38="简单平均",AVERAGE(R38:W38),R38*F38+T38*H38+V38*J38),0),ROUND(IF(D38="简单平均",AVERAGE(R38:V38),R38*F38+T38*H38+V38*J38),1))</f>
        <v>#DIV/0!</v>
      </c>
      <c r="S39" s="3487"/>
      <c r="T39" s="3487"/>
      <c r="U39" s="3487"/>
      <c r="V39" s="3487"/>
      <c r="W39" s="3487"/>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4.4">
      <c r="A48" s="439" t="s">
        <v>1851</v>
      </c>
      <c r="B48" s="440"/>
      <c r="C48" s="1101" t="str">
        <f>YEAR(C7)&amp;"-"&amp;MONTH(C7)</f>
        <v>2024-11</v>
      </c>
      <c r="D48" s="1102">
        <f>EDATE(C48,-1)</f>
        <v>45566</v>
      </c>
      <c r="E48" s="1102">
        <f t="shared" ref="E48:O48" si="16">EDATE(D48,-1)</f>
        <v>45536</v>
      </c>
      <c r="F48" s="1102">
        <f t="shared" si="16"/>
        <v>45505</v>
      </c>
      <c r="G48" s="1102">
        <f t="shared" si="16"/>
        <v>45474</v>
      </c>
      <c r="H48" s="1102">
        <f t="shared" si="16"/>
        <v>45444</v>
      </c>
      <c r="I48" s="1102">
        <f t="shared" si="16"/>
        <v>45413</v>
      </c>
      <c r="J48" s="1102">
        <f t="shared" si="16"/>
        <v>45383</v>
      </c>
      <c r="K48" s="1102">
        <f t="shared" si="16"/>
        <v>45352</v>
      </c>
      <c r="L48" s="1102">
        <f t="shared" si="16"/>
        <v>45323</v>
      </c>
      <c r="M48" s="1102">
        <f t="shared" si="16"/>
        <v>45292</v>
      </c>
      <c r="N48" s="1102">
        <f t="shared" si="16"/>
        <v>45261</v>
      </c>
      <c r="O48" s="1102">
        <f t="shared" si="16"/>
        <v>45231</v>
      </c>
      <c r="P48" s="2526"/>
      <c r="Q48" s="2509"/>
      <c r="R48" s="2509"/>
      <c r="S48" s="2509"/>
      <c r="T48" s="2509"/>
      <c r="U48" s="2509"/>
      <c r="V48" s="2509"/>
      <c r="W48" s="2509"/>
      <c r="X48" s="2509"/>
      <c r="Y48" s="2509"/>
      <c r="Z48" s="2509"/>
      <c r="AA48" s="2509"/>
      <c r="AB48" s="2509"/>
      <c r="AC48" s="2509"/>
    </row>
    <row r="49" spans="1:29" s="102" customFormat="1">
      <c r="A49" s="442"/>
      <c r="B49" s="443"/>
      <c r="C49" s="1095">
        <v>100</v>
      </c>
      <c r="D49" s="445"/>
      <c r="E49" s="445"/>
      <c r="F49" s="445"/>
      <c r="G49" s="445"/>
      <c r="H49" s="445"/>
      <c r="I49" s="445"/>
      <c r="J49" s="445"/>
      <c r="K49" s="445"/>
      <c r="L49" s="445"/>
      <c r="M49" s="446"/>
      <c r="N49" s="445"/>
      <c r="O49" s="446"/>
      <c r="P49" s="2527"/>
      <c r="Q49" s="2438"/>
      <c r="R49" s="2438"/>
      <c r="S49" s="2438"/>
      <c r="T49" s="2438"/>
      <c r="U49" s="2438"/>
      <c r="V49" s="2438"/>
      <c r="W49" s="2438"/>
      <c r="X49" s="2438"/>
      <c r="Y49" s="2438"/>
      <c r="Z49" s="2438"/>
      <c r="AA49" s="2438"/>
      <c r="AB49" s="2438"/>
      <c r="AC49" s="2438"/>
    </row>
    <row r="50" spans="1:29" s="102" customFormat="1" ht="15" thickBot="1">
      <c r="A50" s="448" t="s">
        <v>1716</v>
      </c>
      <c r="B50" s="449"/>
      <c r="C50" s="450"/>
      <c r="D50" s="451"/>
      <c r="E50" s="451"/>
      <c r="F50" s="451"/>
      <c r="G50" s="451"/>
      <c r="H50" s="451"/>
      <c r="I50" s="451"/>
      <c r="J50" s="451"/>
      <c r="K50" s="451"/>
      <c r="L50" s="451"/>
      <c r="M50" s="452"/>
      <c r="N50" s="451"/>
      <c r="O50" s="452"/>
      <c r="P50" s="2527"/>
      <c r="Q50" s="2507"/>
      <c r="R50" s="2438"/>
      <c r="S50" s="2438"/>
      <c r="T50" s="2438"/>
      <c r="U50" s="2438"/>
      <c r="V50" s="2438"/>
      <c r="W50" s="2438"/>
      <c r="X50" s="2438"/>
      <c r="Y50" s="2438"/>
      <c r="Z50" s="2438"/>
      <c r="AA50" s="2438"/>
      <c r="AB50" s="2438"/>
      <c r="AC50" s="2438"/>
    </row>
    <row r="51" spans="1:29" s="102" customFormat="1" ht="14.4">
      <c r="A51" s="454" t="s">
        <v>1681</v>
      </c>
      <c r="B51" s="443"/>
      <c r="C51" s="455" t="s">
        <v>1776</v>
      </c>
      <c r="D51" s="31"/>
      <c r="E51" s="31"/>
      <c r="F51" s="31"/>
      <c r="G51" s="31"/>
      <c r="H51" s="31"/>
      <c r="I51" s="31"/>
      <c r="J51" s="31"/>
      <c r="K51" s="31"/>
      <c r="L51" s="456"/>
      <c r="M51" s="457"/>
      <c r="N51" s="2519"/>
      <c r="O51" s="2519"/>
      <c r="P51" s="2528"/>
      <c r="Q51" s="2507"/>
      <c r="R51" s="2438"/>
      <c r="S51" s="2438"/>
      <c r="T51" s="2438"/>
      <c r="U51" s="2438"/>
      <c r="V51" s="2438"/>
      <c r="W51" s="2438"/>
      <c r="X51" s="2438"/>
      <c r="Y51" s="2438"/>
      <c r="Z51" s="2438"/>
      <c r="AA51" s="2438"/>
      <c r="AB51" s="2438"/>
      <c r="AC51" s="2438"/>
    </row>
    <row r="52" spans="1:29" s="102" customFormat="1" ht="14.4" thickBot="1">
      <c r="A52" s="454"/>
      <c r="B52" s="443"/>
      <c r="C52" s="562">
        <v>100</v>
      </c>
      <c r="D52" s="445"/>
      <c r="E52" s="445"/>
      <c r="F52" s="445"/>
      <c r="G52" s="445"/>
      <c r="H52" s="445"/>
      <c r="I52" s="445"/>
      <c r="J52" s="445"/>
      <c r="K52" s="445"/>
      <c r="L52" s="445"/>
      <c r="M52" s="447"/>
      <c r="N52" s="2519"/>
      <c r="O52" s="2519"/>
      <c r="P52" s="2527"/>
      <c r="Q52" s="2507"/>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4"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9.4"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4"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4"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4"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4"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4"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4"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4"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4.4" thickTop="1">
      <c r="A73" s="369"/>
      <c r="B73" s="468">
        <f>B23</f>
        <v>111</v>
      </c>
      <c r="C73" s="479"/>
      <c r="D73" s="479"/>
      <c r="E73" s="479"/>
      <c r="F73" s="479"/>
      <c r="G73" s="484"/>
      <c r="H73" s="484"/>
      <c r="I73" s="484"/>
      <c r="J73" s="484"/>
      <c r="K73" s="484"/>
      <c r="L73" s="509"/>
      <c r="M73" s="510"/>
      <c r="N73" s="2519"/>
      <c r="O73" s="2519"/>
      <c r="P73" s="2529"/>
      <c r="Q73" s="2507"/>
      <c r="R73" s="2438"/>
      <c r="S73" s="2438"/>
      <c r="T73" s="2438"/>
      <c r="U73" s="2438"/>
      <c r="V73" s="2438"/>
      <c r="W73" s="2438"/>
      <c r="X73" s="2438"/>
      <c r="Y73" s="2438"/>
      <c r="Z73" s="2438"/>
      <c r="AA73" s="2438"/>
      <c r="AB73" s="2438"/>
      <c r="AC73" s="2438"/>
    </row>
    <row r="74" spans="1:29" s="102" customFormat="1" ht="14.4" thickBot="1">
      <c r="A74" s="369"/>
      <c r="B74" s="473"/>
      <c r="C74" s="490"/>
      <c r="D74" s="466"/>
      <c r="E74" s="466"/>
      <c r="F74" s="466"/>
      <c r="G74" s="466"/>
      <c r="H74" s="466"/>
      <c r="I74" s="466"/>
      <c r="J74" s="466"/>
      <c r="K74" s="466"/>
      <c r="L74" s="466"/>
      <c r="M74" s="467"/>
      <c r="N74" s="2521"/>
      <c r="O74" s="2521"/>
      <c r="P74" s="2529"/>
      <c r="Q74" s="2507"/>
      <c r="R74" s="2438"/>
      <c r="S74" s="2438"/>
      <c r="T74" s="2438"/>
      <c r="U74" s="2438"/>
      <c r="V74" s="2438"/>
      <c r="W74" s="2438"/>
      <c r="X74" s="2438"/>
      <c r="Y74" s="2438"/>
      <c r="Z74" s="2438"/>
      <c r="AA74" s="2438"/>
      <c r="AB74" s="2438"/>
      <c r="AC74" s="2438"/>
    </row>
    <row r="75" spans="1:29" s="102" customFormat="1" ht="14.4" thickTop="1">
      <c r="A75" s="369"/>
      <c r="B75" s="468">
        <f>B24</f>
        <v>111</v>
      </c>
      <c r="C75" s="479"/>
      <c r="D75" s="479"/>
      <c r="E75" s="479"/>
      <c r="F75" s="479"/>
      <c r="G75" s="484"/>
      <c r="H75" s="484"/>
      <c r="I75" s="484"/>
      <c r="J75" s="484"/>
      <c r="K75" s="484"/>
      <c r="L75" s="484"/>
      <c r="M75" s="510"/>
      <c r="N75" s="2519"/>
      <c r="O75" s="2519"/>
      <c r="P75" s="2529"/>
      <c r="Q75" s="2507"/>
      <c r="R75" s="2438"/>
      <c r="S75" s="2438"/>
      <c r="T75" s="2438"/>
      <c r="U75" s="2438"/>
      <c r="V75" s="2438"/>
      <c r="W75" s="2438"/>
      <c r="X75" s="2438"/>
      <c r="Y75" s="2438"/>
      <c r="Z75" s="2438"/>
      <c r="AA75" s="2438"/>
      <c r="AB75" s="2438"/>
      <c r="AC75" s="2438"/>
    </row>
    <row r="76" spans="1:29" s="102" customFormat="1" ht="14.4" thickBot="1">
      <c r="A76" s="369"/>
      <c r="B76" s="473"/>
      <c r="C76" s="490"/>
      <c r="D76" s="466"/>
      <c r="E76" s="466"/>
      <c r="F76" s="466"/>
      <c r="G76" s="466"/>
      <c r="H76" s="466"/>
      <c r="I76" s="466"/>
      <c r="J76" s="466"/>
      <c r="K76" s="466"/>
      <c r="L76" s="466"/>
      <c r="M76" s="467"/>
      <c r="N76" s="2521"/>
      <c r="O76" s="2521"/>
      <c r="P76" s="2529"/>
      <c r="Q76" s="2507"/>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4"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9.4"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4"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4"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4"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4"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4"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3336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44" t="s">
        <v>1770</v>
      </c>
      <c r="D4" s="3445"/>
      <c r="E4" s="3446" t="s">
        <v>1771</v>
      </c>
      <c r="F4" s="3447"/>
      <c r="G4" s="3444" t="s">
        <v>1772</v>
      </c>
      <c r="H4" s="3445"/>
      <c r="I4" s="3444" t="s">
        <v>1773</v>
      </c>
      <c r="J4" s="3445"/>
      <c r="K4" s="536" t="s">
        <v>1774</v>
      </c>
      <c r="L4" s="2485"/>
      <c r="M4" s="2486"/>
      <c r="N4" s="2486"/>
      <c r="O4" s="2486"/>
      <c r="P4" s="3448" t="s">
        <v>1775</v>
      </c>
      <c r="Q4" s="3449"/>
      <c r="R4" s="3431" t="s">
        <v>1771</v>
      </c>
      <c r="S4" s="3432"/>
      <c r="T4" s="3431" t="s">
        <v>1772</v>
      </c>
      <c r="U4" s="3432"/>
      <c r="V4" s="3456" t="s">
        <v>1773</v>
      </c>
      <c r="W4" s="3456"/>
      <c r="X4" s="1263"/>
      <c r="Y4" s="3431" t="s">
        <v>1775</v>
      </c>
      <c r="Z4" s="3432"/>
      <c r="AA4" s="3426" t="s">
        <v>1771</v>
      </c>
      <c r="AB4" s="3427" t="s">
        <v>1772</v>
      </c>
      <c r="AC4" s="3426" t="s">
        <v>1773</v>
      </c>
    </row>
    <row r="5" spans="1:29">
      <c r="A5" s="347"/>
      <c r="B5" s="348"/>
      <c r="C5" s="3437" t="s">
        <v>1673</v>
      </c>
      <c r="D5" s="3438"/>
      <c r="E5" s="3435" t="s">
        <v>1674</v>
      </c>
      <c r="F5" s="3436"/>
      <c r="G5" s="3437" t="s">
        <v>1675</v>
      </c>
      <c r="H5" s="3438"/>
      <c r="I5" s="3437" t="s">
        <v>1676</v>
      </c>
      <c r="J5" s="3438"/>
      <c r="K5" s="536"/>
      <c r="L5" s="2485"/>
      <c r="M5" s="2486"/>
      <c r="N5" s="2486"/>
      <c r="O5" s="2486"/>
      <c r="P5" s="3450"/>
      <c r="Q5" s="3451"/>
      <c r="R5" s="3433"/>
      <c r="S5" s="3434"/>
      <c r="T5" s="3433"/>
      <c r="U5" s="3434"/>
      <c r="V5" s="3456"/>
      <c r="W5" s="3456"/>
      <c r="X5" s="1263"/>
      <c r="Y5" s="3433"/>
      <c r="Z5" s="3434"/>
      <c r="AA5" s="3427"/>
      <c r="AB5" s="3427"/>
      <c r="AC5" s="3427"/>
    </row>
    <row r="6" spans="1:29" ht="15" thickBot="1">
      <c r="A6" s="349"/>
      <c r="B6" s="350"/>
      <c r="C6" s="3439" t="s">
        <v>1677</v>
      </c>
      <c r="D6" s="3440"/>
      <c r="E6" s="3441" t="s">
        <v>1677</v>
      </c>
      <c r="F6" s="3442"/>
      <c r="G6" s="3439" t="s">
        <v>1677</v>
      </c>
      <c r="H6" s="3440"/>
      <c r="I6" s="3439" t="s">
        <v>1677</v>
      </c>
      <c r="J6" s="3440"/>
      <c r="K6" s="536" t="s">
        <v>1678</v>
      </c>
      <c r="L6" s="2485"/>
      <c r="M6" s="2486"/>
      <c r="N6" s="2486"/>
      <c r="O6" s="2486"/>
      <c r="P6" s="3452"/>
      <c r="Q6" s="3453"/>
      <c r="R6" s="3433"/>
      <c r="S6" s="3434"/>
      <c r="T6" s="3454"/>
      <c r="U6" s="3455"/>
      <c r="V6" s="3456"/>
      <c r="W6" s="3456"/>
      <c r="X6" s="1263"/>
      <c r="Y6" s="3454"/>
      <c r="Z6" s="3455"/>
      <c r="AA6" s="3428"/>
      <c r="AB6" s="3428"/>
      <c r="AC6" s="3428"/>
    </row>
    <row r="7" spans="1:29" s="102" customFormat="1" ht="15" thickBot="1">
      <c r="A7" s="351" t="s">
        <v>1679</v>
      </c>
      <c r="B7" s="352"/>
      <c r="C7" s="353">
        <f>'数据-取费表'!B2</f>
        <v>45607</v>
      </c>
      <c r="D7" s="354">
        <v>100</v>
      </c>
      <c r="E7" s="355"/>
      <c r="F7" s="356">
        <f>SUMIF(46:46,YEAR(E7)&amp;"-"&amp;MONTH(E7),47:47)</f>
        <v>0</v>
      </c>
      <c r="G7" s="1820"/>
      <c r="H7" s="354">
        <f>SUMIF(46:46,YEAR(G7)&amp;"-"&amp;MONTH(G7),47:47)</f>
        <v>0</v>
      </c>
      <c r="I7" s="355"/>
      <c r="J7" s="354">
        <f>SUMIF(46:46,YEAR(I7)&amp;"-"&amp;MONTH(I7),47:47)</f>
        <v>0</v>
      </c>
      <c r="K7" s="38"/>
      <c r="L7" s="2487"/>
      <c r="M7" s="2438"/>
      <c r="N7" s="2438"/>
      <c r="O7" s="2438"/>
      <c r="P7" s="3429" t="s">
        <v>1680</v>
      </c>
      <c r="Q7" s="3457"/>
      <c r="R7" s="663" t="s">
        <v>14</v>
      </c>
      <c r="S7" s="664">
        <f t="shared" ref="S7:S14" si="0">F7</f>
        <v>0</v>
      </c>
      <c r="T7" s="663" t="s">
        <v>14</v>
      </c>
      <c r="U7" s="664">
        <f t="shared" ref="U7:U14" si="1">H7</f>
        <v>0</v>
      </c>
      <c r="V7" s="663" t="s">
        <v>14</v>
      </c>
      <c r="W7" s="664">
        <f t="shared" ref="W7:W14" si="2">J7</f>
        <v>0</v>
      </c>
      <c r="X7" s="665"/>
      <c r="Y7" s="3429" t="s">
        <v>1680</v>
      </c>
      <c r="Z7" s="3430"/>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8"/>
      <c r="N8" s="2438"/>
      <c r="O8" s="2438"/>
      <c r="P8" s="3429" t="s">
        <v>1683</v>
      </c>
      <c r="Q8" s="3430"/>
      <c r="R8" s="663" t="s">
        <v>14</v>
      </c>
      <c r="S8" s="664">
        <f t="shared" si="0"/>
        <v>100</v>
      </c>
      <c r="T8" s="663" t="s">
        <v>14</v>
      </c>
      <c r="U8" s="664">
        <f t="shared" si="1"/>
        <v>100</v>
      </c>
      <c r="V8" s="663" t="s">
        <v>14</v>
      </c>
      <c r="W8" s="664">
        <f t="shared" si="2"/>
        <v>100</v>
      </c>
      <c r="X8" s="665"/>
      <c r="Y8" s="3429" t="s">
        <v>1683</v>
      </c>
      <c r="Z8" s="3430"/>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8"/>
      <c r="N9" s="2438"/>
      <c r="O9" s="2539"/>
      <c r="P9" s="3461" t="s">
        <v>1686</v>
      </c>
      <c r="Q9" s="529" t="str">
        <f t="shared" ref="Q9:Q14" si="6">B9</f>
        <v>用途</v>
      </c>
      <c r="R9" s="663" t="s">
        <v>14</v>
      </c>
      <c r="S9" s="664">
        <f t="shared" si="0"/>
        <v>100</v>
      </c>
      <c r="T9" s="663" t="s">
        <v>14</v>
      </c>
      <c r="U9" s="664">
        <f t="shared" si="1"/>
        <v>100</v>
      </c>
      <c r="V9" s="663" t="s">
        <v>14</v>
      </c>
      <c r="W9" s="664">
        <f t="shared" si="2"/>
        <v>100</v>
      </c>
      <c r="X9" s="665"/>
      <c r="Y9" s="3363" t="s">
        <v>1687</v>
      </c>
      <c r="Z9" s="50" t="str">
        <f t="shared" ref="Z9:Z14" si="7">Q9</f>
        <v>用途</v>
      </c>
      <c r="AA9" s="50">
        <f t="shared" si="3"/>
        <v>1</v>
      </c>
      <c r="AB9" s="50">
        <f t="shared" si="4"/>
        <v>1</v>
      </c>
      <c r="AC9" s="50">
        <f t="shared" si="5"/>
        <v>1</v>
      </c>
    </row>
    <row r="10" spans="1:29" s="365" customFormat="1" ht="28.8">
      <c r="A10" s="362"/>
      <c r="B10" s="363" t="s">
        <v>1688</v>
      </c>
      <c r="C10" s="3131"/>
      <c r="D10" s="119">
        <v>100</v>
      </c>
      <c r="E10" s="3131"/>
      <c r="F10" s="363">
        <f>SUMIF(53:53,E10,54:54)-SUMIF(53:53,C10,54:54)+100</f>
        <v>100</v>
      </c>
      <c r="G10" s="3131"/>
      <c r="H10" s="119">
        <f>SUMIF(53:53,G10,54:54)-SUMIF(53:53,C10,54:54)+100</f>
        <v>100</v>
      </c>
      <c r="I10" s="3131"/>
      <c r="J10" s="119">
        <f>SUMIF(53:53,I10,54:54)-SUMIF(53:53,C10,54:54)+100</f>
        <v>100</v>
      </c>
      <c r="K10" s="38"/>
      <c r="L10" s="2488"/>
      <c r="M10" s="2489"/>
      <c r="N10" s="2489"/>
      <c r="O10" s="2540"/>
      <c r="P10" s="3461"/>
      <c r="Q10" s="529" t="str">
        <f t="shared" si="6"/>
        <v>土地使用年限（年）</v>
      </c>
      <c r="R10" s="663" t="s">
        <v>14</v>
      </c>
      <c r="S10" s="664">
        <f t="shared" si="0"/>
        <v>100</v>
      </c>
      <c r="T10" s="663" t="s">
        <v>14</v>
      </c>
      <c r="U10" s="664">
        <f t="shared" si="1"/>
        <v>100</v>
      </c>
      <c r="V10" s="663" t="s">
        <v>14</v>
      </c>
      <c r="W10" s="664">
        <f t="shared" si="2"/>
        <v>100</v>
      </c>
      <c r="X10" s="665"/>
      <c r="Y10" s="3363"/>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90"/>
      <c r="M11" s="2486"/>
      <c r="N11" s="2486"/>
      <c r="O11" s="2541"/>
      <c r="P11" s="3461"/>
      <c r="Q11" s="529">
        <f t="shared" si="6"/>
        <v>111</v>
      </c>
      <c r="R11" s="663" t="s">
        <v>14</v>
      </c>
      <c r="S11" s="664">
        <f t="shared" si="0"/>
        <v>100</v>
      </c>
      <c r="T11" s="663" t="s">
        <v>14</v>
      </c>
      <c r="U11" s="664">
        <f t="shared" si="1"/>
        <v>100</v>
      </c>
      <c r="V11" s="663" t="s">
        <v>14</v>
      </c>
      <c r="W11" s="664">
        <f t="shared" si="2"/>
        <v>100</v>
      </c>
      <c r="X11" s="665"/>
      <c r="Y11" s="336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7"/>
      <c r="M12" s="2438"/>
      <c r="N12" s="2438"/>
      <c r="O12" s="2539"/>
      <c r="P12" s="3461"/>
      <c r="Q12" s="529">
        <f t="shared" si="6"/>
        <v>111</v>
      </c>
      <c r="R12" s="663" t="s">
        <v>14</v>
      </c>
      <c r="S12" s="664">
        <f t="shared" si="0"/>
        <v>100</v>
      </c>
      <c r="T12" s="663" t="s">
        <v>14</v>
      </c>
      <c r="U12" s="664">
        <f t="shared" si="1"/>
        <v>100</v>
      </c>
      <c r="V12" s="663" t="s">
        <v>14</v>
      </c>
      <c r="W12" s="664">
        <f t="shared" si="2"/>
        <v>100</v>
      </c>
      <c r="X12" s="665"/>
      <c r="Y12" s="336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1"/>
      <c r="M13" s="2486"/>
      <c r="N13" s="2486"/>
      <c r="O13" s="2541"/>
      <c r="P13" s="3461"/>
      <c r="Q13" s="529">
        <f t="shared" si="6"/>
        <v>111</v>
      </c>
      <c r="R13" s="663" t="s">
        <v>14</v>
      </c>
      <c r="S13" s="664">
        <f t="shared" si="0"/>
        <v>100</v>
      </c>
      <c r="T13" s="663" t="s">
        <v>14</v>
      </c>
      <c r="U13" s="664">
        <f t="shared" si="1"/>
        <v>100</v>
      </c>
      <c r="V13" s="663" t="s">
        <v>14</v>
      </c>
      <c r="W13" s="664">
        <f t="shared" si="2"/>
        <v>100</v>
      </c>
      <c r="X13" s="665"/>
      <c r="Y13" s="3363"/>
      <c r="Z13" s="50">
        <f t="shared" si="7"/>
        <v>111</v>
      </c>
      <c r="AA13" s="50">
        <f t="shared" si="3"/>
        <v>1</v>
      </c>
      <c r="AB13" s="50">
        <f t="shared" si="4"/>
        <v>1</v>
      </c>
      <c r="AC13" s="50">
        <f t="shared" si="5"/>
        <v>1</v>
      </c>
    </row>
    <row r="14" spans="1:29" ht="96.6">
      <c r="A14" s="378" t="s">
        <v>1690</v>
      </c>
      <c r="B14" s="58" t="s">
        <v>1833</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62" t="s">
        <v>1691</v>
      </c>
      <c r="Q14" s="1261" t="str">
        <f t="shared" si="6"/>
        <v>交通便捷度</v>
      </c>
      <c r="R14" s="666" t="s">
        <v>14</v>
      </c>
      <c r="S14" s="667">
        <f t="shared" si="0"/>
        <v>100</v>
      </c>
      <c r="T14" s="666" t="s">
        <v>14</v>
      </c>
      <c r="U14" s="667">
        <f t="shared" si="1"/>
        <v>100</v>
      </c>
      <c r="V14" s="666" t="s">
        <v>14</v>
      </c>
      <c r="W14" s="667">
        <f t="shared" si="2"/>
        <v>100</v>
      </c>
      <c r="X14" s="1263"/>
      <c r="Y14" s="3462"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1"/>
      <c r="M15" s="2486"/>
      <c r="N15" s="2486"/>
      <c r="O15" s="2541"/>
      <c r="P15" s="3463"/>
      <c r="Q15" s="1261"/>
      <c r="R15" s="666"/>
      <c r="S15" s="667"/>
      <c r="T15" s="666"/>
      <c r="U15" s="667"/>
      <c r="V15" s="666"/>
      <c r="W15" s="667"/>
      <c r="X15" s="1263"/>
      <c r="Y15" s="3463"/>
      <c r="Z15" s="1262"/>
      <c r="AA15" s="1262">
        <v>1</v>
      </c>
      <c r="AB15" s="1262">
        <v>1</v>
      </c>
      <c r="AC15" s="1262">
        <v>1</v>
      </c>
    </row>
    <row r="16" spans="1:29" ht="41.4">
      <c r="A16" s="366"/>
      <c r="B16" s="389" t="s">
        <v>1812</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63"/>
      <c r="Q16" s="1261" t="str">
        <f>B16</f>
        <v>公共配套设施</v>
      </c>
      <c r="R16" s="666" t="s">
        <v>14</v>
      </c>
      <c r="S16" s="667">
        <f>F16</f>
        <v>100</v>
      </c>
      <c r="T16" s="666" t="s">
        <v>14</v>
      </c>
      <c r="U16" s="667">
        <f>H16</f>
        <v>100</v>
      </c>
      <c r="V16" s="666" t="s">
        <v>14</v>
      </c>
      <c r="W16" s="667">
        <f>J16</f>
        <v>100</v>
      </c>
      <c r="X16" s="1263"/>
      <c r="Y16" s="3463"/>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1"/>
      <c r="M17" s="2486"/>
      <c r="N17" s="2486"/>
      <c r="O17" s="2541"/>
      <c r="P17" s="3463"/>
      <c r="Q17" s="1261"/>
      <c r="R17" s="666"/>
      <c r="S17" s="667"/>
      <c r="T17" s="666"/>
      <c r="U17" s="667"/>
      <c r="V17" s="666"/>
      <c r="W17" s="667"/>
      <c r="X17" s="1263"/>
      <c r="Y17" s="3463"/>
      <c r="Z17" s="1262"/>
      <c r="AA17" s="1262">
        <v>1</v>
      </c>
      <c r="AB17" s="1262">
        <v>1</v>
      </c>
      <c r="AC17" s="1262">
        <v>1</v>
      </c>
    </row>
    <row r="18" spans="1:29" ht="41.4">
      <c r="A18" s="366"/>
      <c r="B18" s="585" t="s">
        <v>1813</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63"/>
      <c r="Q18" s="1261" t="str">
        <f>B18</f>
        <v>基础设施水平</v>
      </c>
      <c r="R18" s="666" t="s">
        <v>14</v>
      </c>
      <c r="S18" s="667">
        <f>F18</f>
        <v>100</v>
      </c>
      <c r="T18" s="666" t="s">
        <v>14</v>
      </c>
      <c r="U18" s="667">
        <f>H18</f>
        <v>100</v>
      </c>
      <c r="V18" s="666" t="s">
        <v>14</v>
      </c>
      <c r="W18" s="667">
        <f>J18</f>
        <v>100</v>
      </c>
      <c r="X18" s="1263"/>
      <c r="Y18" s="3463"/>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3"/>
      <c r="L19" s="2491"/>
      <c r="M19" s="2486"/>
      <c r="N19" s="2486"/>
      <c r="O19" s="2541"/>
      <c r="P19" s="3463"/>
      <c r="Q19" s="1261"/>
      <c r="R19" s="666"/>
      <c r="S19" s="667"/>
      <c r="T19" s="666"/>
      <c r="U19" s="667"/>
      <c r="V19" s="666"/>
      <c r="W19" s="667"/>
      <c r="X19" s="1263"/>
      <c r="Y19" s="3463"/>
      <c r="Z19" s="1262"/>
      <c r="AA19" s="1262">
        <v>1</v>
      </c>
      <c r="AB19" s="1262">
        <v>1</v>
      </c>
      <c r="AC19" s="1262">
        <v>1</v>
      </c>
    </row>
    <row r="20" spans="1:29" ht="55.2">
      <c r="A20" s="366"/>
      <c r="B20" s="389" t="s">
        <v>1834</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63"/>
      <c r="Q20" s="1261" t="str">
        <f>B20</f>
        <v>自然及人文环境</v>
      </c>
      <c r="R20" s="666" t="s">
        <v>14</v>
      </c>
      <c r="S20" s="667">
        <f>F20</f>
        <v>100</v>
      </c>
      <c r="T20" s="666" t="s">
        <v>14</v>
      </c>
      <c r="U20" s="667">
        <f>H20</f>
        <v>100</v>
      </c>
      <c r="V20" s="666" t="s">
        <v>14</v>
      </c>
      <c r="W20" s="667">
        <f>J20</f>
        <v>100</v>
      </c>
      <c r="X20" s="1263"/>
      <c r="Y20" s="3463"/>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1"/>
      <c r="M21" s="2486"/>
      <c r="N21" s="2486"/>
      <c r="O21" s="2541"/>
      <c r="P21" s="3463"/>
      <c r="Q21" s="1261"/>
      <c r="R21" s="666"/>
      <c r="S21" s="667"/>
      <c r="T21" s="666"/>
      <c r="U21" s="667"/>
      <c r="V21" s="666"/>
      <c r="W21" s="667"/>
      <c r="X21" s="1263"/>
      <c r="Y21" s="3463"/>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63"/>
      <c r="Q22" s="1261" t="str">
        <f>B22</f>
        <v>楼层</v>
      </c>
      <c r="R22" s="666" t="s">
        <v>14</v>
      </c>
      <c r="S22" s="667">
        <f>F22</f>
        <v>100</v>
      </c>
      <c r="T22" s="666" t="s">
        <v>14</v>
      </c>
      <c r="U22" s="667">
        <f>H22</f>
        <v>100</v>
      </c>
      <c r="V22" s="666" t="s">
        <v>14</v>
      </c>
      <c r="W22" s="667">
        <f>J22</f>
        <v>100</v>
      </c>
      <c r="X22" s="1263"/>
      <c r="Y22" s="3463"/>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63"/>
      <c r="Q23" s="1261">
        <f>B23</f>
        <v>111</v>
      </c>
      <c r="R23" s="666" t="s">
        <v>14</v>
      </c>
      <c r="S23" s="667">
        <f>F23</f>
        <v>100</v>
      </c>
      <c r="T23" s="666" t="s">
        <v>14</v>
      </c>
      <c r="U23" s="667">
        <f>H23</f>
        <v>100</v>
      </c>
      <c r="V23" s="666" t="s">
        <v>14</v>
      </c>
      <c r="W23" s="667">
        <f>J23</f>
        <v>100</v>
      </c>
      <c r="X23" s="1263"/>
      <c r="Y23" s="3463"/>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63"/>
      <c r="Q24" s="1261">
        <f t="shared" ref="Q24:Q34" si="11">B24</f>
        <v>111</v>
      </c>
      <c r="R24" s="666" t="s">
        <v>14</v>
      </c>
      <c r="S24" s="667">
        <f>F24</f>
        <v>100</v>
      </c>
      <c r="T24" s="666" t="s">
        <v>14</v>
      </c>
      <c r="U24" s="667">
        <f>H24</f>
        <v>100</v>
      </c>
      <c r="V24" s="666" t="s">
        <v>14</v>
      </c>
      <c r="W24" s="667">
        <f>J24</f>
        <v>100</v>
      </c>
      <c r="X24" s="1263"/>
      <c r="Y24" s="3463"/>
      <c r="Z24" s="1262">
        <f>Q24</f>
        <v>111</v>
      </c>
      <c r="AA24" s="1262">
        <f t="shared" si="3"/>
        <v>1</v>
      </c>
      <c r="AB24" s="1262">
        <f t="shared" si="4"/>
        <v>1</v>
      </c>
      <c r="AC24" s="1262">
        <f t="shared" si="5"/>
        <v>1</v>
      </c>
    </row>
    <row r="25" spans="1:29" s="102" customFormat="1" ht="15.6"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7"/>
      <c r="M25" s="2438"/>
      <c r="N25" s="2438"/>
      <c r="O25" s="2539"/>
      <c r="P25" s="3463"/>
      <c r="Q25" s="529">
        <f t="shared" si="11"/>
        <v>111</v>
      </c>
      <c r="R25" s="663" t="s">
        <v>14</v>
      </c>
      <c r="S25" s="664">
        <f>F25</f>
        <v>100</v>
      </c>
      <c r="T25" s="663" t="s">
        <v>14</v>
      </c>
      <c r="U25" s="664">
        <f>H25</f>
        <v>100</v>
      </c>
      <c r="V25" s="663" t="s">
        <v>14</v>
      </c>
      <c r="W25" s="664">
        <f>J25</f>
        <v>100</v>
      </c>
      <c r="X25" s="665"/>
      <c r="Y25" s="3463"/>
      <c r="Z25" s="50">
        <f>Q25</f>
        <v>111</v>
      </c>
      <c r="AA25" s="1262">
        <f>D25/F25</f>
        <v>1</v>
      </c>
      <c r="AB25" s="1262">
        <f>D25/H25</f>
        <v>1</v>
      </c>
      <c r="AC25" s="1262">
        <f>D25/J25</f>
        <v>1</v>
      </c>
    </row>
    <row r="26" spans="1:29" ht="30">
      <c r="A26" s="403" t="s">
        <v>1694</v>
      </c>
      <c r="B26" s="60"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91"/>
      <c r="M26" s="2486"/>
      <c r="N26" s="2486"/>
      <c r="O26" s="2541"/>
      <c r="P26" s="3486"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67"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67"/>
      <c r="Q27" s="530" t="str">
        <f t="shared" si="11"/>
        <v>成新率</v>
      </c>
      <c r="R27" s="668" t="s">
        <v>14</v>
      </c>
      <c r="S27" s="669" t="e">
        <f t="shared" si="12"/>
        <v>#N/A</v>
      </c>
      <c r="T27" s="668" t="s">
        <v>14</v>
      </c>
      <c r="U27" s="669" t="e">
        <f t="shared" si="13"/>
        <v>#N/A</v>
      </c>
      <c r="V27" s="668" t="s">
        <v>14</v>
      </c>
      <c r="W27" s="669" t="e">
        <f t="shared" si="14"/>
        <v>#N/A</v>
      </c>
      <c r="X27" s="670"/>
      <c r="Y27" s="3467"/>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67"/>
      <c r="Q28" s="1261" t="str">
        <f t="shared" si="11"/>
        <v>物业等级</v>
      </c>
      <c r="R28" s="666" t="s">
        <v>14</v>
      </c>
      <c r="S28" s="667">
        <f t="shared" si="12"/>
        <v>100</v>
      </c>
      <c r="T28" s="666" t="s">
        <v>14</v>
      </c>
      <c r="U28" s="667">
        <f t="shared" si="13"/>
        <v>100</v>
      </c>
      <c r="V28" s="666" t="s">
        <v>14</v>
      </c>
      <c r="W28" s="667">
        <f t="shared" si="14"/>
        <v>100</v>
      </c>
      <c r="X28" s="1263"/>
      <c r="Y28" s="3467"/>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67"/>
      <c r="Q29" s="1261" t="str">
        <f t="shared" si="11"/>
        <v>有无电梯</v>
      </c>
      <c r="R29" s="666" t="s">
        <v>14</v>
      </c>
      <c r="S29" s="667">
        <f t="shared" si="12"/>
        <v>100</v>
      </c>
      <c r="T29" s="666" t="s">
        <v>14</v>
      </c>
      <c r="U29" s="667">
        <f t="shared" si="13"/>
        <v>100</v>
      </c>
      <c r="V29" s="666" t="s">
        <v>14</v>
      </c>
      <c r="W29" s="667">
        <f t="shared" si="14"/>
        <v>100</v>
      </c>
      <c r="X29" s="1263"/>
      <c r="Y29" s="3467"/>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67"/>
      <c r="Q30" s="1261" t="str">
        <f t="shared" si="11"/>
        <v>建筑面积</v>
      </c>
      <c r="R30" s="666" t="s">
        <v>14</v>
      </c>
      <c r="S30" s="667" t="e">
        <f t="shared" si="12"/>
        <v>#N/A</v>
      </c>
      <c r="T30" s="666" t="s">
        <v>14</v>
      </c>
      <c r="U30" s="667" t="e">
        <f t="shared" si="13"/>
        <v>#N/A</v>
      </c>
      <c r="V30" s="666" t="s">
        <v>14</v>
      </c>
      <c r="W30" s="667" t="e">
        <f t="shared" si="14"/>
        <v>#N/A</v>
      </c>
      <c r="X30" s="1263"/>
      <c r="Y30" s="3467"/>
      <c r="Z30" s="1262" t="str">
        <f t="shared" si="15"/>
        <v>建筑面积</v>
      </c>
      <c r="AA30" s="1262" t="e">
        <f t="shared" si="3"/>
        <v>#N/A</v>
      </c>
      <c r="AB30" s="1262" t="e">
        <f t="shared" si="4"/>
        <v>#N/A</v>
      </c>
      <c r="AC30" s="1262"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7"/>
      <c r="M31" s="2438"/>
      <c r="N31" s="2438"/>
      <c r="O31" s="2539"/>
      <c r="P31" s="3467"/>
      <c r="Q31" s="529" t="str">
        <f t="shared" si="11"/>
        <v>是否封闭</v>
      </c>
      <c r="R31" s="663" t="s">
        <v>14</v>
      </c>
      <c r="S31" s="664">
        <f t="shared" si="12"/>
        <v>100</v>
      </c>
      <c r="T31" s="663" t="s">
        <v>14</v>
      </c>
      <c r="U31" s="664">
        <f t="shared" si="13"/>
        <v>100</v>
      </c>
      <c r="V31" s="663" t="s">
        <v>14</v>
      </c>
      <c r="W31" s="664">
        <f t="shared" si="14"/>
        <v>100</v>
      </c>
      <c r="X31" s="665"/>
      <c r="Y31" s="346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67" t="s">
        <v>1696</v>
      </c>
      <c r="Q32" s="1261">
        <f t="shared" si="11"/>
        <v>111</v>
      </c>
      <c r="R32" s="666" t="s">
        <v>14</v>
      </c>
      <c r="S32" s="667">
        <f t="shared" si="12"/>
        <v>100</v>
      </c>
      <c r="T32" s="666" t="s">
        <v>14</v>
      </c>
      <c r="U32" s="667">
        <f t="shared" si="13"/>
        <v>100</v>
      </c>
      <c r="V32" s="666" t="s">
        <v>14</v>
      </c>
      <c r="W32" s="667">
        <f t="shared" si="14"/>
        <v>100</v>
      </c>
      <c r="X32" s="1263"/>
      <c r="Y32" s="3467"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67"/>
      <c r="Q33" s="1261">
        <f t="shared" si="11"/>
        <v>111</v>
      </c>
      <c r="R33" s="666" t="s">
        <v>14</v>
      </c>
      <c r="S33" s="667">
        <f t="shared" si="12"/>
        <v>100</v>
      </c>
      <c r="T33" s="666" t="s">
        <v>14</v>
      </c>
      <c r="U33" s="667">
        <f t="shared" si="13"/>
        <v>100</v>
      </c>
      <c r="V33" s="666" t="s">
        <v>14</v>
      </c>
      <c r="W33" s="667">
        <f t="shared" si="14"/>
        <v>100</v>
      </c>
      <c r="X33" s="1263"/>
      <c r="Y33" s="3467"/>
      <c r="Z33" s="1262">
        <f t="shared" si="15"/>
        <v>111</v>
      </c>
      <c r="AA33" s="1262">
        <f t="shared" si="3"/>
        <v>1</v>
      </c>
      <c r="AB33" s="1262">
        <f t="shared" si="4"/>
        <v>1</v>
      </c>
      <c r="AC33" s="1262">
        <f t="shared" si="5"/>
        <v>1</v>
      </c>
    </row>
    <row r="34" spans="1:30" ht="15.6"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91"/>
      <c r="M34" s="2486"/>
      <c r="N34" s="2486"/>
      <c r="O34" s="2541"/>
      <c r="P34" s="3467"/>
      <c r="Q34" s="1261">
        <f t="shared" si="11"/>
        <v>111</v>
      </c>
      <c r="R34" s="666" t="s">
        <v>14</v>
      </c>
      <c r="S34" s="667">
        <f t="shared" si="12"/>
        <v>100</v>
      </c>
      <c r="T34" s="666" t="s">
        <v>14</v>
      </c>
      <c r="U34" s="667">
        <f t="shared" si="13"/>
        <v>100</v>
      </c>
      <c r="V34" s="666" t="s">
        <v>14</v>
      </c>
      <c r="W34" s="667">
        <f t="shared" si="14"/>
        <v>100</v>
      </c>
      <c r="X34" s="1263"/>
      <c r="Y34" s="3467"/>
      <c r="Z34" s="1262">
        <f t="shared" si="15"/>
        <v>111</v>
      </c>
      <c r="AA34" s="1262">
        <f t="shared" si="3"/>
        <v>1</v>
      </c>
      <c r="AB34" s="1262">
        <f t="shared" si="4"/>
        <v>1</v>
      </c>
      <c r="AC34" s="1262">
        <f t="shared" si="5"/>
        <v>1</v>
      </c>
    </row>
    <row r="35" spans="1:30" ht="14.4">
      <c r="A35" s="415" t="s">
        <v>1708</v>
      </c>
      <c r="B35" s="416"/>
      <c r="C35" s="1079" t="s">
        <v>0</v>
      </c>
      <c r="D35" s="417"/>
      <c r="E35" s="418"/>
      <c r="F35" s="419"/>
      <c r="G35" s="420"/>
      <c r="H35" s="421"/>
      <c r="I35" s="418"/>
      <c r="J35" s="421"/>
      <c r="K35" s="673"/>
      <c r="L35" s="2493"/>
      <c r="M35" s="2486"/>
      <c r="N35" s="2486"/>
      <c r="O35" s="2486"/>
      <c r="P35" s="3461" t="str">
        <f>A35</f>
        <v>成交单价（元/平方米）</v>
      </c>
      <c r="Q35" s="3461"/>
      <c r="R35" s="3456">
        <f>E35</f>
        <v>0</v>
      </c>
      <c r="S35" s="3456"/>
      <c r="T35" s="3456">
        <f>G35</f>
        <v>0</v>
      </c>
      <c r="U35" s="3456"/>
      <c r="V35" s="3456">
        <f>I35</f>
        <v>0</v>
      </c>
      <c r="W35" s="3456"/>
      <c r="X35" s="384"/>
      <c r="Y35" s="672"/>
      <c r="Z35" s="384"/>
      <c r="AA35" s="384"/>
      <c r="AB35" s="384"/>
      <c r="AC35" s="384"/>
    </row>
    <row r="36" spans="1:30" ht="15" thickBot="1">
      <c r="A36" s="422" t="s">
        <v>1793</v>
      </c>
      <c r="B36" s="423"/>
      <c r="C36" s="1080" t="e">
        <f>R37</f>
        <v>#DIV/0!</v>
      </c>
      <c r="D36" s="2139" t="s">
        <v>2138</v>
      </c>
      <c r="E36" s="1081" t="e">
        <f>R36</f>
        <v>#DIV/0!</v>
      </c>
      <c r="F36" s="2140"/>
      <c r="G36" s="1080" t="e">
        <f>T36</f>
        <v>#DIV/0!</v>
      </c>
      <c r="H36" s="2140"/>
      <c r="I36" s="1081" t="e">
        <f>V36</f>
        <v>#DIV/0!</v>
      </c>
      <c r="J36" s="2140"/>
      <c r="K36" s="2142">
        <f>F36+H36+J36</f>
        <v>0</v>
      </c>
      <c r="L36" s="2493"/>
      <c r="M36" s="2486"/>
      <c r="N36" s="2486"/>
      <c r="O36" s="2486"/>
      <c r="P36" s="3461" t="str">
        <f>A36</f>
        <v>比较价值（元/平方米）</v>
      </c>
      <c r="Q36" s="3461"/>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3"/>
      <c r="M37" s="2486"/>
      <c r="N37" s="2486"/>
      <c r="O37" s="2486"/>
      <c r="P37" s="3458" t="str">
        <f>A37</f>
        <v>估价对象XX用房的比较价值（楼面单价，元/平方米）</v>
      </c>
      <c r="Q37" s="3459"/>
      <c r="R37" s="3487" t="e">
        <f>IF(F1="售价",ROUND(IF(D36="简单平均",AVERAGE(R36:W36),R36*F36+T36*H36+V36*J36),0),ROUND(IF(D36="简单平均",AVERAGE(R36:V36),R36*F36+T36*H36+V36*J36),1))</f>
        <v>#DIV/0!</v>
      </c>
      <c r="S37" s="3487"/>
      <c r="T37" s="3487"/>
      <c r="U37" s="3487"/>
      <c r="V37" s="3487"/>
      <c r="W37" s="3487"/>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4.4">
      <c r="A46" s="439" t="s">
        <v>1679</v>
      </c>
      <c r="B46" s="440"/>
      <c r="C46" s="1101" t="str">
        <f>YEAR(C7)&amp;"-"&amp;MONTH(C7)</f>
        <v>2024-11</v>
      </c>
      <c r="D46" s="1102">
        <f>EDATE(C46,-1)</f>
        <v>45566</v>
      </c>
      <c r="E46" s="1102">
        <f t="shared" ref="E46:O46" si="16">EDATE(D46,-1)</f>
        <v>45536</v>
      </c>
      <c r="F46" s="1102">
        <f t="shared" si="16"/>
        <v>45505</v>
      </c>
      <c r="G46" s="1102">
        <f t="shared" si="16"/>
        <v>45474</v>
      </c>
      <c r="H46" s="1102">
        <f t="shared" si="16"/>
        <v>45444</v>
      </c>
      <c r="I46" s="1102">
        <f t="shared" si="16"/>
        <v>45413</v>
      </c>
      <c r="J46" s="1102">
        <f t="shared" si="16"/>
        <v>45383</v>
      </c>
      <c r="K46" s="1102">
        <f t="shared" si="16"/>
        <v>45352</v>
      </c>
      <c r="L46" s="1102">
        <f t="shared" si="16"/>
        <v>45323</v>
      </c>
      <c r="M46" s="1102">
        <f t="shared" si="16"/>
        <v>45292</v>
      </c>
      <c r="N46" s="1102">
        <f t="shared" si="16"/>
        <v>45261</v>
      </c>
      <c r="O46" s="1102">
        <f t="shared" si="16"/>
        <v>45231</v>
      </c>
      <c r="P46" s="2509"/>
      <c r="Q46" s="2509"/>
      <c r="R46" s="2509"/>
      <c r="S46" s="2509"/>
      <c r="T46" s="2509"/>
      <c r="U46" s="2509"/>
      <c r="V46" s="2509"/>
      <c r="W46" s="2509"/>
      <c r="X46" s="2509"/>
      <c r="Y46" s="2509"/>
      <c r="Z46" s="2509"/>
      <c r="AA46" s="2509"/>
      <c r="AB46" s="2509"/>
      <c r="AC46" s="2509"/>
      <c r="AD46" s="2509"/>
    </row>
    <row r="47" spans="1:30" s="102" customFormat="1">
      <c r="A47" s="442"/>
      <c r="B47" s="443"/>
      <c r="C47" s="1100">
        <v>100</v>
      </c>
      <c r="D47" s="445"/>
      <c r="E47" s="445"/>
      <c r="F47" s="445"/>
      <c r="G47" s="445"/>
      <c r="H47" s="445"/>
      <c r="I47" s="445"/>
      <c r="J47" s="445"/>
      <c r="K47" s="445"/>
      <c r="L47" s="445"/>
      <c r="M47" s="446"/>
      <c r="N47" s="445"/>
      <c r="O47" s="447"/>
      <c r="P47" s="2507"/>
      <c r="Q47" s="2438"/>
      <c r="R47" s="2438"/>
      <c r="S47" s="2438"/>
      <c r="T47" s="2438"/>
      <c r="U47" s="2438"/>
      <c r="V47" s="2438"/>
      <c r="W47" s="2438"/>
      <c r="X47" s="2438"/>
      <c r="Y47" s="2438"/>
      <c r="Z47" s="2438"/>
      <c r="AA47" s="2438"/>
      <c r="AB47" s="2438"/>
      <c r="AC47" s="2438"/>
      <c r="AD47" s="2438"/>
    </row>
    <row r="48" spans="1:30" s="102" customFormat="1" ht="15" thickBot="1">
      <c r="A48" s="448" t="s">
        <v>1716</v>
      </c>
      <c r="B48" s="449"/>
      <c r="C48" s="450"/>
      <c r="D48" s="451"/>
      <c r="E48" s="451"/>
      <c r="F48" s="451"/>
      <c r="G48" s="451"/>
      <c r="H48" s="451"/>
      <c r="I48" s="451"/>
      <c r="J48" s="451"/>
      <c r="K48" s="451"/>
      <c r="L48" s="451"/>
      <c r="M48" s="452"/>
      <c r="N48" s="451"/>
      <c r="O48" s="453"/>
      <c r="P48" s="2507"/>
      <c r="Q48" s="2507"/>
      <c r="R48" s="2438"/>
      <c r="S48" s="2438"/>
      <c r="T48" s="2438"/>
      <c r="U48" s="2438"/>
      <c r="V48" s="2438"/>
      <c r="W48" s="2438"/>
      <c r="X48" s="2438"/>
      <c r="Y48" s="2438"/>
      <c r="Z48" s="2438"/>
      <c r="AA48" s="2438"/>
      <c r="AB48" s="2438"/>
      <c r="AC48" s="2438"/>
      <c r="AD48" s="2438"/>
    </row>
    <row r="49" spans="1:30" s="102" customFormat="1" ht="14.4">
      <c r="A49" s="454" t="s">
        <v>1681</v>
      </c>
      <c r="B49" s="443"/>
      <c r="C49" s="455" t="s">
        <v>1776</v>
      </c>
      <c r="D49" s="31"/>
      <c r="E49" s="31"/>
      <c r="F49" s="31"/>
      <c r="G49" s="31"/>
      <c r="H49" s="31"/>
      <c r="I49" s="31"/>
      <c r="J49" s="31"/>
      <c r="K49" s="31"/>
      <c r="L49" s="456"/>
      <c r="M49" s="457"/>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4"/>
      <c r="B50" s="443"/>
      <c r="C50" s="562">
        <v>100</v>
      </c>
      <c r="D50" s="445"/>
      <c r="E50" s="445"/>
      <c r="F50" s="445"/>
      <c r="G50" s="445"/>
      <c r="H50" s="445"/>
      <c r="I50" s="445"/>
      <c r="J50" s="445"/>
      <c r="K50" s="445"/>
      <c r="L50" s="445"/>
      <c r="M50" s="447"/>
      <c r="N50" s="2519"/>
      <c r="O50" s="2519"/>
      <c r="P50" s="2507"/>
      <c r="Q50" s="2507"/>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4"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9.4"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4"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4"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4"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4"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4"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4"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4"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9.4"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4"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69"/>
      <c r="B71" s="468">
        <f>B23</f>
        <v>111</v>
      </c>
      <c r="C71" s="479"/>
      <c r="D71" s="479"/>
      <c r="E71" s="479"/>
      <c r="F71" s="479"/>
      <c r="G71" s="484"/>
      <c r="H71" s="484"/>
      <c r="I71" s="484"/>
      <c r="J71" s="484"/>
      <c r="K71" s="484"/>
      <c r="L71" s="509"/>
      <c r="M71" s="510"/>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69"/>
      <c r="B72" s="473"/>
      <c r="C72" s="490"/>
      <c r="D72" s="466"/>
      <c r="E72" s="466"/>
      <c r="F72" s="466"/>
      <c r="G72" s="466"/>
      <c r="H72" s="466"/>
      <c r="I72" s="466"/>
      <c r="J72" s="466"/>
      <c r="K72" s="466"/>
      <c r="L72" s="466"/>
      <c r="M72" s="467"/>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69"/>
      <c r="B73" s="468">
        <f>B24</f>
        <v>111</v>
      </c>
      <c r="C73" s="479"/>
      <c r="D73" s="479"/>
      <c r="E73" s="479"/>
      <c r="F73" s="479"/>
      <c r="G73" s="484"/>
      <c r="H73" s="484"/>
      <c r="I73" s="484"/>
      <c r="J73" s="484"/>
      <c r="K73" s="484"/>
      <c r="L73" s="484"/>
      <c r="M73" s="510"/>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69"/>
      <c r="B74" s="473"/>
      <c r="C74" s="490"/>
      <c r="D74" s="466"/>
      <c r="E74" s="466"/>
      <c r="F74" s="466"/>
      <c r="G74" s="466"/>
      <c r="H74" s="466"/>
      <c r="I74" s="466"/>
      <c r="J74" s="466"/>
      <c r="K74" s="466"/>
      <c r="L74" s="466"/>
      <c r="M74" s="467"/>
      <c r="N74" s="2521"/>
      <c r="O74" s="2521"/>
      <c r="P74" s="2519"/>
      <c r="Q74" s="2507"/>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4"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4"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4"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4"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4"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4"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4"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4"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4"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44" t="s">
        <v>1770</v>
      </c>
      <c r="D4" s="3445"/>
      <c r="E4" s="3446" t="s">
        <v>1771</v>
      </c>
      <c r="F4" s="3447"/>
      <c r="G4" s="3444" t="s">
        <v>1772</v>
      </c>
      <c r="H4" s="3445"/>
      <c r="I4" s="3444" t="s">
        <v>1773</v>
      </c>
      <c r="J4" s="3445"/>
      <c r="K4" s="536" t="s">
        <v>1774</v>
      </c>
      <c r="L4" s="2485"/>
      <c r="M4" s="2486"/>
      <c r="N4" s="2486"/>
      <c r="O4" s="2486"/>
      <c r="P4" s="3448" t="s">
        <v>1775</v>
      </c>
      <c r="Q4" s="3449"/>
      <c r="R4" s="3431" t="s">
        <v>1771</v>
      </c>
      <c r="S4" s="3432"/>
      <c r="T4" s="3431" t="s">
        <v>1772</v>
      </c>
      <c r="U4" s="3432"/>
      <c r="V4" s="3456" t="s">
        <v>1773</v>
      </c>
      <c r="W4" s="3456"/>
      <c r="X4" s="1263"/>
      <c r="Y4" s="3431" t="s">
        <v>1775</v>
      </c>
      <c r="Z4" s="3432"/>
      <c r="AA4" s="3426" t="s">
        <v>1771</v>
      </c>
      <c r="AB4" s="3427" t="s">
        <v>1772</v>
      </c>
      <c r="AC4" s="3426" t="s">
        <v>1773</v>
      </c>
    </row>
    <row r="5" spans="1:29">
      <c r="A5" s="347"/>
      <c r="B5" s="348"/>
      <c r="C5" s="3437" t="s">
        <v>1673</v>
      </c>
      <c r="D5" s="3438"/>
      <c r="E5" s="3435" t="s">
        <v>1674</v>
      </c>
      <c r="F5" s="3436"/>
      <c r="G5" s="3437" t="s">
        <v>1675</v>
      </c>
      <c r="H5" s="3438"/>
      <c r="I5" s="3437" t="s">
        <v>1676</v>
      </c>
      <c r="J5" s="3438"/>
      <c r="K5" s="536"/>
      <c r="L5" s="2485"/>
      <c r="M5" s="2486"/>
      <c r="N5" s="2486"/>
      <c r="O5" s="2486"/>
      <c r="P5" s="3450"/>
      <c r="Q5" s="3451"/>
      <c r="R5" s="3433"/>
      <c r="S5" s="3434"/>
      <c r="T5" s="3433"/>
      <c r="U5" s="3434"/>
      <c r="V5" s="3456"/>
      <c r="W5" s="3456"/>
      <c r="X5" s="1263"/>
      <c r="Y5" s="3433"/>
      <c r="Z5" s="3434"/>
      <c r="AA5" s="3427"/>
      <c r="AB5" s="3427"/>
      <c r="AC5" s="3427"/>
    </row>
    <row r="6" spans="1:29" ht="15" thickBot="1">
      <c r="A6" s="349"/>
      <c r="B6" s="350"/>
      <c r="C6" s="3439" t="s">
        <v>1677</v>
      </c>
      <c r="D6" s="3440"/>
      <c r="E6" s="3441" t="s">
        <v>1677</v>
      </c>
      <c r="F6" s="3442"/>
      <c r="G6" s="3439" t="s">
        <v>1677</v>
      </c>
      <c r="H6" s="3440"/>
      <c r="I6" s="3439" t="s">
        <v>1677</v>
      </c>
      <c r="J6" s="3440"/>
      <c r="K6" s="536" t="s">
        <v>1678</v>
      </c>
      <c r="L6" s="2485"/>
      <c r="M6" s="2486"/>
      <c r="N6" s="2486"/>
      <c r="O6" s="2486"/>
      <c r="P6" s="3452"/>
      <c r="Q6" s="3453"/>
      <c r="R6" s="3433"/>
      <c r="S6" s="3434"/>
      <c r="T6" s="3454"/>
      <c r="U6" s="3455"/>
      <c r="V6" s="3456"/>
      <c r="W6" s="3456"/>
      <c r="X6" s="1263"/>
      <c r="Y6" s="3454"/>
      <c r="Z6" s="3455"/>
      <c r="AA6" s="3428"/>
      <c r="AB6" s="3428"/>
      <c r="AC6" s="3428"/>
    </row>
    <row r="7" spans="1:29" s="102" customFormat="1" ht="15" thickBot="1">
      <c r="A7" s="351" t="s">
        <v>1679</v>
      </c>
      <c r="B7" s="352"/>
      <c r="C7" s="353">
        <f>'数据-取费表'!B2</f>
        <v>45607</v>
      </c>
      <c r="D7" s="354">
        <v>100</v>
      </c>
      <c r="E7" s="355"/>
      <c r="F7" s="356">
        <f>SUMIF(69:69,YEAR(E7)&amp;"-"&amp;INT((MONTH(E7)+2)/3),70:70)</f>
        <v>0</v>
      </c>
      <c r="G7" s="1820"/>
      <c r="H7" s="354">
        <f>SUMIF(69:69,YEAR(G7)&amp;"-"&amp;INT((MONTH(G7)+2)/3),70:70)</f>
        <v>0</v>
      </c>
      <c r="I7" s="1820"/>
      <c r="J7" s="354">
        <f>SUMIF(69:69,YEAR(I7)&amp;"-"&amp;INT((MONTH(I7)+2)/3),70:70)</f>
        <v>0</v>
      </c>
      <c r="K7" s="38"/>
      <c r="L7" s="2487"/>
      <c r="M7" s="2438"/>
      <c r="N7" s="2438"/>
      <c r="O7" s="2438"/>
      <c r="P7" s="3429" t="s">
        <v>1680</v>
      </c>
      <c r="Q7" s="3457"/>
      <c r="R7" s="663" t="s">
        <v>14</v>
      </c>
      <c r="S7" s="664">
        <f t="shared" ref="S7:S15" si="0">F7</f>
        <v>0</v>
      </c>
      <c r="T7" s="663" t="s">
        <v>14</v>
      </c>
      <c r="U7" s="664">
        <f t="shared" ref="U7:U15" si="1">H7</f>
        <v>0</v>
      </c>
      <c r="V7" s="663" t="s">
        <v>14</v>
      </c>
      <c r="W7" s="664">
        <f t="shared" ref="W7:W15" si="2">J7</f>
        <v>0</v>
      </c>
      <c r="X7" s="665"/>
      <c r="Y7" s="3429" t="s">
        <v>1680</v>
      </c>
      <c r="Z7" s="3430"/>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7"/>
      <c r="M8" s="2438"/>
      <c r="N8" s="2438"/>
      <c r="O8" s="2438"/>
      <c r="P8" s="3429" t="s">
        <v>1683</v>
      </c>
      <c r="Q8" s="3430"/>
      <c r="R8" s="663" t="s">
        <v>14</v>
      </c>
      <c r="S8" s="664">
        <f t="shared" si="0"/>
        <v>0</v>
      </c>
      <c r="T8" s="663" t="s">
        <v>14</v>
      </c>
      <c r="U8" s="664">
        <f t="shared" si="1"/>
        <v>0</v>
      </c>
      <c r="V8" s="663" t="s">
        <v>14</v>
      </c>
      <c r="W8" s="664">
        <f t="shared" si="2"/>
        <v>0</v>
      </c>
      <c r="X8" s="665"/>
      <c r="Y8" s="3429" t="s">
        <v>1683</v>
      </c>
      <c r="Z8" s="3430"/>
      <c r="AA8" s="50" t="e">
        <f t="shared" ref="AA8:AA45" si="3">D8/F8</f>
        <v>#DIV/0!</v>
      </c>
      <c r="AB8" s="50" t="e">
        <f t="shared" ref="AB8:AB45" si="4">D8/H8</f>
        <v>#DIV/0!</v>
      </c>
      <c r="AC8" s="50" t="e">
        <f t="shared" ref="AC8:AC45" si="5">D8/J8</f>
        <v>#DIV/0!</v>
      </c>
    </row>
    <row r="9" spans="1:29" s="102" customFormat="1" ht="14.4">
      <c r="A9" s="358"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61" t="s">
        <v>1686</v>
      </c>
      <c r="Q9" s="529" t="str">
        <f t="shared" ref="Q9:Q15" si="6">B9</f>
        <v>用途</v>
      </c>
      <c r="R9" s="663" t="s">
        <v>14</v>
      </c>
      <c r="S9" s="664">
        <f t="shared" si="0"/>
        <v>100</v>
      </c>
      <c r="T9" s="663" t="s">
        <v>14</v>
      </c>
      <c r="U9" s="664">
        <f t="shared" si="1"/>
        <v>100</v>
      </c>
      <c r="V9" s="663" t="s">
        <v>14</v>
      </c>
      <c r="W9" s="664">
        <f t="shared" si="2"/>
        <v>100</v>
      </c>
      <c r="X9" s="665"/>
      <c r="Y9" s="3363"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105</v>
      </c>
      <c r="G10" s="401"/>
      <c r="H10" s="119">
        <f>ROUND(100/'数据-取费表'!G16,0)</f>
        <v>105</v>
      </c>
      <c r="I10" s="401"/>
      <c r="J10" s="119">
        <f>ROUND(100/'数据-取费表'!G16,0)</f>
        <v>105</v>
      </c>
      <c r="K10" s="591"/>
      <c r="L10" s="2488"/>
      <c r="M10" s="2489"/>
      <c r="N10" s="2489"/>
      <c r="O10" s="2540"/>
      <c r="P10" s="3461"/>
      <c r="Q10" s="529" t="str">
        <f t="shared" si="6"/>
        <v>土地使用年限（年）</v>
      </c>
      <c r="R10" s="663" t="s">
        <v>14</v>
      </c>
      <c r="S10" s="664">
        <f t="shared" si="0"/>
        <v>105</v>
      </c>
      <c r="T10" s="663" t="s">
        <v>14</v>
      </c>
      <c r="U10" s="664">
        <f t="shared" si="1"/>
        <v>105</v>
      </c>
      <c r="V10" s="663" t="s">
        <v>14</v>
      </c>
      <c r="W10" s="664">
        <f t="shared" si="2"/>
        <v>105</v>
      </c>
      <c r="X10" s="665"/>
      <c r="Y10" s="3363"/>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9">
        <v>100</v>
      </c>
      <c r="E11" s="367"/>
      <c r="F11" s="119" t="e">
        <f>LOOKUP(E11,79:79,80:80)-LOOKUP(C11,79:79,80:80)+100</f>
        <v>#N/A</v>
      </c>
      <c r="G11" s="368"/>
      <c r="H11" s="119" t="e">
        <f>LOOKUP(G11,79:79,80:80)-LOOKUP(C11,79:79,80:80)+100</f>
        <v>#N/A</v>
      </c>
      <c r="I11" s="367"/>
      <c r="J11" s="119" t="e">
        <f>LOOKUP(I11,79:79,80:80)-LOOKUP(C11,79:79,80:80)+100</f>
        <v>#N/A</v>
      </c>
      <c r="K11" s="592"/>
      <c r="L11" s="2490"/>
      <c r="M11" s="2486"/>
      <c r="N11" s="2486"/>
      <c r="O11" s="2541"/>
      <c r="P11" s="3461"/>
      <c r="Q11" s="529" t="str">
        <f t="shared" si="6"/>
        <v>容积率</v>
      </c>
      <c r="R11" s="663" t="s">
        <v>14</v>
      </c>
      <c r="S11" s="664" t="e">
        <f t="shared" si="0"/>
        <v>#N/A</v>
      </c>
      <c r="T11" s="663" t="s">
        <v>14</v>
      </c>
      <c r="U11" s="664" t="e">
        <f t="shared" si="1"/>
        <v>#N/A</v>
      </c>
      <c r="V11" s="663" t="s">
        <v>14</v>
      </c>
      <c r="W11" s="664" t="e">
        <f t="shared" si="2"/>
        <v>#N/A</v>
      </c>
      <c r="X11" s="665"/>
      <c r="Y11" s="3363"/>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7"/>
      <c r="M12" s="2438"/>
      <c r="N12" s="2438"/>
      <c r="O12" s="2539"/>
      <c r="P12" s="3461"/>
      <c r="Q12" s="529" t="str">
        <f t="shared" si="6"/>
        <v>配建</v>
      </c>
      <c r="R12" s="663" t="s">
        <v>14</v>
      </c>
      <c r="S12" s="664">
        <f t="shared" si="0"/>
        <v>100</v>
      </c>
      <c r="T12" s="663" t="s">
        <v>14</v>
      </c>
      <c r="U12" s="664">
        <f t="shared" si="1"/>
        <v>100</v>
      </c>
      <c r="V12" s="663" t="s">
        <v>14</v>
      </c>
      <c r="W12" s="664">
        <f t="shared" si="2"/>
        <v>100</v>
      </c>
      <c r="X12" s="665"/>
      <c r="Y12" s="3363"/>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91"/>
      <c r="M13" s="2486"/>
      <c r="N13" s="2486"/>
      <c r="O13" s="2541"/>
      <c r="P13" s="3461"/>
      <c r="Q13" s="529">
        <f t="shared" si="6"/>
        <v>111</v>
      </c>
      <c r="R13" s="663" t="s">
        <v>14</v>
      </c>
      <c r="S13" s="664">
        <f t="shared" si="0"/>
        <v>100</v>
      </c>
      <c r="T13" s="663" t="s">
        <v>14</v>
      </c>
      <c r="U13" s="664">
        <f t="shared" si="1"/>
        <v>100</v>
      </c>
      <c r="V13" s="663" t="s">
        <v>14</v>
      </c>
      <c r="W13" s="664">
        <f t="shared" si="2"/>
        <v>100</v>
      </c>
      <c r="X13" s="665"/>
      <c r="Y13" s="3363"/>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61"/>
      <c r="Q14" s="529">
        <f t="shared" si="6"/>
        <v>111</v>
      </c>
      <c r="R14" s="663" t="s">
        <v>14</v>
      </c>
      <c r="S14" s="664">
        <f t="shared" si="0"/>
        <v>100</v>
      </c>
      <c r="T14" s="663" t="s">
        <v>14</v>
      </c>
      <c r="U14" s="664">
        <f t="shared" si="1"/>
        <v>100</v>
      </c>
      <c r="V14" s="663" t="s">
        <v>14</v>
      </c>
      <c r="W14" s="664">
        <f t="shared" si="2"/>
        <v>100</v>
      </c>
      <c r="X14" s="665"/>
      <c r="Y14" s="3363"/>
      <c r="Z14" s="50">
        <f t="shared" si="7"/>
        <v>111</v>
      </c>
      <c r="AA14" s="50">
        <f>D14/F14</f>
        <v>1</v>
      </c>
      <c r="AB14" s="50">
        <f>D14/H14</f>
        <v>1</v>
      </c>
      <c r="AC14" s="50">
        <f>D14/J14</f>
        <v>1</v>
      </c>
    </row>
    <row r="15" spans="1:29" ht="96.6">
      <c r="A15" s="378" t="s">
        <v>1690</v>
      </c>
      <c r="B15" s="58" t="s">
        <v>1257</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62" t="s">
        <v>1691</v>
      </c>
      <c r="Q15" s="1261" t="str">
        <f t="shared" si="6"/>
        <v>居住社区成熟度</v>
      </c>
      <c r="R15" s="666" t="s">
        <v>14</v>
      </c>
      <c r="S15" s="667">
        <f t="shared" si="0"/>
        <v>100</v>
      </c>
      <c r="T15" s="666" t="s">
        <v>14</v>
      </c>
      <c r="U15" s="667">
        <f t="shared" si="1"/>
        <v>100</v>
      </c>
      <c r="V15" s="666" t="s">
        <v>14</v>
      </c>
      <c r="W15" s="667">
        <f t="shared" si="2"/>
        <v>100</v>
      </c>
      <c r="X15" s="1263"/>
      <c r="Y15" s="3462"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1"/>
      <c r="M16" s="2486"/>
      <c r="N16" s="2486"/>
      <c r="O16" s="2541"/>
      <c r="P16" s="3463"/>
      <c r="Q16" s="1261"/>
      <c r="R16" s="666"/>
      <c r="S16" s="667"/>
      <c r="T16" s="666"/>
      <c r="U16" s="667"/>
      <c r="V16" s="666"/>
      <c r="W16" s="667"/>
      <c r="X16" s="1263"/>
      <c r="Y16" s="3463"/>
      <c r="Z16" s="1262"/>
      <c r="AA16" s="1262">
        <v>1</v>
      </c>
      <c r="AB16" s="1262">
        <v>1</v>
      </c>
      <c r="AC16" s="1262">
        <v>1</v>
      </c>
    </row>
    <row r="17" spans="1:29" ht="82.8">
      <c r="A17" s="366"/>
      <c r="B17" s="389" t="s">
        <v>1777</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63"/>
      <c r="Q17" s="1261" t="str">
        <f>B17</f>
        <v>商业繁华度</v>
      </c>
      <c r="R17" s="666" t="s">
        <v>14</v>
      </c>
      <c r="S17" s="667">
        <f>F17</f>
        <v>100</v>
      </c>
      <c r="T17" s="666" t="s">
        <v>14</v>
      </c>
      <c r="U17" s="667">
        <f>H17</f>
        <v>100</v>
      </c>
      <c r="V17" s="666" t="s">
        <v>14</v>
      </c>
      <c r="W17" s="667">
        <f>J17</f>
        <v>100</v>
      </c>
      <c r="X17" s="1263"/>
      <c r="Y17" s="3463"/>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1"/>
      <c r="M18" s="2486"/>
      <c r="N18" s="2486"/>
      <c r="O18" s="2541"/>
      <c r="P18" s="3463"/>
      <c r="Q18" s="1261"/>
      <c r="R18" s="666"/>
      <c r="S18" s="667"/>
      <c r="T18" s="666"/>
      <c r="U18" s="667"/>
      <c r="V18" s="666"/>
      <c r="W18" s="667"/>
      <c r="X18" s="1263"/>
      <c r="Y18" s="3463"/>
      <c r="Z18" s="1262"/>
      <c r="AA18" s="1262">
        <v>1</v>
      </c>
      <c r="AB18" s="1262">
        <v>1</v>
      </c>
      <c r="AC18" s="1262">
        <v>1</v>
      </c>
    </row>
    <row r="19" spans="1:29" ht="82.8">
      <c r="A19" s="366"/>
      <c r="B19" s="389" t="s">
        <v>1811</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63"/>
      <c r="Q19" s="1261" t="str">
        <f>B19</f>
        <v>办公集聚程度</v>
      </c>
      <c r="R19" s="666" t="s">
        <v>14</v>
      </c>
      <c r="S19" s="667">
        <f>F19</f>
        <v>100</v>
      </c>
      <c r="T19" s="666" t="s">
        <v>14</v>
      </c>
      <c r="U19" s="667">
        <f>H19</f>
        <v>100</v>
      </c>
      <c r="V19" s="666" t="s">
        <v>14</v>
      </c>
      <c r="W19" s="667">
        <f>J19</f>
        <v>100</v>
      </c>
      <c r="X19" s="1263"/>
      <c r="Y19" s="3463"/>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1"/>
      <c r="M20" s="2486"/>
      <c r="N20" s="2486"/>
      <c r="O20" s="2541"/>
      <c r="P20" s="3463"/>
      <c r="Q20" s="1261"/>
      <c r="R20" s="666"/>
      <c r="S20" s="667"/>
      <c r="T20" s="666"/>
      <c r="U20" s="667"/>
      <c r="V20" s="666"/>
      <c r="W20" s="667"/>
      <c r="X20" s="1263"/>
      <c r="Y20" s="3463"/>
      <c r="Z20" s="1262"/>
      <c r="AA20" s="1262">
        <v>1</v>
      </c>
      <c r="AB20" s="1262">
        <v>1</v>
      </c>
      <c r="AC20" s="1262">
        <v>1</v>
      </c>
    </row>
    <row r="21" spans="1:29" ht="96.6">
      <c r="A21" s="366"/>
      <c r="B21" s="389" t="s">
        <v>1833</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63"/>
      <c r="Q21" s="1261" t="str">
        <f>B21</f>
        <v>交通便捷度</v>
      </c>
      <c r="R21" s="666" t="s">
        <v>14</v>
      </c>
      <c r="S21" s="667">
        <f>F21</f>
        <v>100</v>
      </c>
      <c r="T21" s="666" t="s">
        <v>14</v>
      </c>
      <c r="U21" s="667">
        <f>H21</f>
        <v>100</v>
      </c>
      <c r="V21" s="666" t="s">
        <v>14</v>
      </c>
      <c r="W21" s="667">
        <f>J21</f>
        <v>100</v>
      </c>
      <c r="X21" s="1263"/>
      <c r="Y21" s="3463"/>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1"/>
      <c r="M22" s="2486"/>
      <c r="N22" s="2486"/>
      <c r="O22" s="2541"/>
      <c r="P22" s="3463"/>
      <c r="Q22" s="1261"/>
      <c r="R22" s="666"/>
      <c r="S22" s="667"/>
      <c r="T22" s="666"/>
      <c r="U22" s="667"/>
      <c r="V22" s="666"/>
      <c r="W22" s="667"/>
      <c r="X22" s="1263"/>
      <c r="Y22" s="3463"/>
      <c r="Z22" s="1262"/>
      <c r="AA22" s="1262">
        <v>1</v>
      </c>
      <c r="AB22" s="1262">
        <v>1</v>
      </c>
      <c r="AC22" s="1262">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63"/>
      <c r="Q23" s="1261" t="str">
        <f t="shared" ref="Q23:Q37" si="8">B23</f>
        <v>区域土地利用方向</v>
      </c>
      <c r="R23" s="666" t="s">
        <v>14</v>
      </c>
      <c r="S23" s="667">
        <f>F23</f>
        <v>100</v>
      </c>
      <c r="T23" s="666" t="s">
        <v>14</v>
      </c>
      <c r="U23" s="667">
        <f>H23</f>
        <v>100</v>
      </c>
      <c r="V23" s="666" t="s">
        <v>14</v>
      </c>
      <c r="W23" s="667">
        <f>J23</f>
        <v>100</v>
      </c>
      <c r="X23" s="1263"/>
      <c r="Y23" s="3463"/>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1"/>
      <c r="M24" s="2486"/>
      <c r="N24" s="2486"/>
      <c r="O24" s="2541"/>
      <c r="P24" s="3463"/>
      <c r="Q24" s="1261"/>
      <c r="R24" s="666"/>
      <c r="S24" s="667"/>
      <c r="T24" s="666"/>
      <c r="U24" s="667"/>
      <c r="V24" s="666"/>
      <c r="W24" s="667"/>
      <c r="X24" s="1263"/>
      <c r="Y24" s="3463"/>
      <c r="Z24" s="1262"/>
      <c r="AA24" s="1262"/>
      <c r="AB24" s="1262"/>
      <c r="AC24" s="1262"/>
    </row>
    <row r="25" spans="1:29" ht="55.2">
      <c r="A25" s="347"/>
      <c r="B25" s="585" t="s">
        <v>1872</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63"/>
      <c r="Q25" s="1261" t="str">
        <f t="shared" si="8"/>
        <v>自然及人文环境状况</v>
      </c>
      <c r="R25" s="666" t="s">
        <v>14</v>
      </c>
      <c r="S25" s="667">
        <f>F25</f>
        <v>100</v>
      </c>
      <c r="T25" s="666" t="s">
        <v>14</v>
      </c>
      <c r="U25" s="667">
        <f>H25</f>
        <v>100</v>
      </c>
      <c r="V25" s="666" t="s">
        <v>14</v>
      </c>
      <c r="W25" s="667">
        <f>J25</f>
        <v>100</v>
      </c>
      <c r="X25" s="1263"/>
      <c r="Y25" s="3463"/>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1"/>
      <c r="M26" s="2486"/>
      <c r="N26" s="2486"/>
      <c r="O26" s="2541"/>
      <c r="P26" s="3463"/>
      <c r="Q26" s="1261"/>
      <c r="R26" s="666"/>
      <c r="S26" s="667"/>
      <c r="T26" s="666"/>
      <c r="U26" s="667"/>
      <c r="V26" s="666"/>
      <c r="W26" s="667"/>
      <c r="X26" s="1263"/>
      <c r="Y26" s="3463"/>
      <c r="Z26" s="1262"/>
      <c r="AA26" s="1262">
        <v>1</v>
      </c>
      <c r="AB26" s="1262">
        <v>1</v>
      </c>
      <c r="AC26" s="1262">
        <v>1</v>
      </c>
    </row>
    <row r="27" spans="1:29" s="102" customFormat="1" ht="41.4">
      <c r="A27" s="442"/>
      <c r="B27" s="585" t="s">
        <v>1778</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8"/>
      <c r="N27" s="2438"/>
      <c r="O27" s="2539"/>
      <c r="P27" s="3463"/>
      <c r="Q27" s="529" t="str">
        <f t="shared" si="8"/>
        <v>公共配套设施</v>
      </c>
      <c r="R27" s="663" t="s">
        <v>14</v>
      </c>
      <c r="S27" s="664">
        <f>F27</f>
        <v>100</v>
      </c>
      <c r="T27" s="663" t="s">
        <v>14</v>
      </c>
      <c r="U27" s="664">
        <f>H27</f>
        <v>100</v>
      </c>
      <c r="V27" s="663" t="s">
        <v>14</v>
      </c>
      <c r="W27" s="664">
        <f>J27</f>
        <v>100</v>
      </c>
      <c r="X27" s="665"/>
      <c r="Y27" s="3463"/>
      <c r="Z27" s="50" t="str">
        <f>Q27</f>
        <v>公共配套设施</v>
      </c>
      <c r="AA27" s="1262">
        <f>D27/F27</f>
        <v>1</v>
      </c>
      <c r="AB27" s="1262">
        <f>D27/H27</f>
        <v>1</v>
      </c>
      <c r="AC27" s="1262">
        <f>D27/J27</f>
        <v>1</v>
      </c>
    </row>
    <row r="28" spans="1:29" s="102" customFormat="1" ht="15">
      <c r="A28" s="442"/>
      <c r="B28" s="394"/>
      <c r="C28" s="1824"/>
      <c r="D28" s="386"/>
      <c r="E28" s="1756"/>
      <c r="F28" s="386"/>
      <c r="G28" s="1756"/>
      <c r="H28" s="386"/>
      <c r="I28" s="385"/>
      <c r="J28" s="386"/>
      <c r="K28" s="591"/>
      <c r="L28" s="2487"/>
      <c r="M28" s="2438"/>
      <c r="N28" s="2438"/>
      <c r="O28" s="2539"/>
      <c r="P28" s="3463"/>
      <c r="Q28" s="529"/>
      <c r="R28" s="663"/>
      <c r="S28" s="664"/>
      <c r="T28" s="663"/>
      <c r="U28" s="664"/>
      <c r="V28" s="663"/>
      <c r="W28" s="664"/>
      <c r="X28" s="665"/>
      <c r="Y28" s="3463"/>
      <c r="Z28" s="50"/>
      <c r="AA28" s="1262">
        <v>1</v>
      </c>
      <c r="AB28" s="1262">
        <v>1</v>
      </c>
      <c r="AC28" s="1262">
        <v>1</v>
      </c>
    </row>
    <row r="29" spans="1:29" s="102" customFormat="1" ht="41.4">
      <c r="A29" s="442"/>
      <c r="B29" s="585" t="s">
        <v>1779</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8"/>
      <c r="N29" s="2438"/>
      <c r="O29" s="2539"/>
      <c r="P29" s="3463"/>
      <c r="Q29" s="529" t="str">
        <f t="shared" ref="Q29" si="9">B29</f>
        <v>基础设施水平</v>
      </c>
      <c r="R29" s="663" t="s">
        <v>14</v>
      </c>
      <c r="S29" s="664">
        <f>F29</f>
        <v>100</v>
      </c>
      <c r="T29" s="663" t="s">
        <v>14</v>
      </c>
      <c r="U29" s="664">
        <f>H29</f>
        <v>100</v>
      </c>
      <c r="V29" s="663" t="s">
        <v>14</v>
      </c>
      <c r="W29" s="664">
        <f>J29</f>
        <v>100</v>
      </c>
      <c r="X29" s="665"/>
      <c r="Y29" s="3463"/>
      <c r="Z29" s="50" t="str">
        <f>Q29</f>
        <v>基础设施水平</v>
      </c>
      <c r="AA29" s="1262">
        <f>D29/F29</f>
        <v>1</v>
      </c>
      <c r="AB29" s="1262">
        <f>D29/H29</f>
        <v>1</v>
      </c>
      <c r="AC29" s="1262">
        <f>D29/J29</f>
        <v>1</v>
      </c>
    </row>
    <row r="30" spans="1:29" s="102" customFormat="1" ht="15">
      <c r="A30" s="442"/>
      <c r="B30" s="394"/>
      <c r="C30" s="1824"/>
      <c r="D30" s="386"/>
      <c r="E30" s="1825"/>
      <c r="F30" s="386"/>
      <c r="G30" s="1825"/>
      <c r="H30" s="386"/>
      <c r="I30" s="1825"/>
      <c r="J30" s="386"/>
      <c r="K30" s="591"/>
      <c r="L30" s="2487"/>
      <c r="M30" s="2438"/>
      <c r="N30" s="2438"/>
      <c r="O30" s="2539"/>
      <c r="P30" s="3463"/>
      <c r="Q30" s="529"/>
      <c r="R30" s="663"/>
      <c r="S30" s="664"/>
      <c r="T30" s="663"/>
      <c r="U30" s="664"/>
      <c r="V30" s="663"/>
      <c r="W30" s="664"/>
      <c r="X30" s="665"/>
      <c r="Y30" s="3463"/>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63"/>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63"/>
      <c r="Z31" s="1262" t="str">
        <f t="shared" ref="Z31:Z45" si="13">Q31</f>
        <v>临街状况</v>
      </c>
      <c r="AA31" s="1262">
        <f t="shared" si="3"/>
        <v>1</v>
      </c>
      <c r="AB31" s="1262">
        <f t="shared" si="4"/>
        <v>1</v>
      </c>
      <c r="AC31" s="1262">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63"/>
      <c r="Q32" s="1261" t="str">
        <f t="shared" si="8"/>
        <v>毗邻道路的类型与等级</v>
      </c>
      <c r="R32" s="666" t="s">
        <v>14</v>
      </c>
      <c r="S32" s="667">
        <f t="shared" si="10"/>
        <v>100</v>
      </c>
      <c r="T32" s="666" t="s">
        <v>14</v>
      </c>
      <c r="U32" s="667">
        <f t="shared" si="11"/>
        <v>100</v>
      </c>
      <c r="V32" s="666" t="s">
        <v>14</v>
      </c>
      <c r="W32" s="667">
        <f t="shared" si="12"/>
        <v>100</v>
      </c>
      <c r="X32" s="1263"/>
      <c r="Y32" s="3463"/>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1"/>
      <c r="M33" s="2486"/>
      <c r="N33" s="2486"/>
      <c r="O33" s="2541"/>
      <c r="P33" s="3463"/>
      <c r="Q33" s="1261"/>
      <c r="R33" s="666"/>
      <c r="S33" s="667"/>
      <c r="T33" s="666"/>
      <c r="U33" s="667"/>
      <c r="V33" s="666"/>
      <c r="W33" s="667"/>
      <c r="X33" s="1263"/>
      <c r="Y33" s="3463"/>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63"/>
      <c r="Q34" s="1261" t="str">
        <f t="shared" si="8"/>
        <v>土地级别</v>
      </c>
      <c r="R34" s="666" t="s">
        <v>14</v>
      </c>
      <c r="S34" s="667">
        <f t="shared" si="10"/>
        <v>100</v>
      </c>
      <c r="T34" s="666" t="s">
        <v>14</v>
      </c>
      <c r="U34" s="667">
        <f t="shared" si="11"/>
        <v>100</v>
      </c>
      <c r="V34" s="666" t="s">
        <v>14</v>
      </c>
      <c r="W34" s="667">
        <f t="shared" si="12"/>
        <v>100</v>
      </c>
      <c r="X34" s="1263"/>
      <c r="Y34" s="3463"/>
      <c r="Z34" s="1262" t="str">
        <f t="shared" si="13"/>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63"/>
      <c r="Q35" s="1261">
        <f t="shared" si="8"/>
        <v>111</v>
      </c>
      <c r="R35" s="666" t="s">
        <v>14</v>
      </c>
      <c r="S35" s="667">
        <f t="shared" si="10"/>
        <v>100</v>
      </c>
      <c r="T35" s="666" t="s">
        <v>14</v>
      </c>
      <c r="U35" s="667">
        <f t="shared" si="11"/>
        <v>100</v>
      </c>
      <c r="V35" s="666" t="s">
        <v>14</v>
      </c>
      <c r="W35" s="667">
        <f t="shared" si="12"/>
        <v>100</v>
      </c>
      <c r="X35" s="1263"/>
      <c r="Y35" s="3463"/>
      <c r="Z35" s="1262">
        <f t="shared" si="13"/>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86" t="s">
        <v>1696</v>
      </c>
      <c r="Q36" s="1261">
        <f t="shared" si="8"/>
        <v>111</v>
      </c>
      <c r="R36" s="666" t="s">
        <v>14</v>
      </c>
      <c r="S36" s="667">
        <f t="shared" si="10"/>
        <v>100</v>
      </c>
      <c r="T36" s="666" t="s">
        <v>14</v>
      </c>
      <c r="U36" s="667">
        <f t="shared" si="11"/>
        <v>100</v>
      </c>
      <c r="V36" s="666" t="s">
        <v>14</v>
      </c>
      <c r="W36" s="667">
        <f t="shared" si="12"/>
        <v>100</v>
      </c>
      <c r="X36" s="1263"/>
      <c r="Y36" s="3467" t="s">
        <v>1696</v>
      </c>
      <c r="Z36" s="1262">
        <f t="shared" si="13"/>
        <v>111</v>
      </c>
      <c r="AA36" s="1262">
        <f t="shared" si="3"/>
        <v>1</v>
      </c>
      <c r="AB36" s="1262">
        <f t="shared" si="4"/>
        <v>1</v>
      </c>
      <c r="AC36" s="1262">
        <f t="shared" si="5"/>
        <v>1</v>
      </c>
    </row>
    <row r="37" spans="1:29" s="407" customFormat="1" ht="15.6"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67"/>
      <c r="Q37" s="1261">
        <f t="shared" si="8"/>
        <v>111</v>
      </c>
      <c r="R37" s="668" t="s">
        <v>14</v>
      </c>
      <c r="S37" s="669">
        <f t="shared" si="10"/>
        <v>100</v>
      </c>
      <c r="T37" s="668" t="s">
        <v>14</v>
      </c>
      <c r="U37" s="669">
        <f t="shared" si="11"/>
        <v>100</v>
      </c>
      <c r="V37" s="668" t="s">
        <v>14</v>
      </c>
      <c r="W37" s="669">
        <f t="shared" si="12"/>
        <v>100</v>
      </c>
      <c r="X37" s="670"/>
      <c r="Y37" s="3467"/>
      <c r="Z37" s="671">
        <f t="shared" si="13"/>
        <v>111</v>
      </c>
      <c r="AA37" s="1262">
        <f t="shared" si="3"/>
        <v>1</v>
      </c>
      <c r="AB37" s="1262">
        <f t="shared" si="4"/>
        <v>1</v>
      </c>
      <c r="AC37" s="1262">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67"/>
      <c r="Q38" s="1261" t="str">
        <f>B38</f>
        <v>宗地面积</v>
      </c>
      <c r="R38" s="666" t="s">
        <v>14</v>
      </c>
      <c r="S38" s="667" t="e">
        <f t="shared" si="10"/>
        <v>#N/A</v>
      </c>
      <c r="T38" s="666" t="s">
        <v>14</v>
      </c>
      <c r="U38" s="667" t="e">
        <f t="shared" si="11"/>
        <v>#N/A</v>
      </c>
      <c r="V38" s="666" t="s">
        <v>14</v>
      </c>
      <c r="W38" s="667" t="e">
        <f t="shared" si="12"/>
        <v>#N/A</v>
      </c>
      <c r="X38" s="1263"/>
      <c r="Y38" s="3467"/>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1"/>
      <c r="M39" s="2486"/>
      <c r="N39" s="2486"/>
      <c r="O39" s="2541"/>
      <c r="P39" s="3467"/>
      <c r="Q39" s="1261" t="str">
        <f t="shared" ref="Q39:Q45" si="14">B39</f>
        <v>宗地形状</v>
      </c>
      <c r="R39" s="666" t="s">
        <v>14</v>
      </c>
      <c r="S39" s="667">
        <f t="shared" si="10"/>
        <v>100</v>
      </c>
      <c r="T39" s="666" t="s">
        <v>14</v>
      </c>
      <c r="U39" s="667">
        <f t="shared" si="11"/>
        <v>100</v>
      </c>
      <c r="V39" s="666" t="s">
        <v>14</v>
      </c>
      <c r="W39" s="667">
        <f t="shared" si="12"/>
        <v>100</v>
      </c>
      <c r="X39" s="1263"/>
      <c r="Y39" s="3467"/>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1"/>
      <c r="M40" s="2486"/>
      <c r="N40" s="2486"/>
      <c r="O40" s="2541"/>
      <c r="P40" s="3467"/>
      <c r="Q40" s="1261" t="str">
        <f t="shared" si="14"/>
        <v>临街宽度及深度</v>
      </c>
      <c r="R40" s="666" t="s">
        <v>14</v>
      </c>
      <c r="S40" s="667">
        <f t="shared" si="10"/>
        <v>100</v>
      </c>
      <c r="T40" s="666" t="s">
        <v>14</v>
      </c>
      <c r="U40" s="667">
        <f t="shared" si="11"/>
        <v>100</v>
      </c>
      <c r="V40" s="666" t="s">
        <v>14</v>
      </c>
      <c r="W40" s="667">
        <f t="shared" si="12"/>
        <v>100</v>
      </c>
      <c r="X40" s="1263"/>
      <c r="Y40" s="3467"/>
      <c r="Z40" s="1262" t="str">
        <f t="shared" si="13"/>
        <v>临街宽度及深度</v>
      </c>
      <c r="AA40" s="1262">
        <f t="shared" si="3"/>
        <v>1</v>
      </c>
      <c r="AB40" s="1262">
        <f t="shared" si="4"/>
        <v>1</v>
      </c>
      <c r="AC40" s="1262">
        <f t="shared" si="5"/>
        <v>1</v>
      </c>
    </row>
    <row r="41" spans="1:29" s="102" customFormat="1" ht="15">
      <c r="A41" s="409"/>
      <c r="B41" s="363" t="s">
        <v>1877</v>
      </c>
      <c r="C41" s="1826"/>
      <c r="D41" s="119">
        <v>100</v>
      </c>
      <c r="E41" s="1826"/>
      <c r="F41" s="373">
        <f>SUMIF(122:122,E41,123:123)-SUMIF(122:122,C41,123:123)+100</f>
        <v>100</v>
      </c>
      <c r="G41" s="1826"/>
      <c r="H41" s="373">
        <f>SUMIF(122:122,G41,123:123)-SUMIF(122:122,C41,123:123)+100</f>
        <v>100</v>
      </c>
      <c r="I41" s="1826"/>
      <c r="J41" s="373">
        <f>SUMIF(122:122,I41,123:123)-SUMIF(122:122,C41,123:123)+100</f>
        <v>100</v>
      </c>
      <c r="K41" s="537"/>
      <c r="L41" s="2487"/>
      <c r="M41" s="2438"/>
      <c r="N41" s="2438"/>
      <c r="O41" s="2539"/>
      <c r="P41" s="3467"/>
      <c r="Q41" s="1261" t="str">
        <f t="shared" si="14"/>
        <v>宗地开发程度</v>
      </c>
      <c r="R41" s="663" t="s">
        <v>14</v>
      </c>
      <c r="S41" s="664">
        <f t="shared" si="10"/>
        <v>100</v>
      </c>
      <c r="T41" s="663" t="s">
        <v>14</v>
      </c>
      <c r="U41" s="664">
        <f t="shared" si="11"/>
        <v>100</v>
      </c>
      <c r="V41" s="663" t="s">
        <v>14</v>
      </c>
      <c r="W41" s="664">
        <f t="shared" si="12"/>
        <v>100</v>
      </c>
      <c r="X41" s="665"/>
      <c r="Y41" s="3467"/>
      <c r="Z41" s="50" t="str">
        <f t="shared" si="13"/>
        <v>宗地开发程度</v>
      </c>
      <c r="AA41" s="50">
        <f t="shared" si="3"/>
        <v>1</v>
      </c>
      <c r="AB41" s="50">
        <f t="shared" si="4"/>
        <v>1</v>
      </c>
      <c r="AC41" s="50">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1"/>
      <c r="M42" s="2486"/>
      <c r="N42" s="2486"/>
      <c r="O42" s="2541"/>
      <c r="P42" s="3467" t="s">
        <v>1696</v>
      </c>
      <c r="Q42" s="1261" t="str">
        <f t="shared" si="14"/>
        <v>工程地质条件</v>
      </c>
      <c r="R42" s="666" t="s">
        <v>14</v>
      </c>
      <c r="S42" s="667">
        <f t="shared" si="10"/>
        <v>100</v>
      </c>
      <c r="T42" s="666" t="s">
        <v>14</v>
      </c>
      <c r="U42" s="667">
        <f t="shared" si="11"/>
        <v>100</v>
      </c>
      <c r="V42" s="666" t="s">
        <v>14</v>
      </c>
      <c r="W42" s="667">
        <f t="shared" si="12"/>
        <v>100</v>
      </c>
      <c r="X42" s="1263"/>
      <c r="Y42" s="3467" t="s">
        <v>1696</v>
      </c>
      <c r="Z42" s="1262" t="str">
        <f t="shared" si="13"/>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67"/>
      <c r="Q43" s="1261">
        <f t="shared" si="14"/>
        <v>111</v>
      </c>
      <c r="R43" s="666" t="s">
        <v>14</v>
      </c>
      <c r="S43" s="667">
        <f t="shared" si="10"/>
        <v>100</v>
      </c>
      <c r="T43" s="666" t="s">
        <v>14</v>
      </c>
      <c r="U43" s="667">
        <f t="shared" si="11"/>
        <v>100</v>
      </c>
      <c r="V43" s="666" t="s">
        <v>14</v>
      </c>
      <c r="W43" s="667">
        <f t="shared" si="12"/>
        <v>100</v>
      </c>
      <c r="X43" s="1263"/>
      <c r="Y43" s="3467"/>
      <c r="Z43" s="1262">
        <f t="shared" si="13"/>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67"/>
      <c r="Q44" s="1261">
        <f t="shared" si="14"/>
        <v>111</v>
      </c>
      <c r="R44" s="666" t="s">
        <v>14</v>
      </c>
      <c r="S44" s="667">
        <f t="shared" si="10"/>
        <v>100</v>
      </c>
      <c r="T44" s="666" t="s">
        <v>14</v>
      </c>
      <c r="U44" s="667">
        <f t="shared" si="11"/>
        <v>100</v>
      </c>
      <c r="V44" s="666" t="s">
        <v>14</v>
      </c>
      <c r="W44" s="667">
        <f t="shared" si="12"/>
        <v>100</v>
      </c>
      <c r="X44" s="1263"/>
      <c r="Y44" s="3467"/>
      <c r="Z44" s="1262">
        <f t="shared" si="13"/>
        <v>111</v>
      </c>
      <c r="AA44" s="1262">
        <f t="shared" si="3"/>
        <v>1</v>
      </c>
      <c r="AB44" s="1262">
        <f t="shared" si="4"/>
        <v>1</v>
      </c>
      <c r="AC44" s="1262">
        <f t="shared" si="5"/>
        <v>1</v>
      </c>
    </row>
    <row r="45" spans="1:29" s="407" customFormat="1" ht="15.6" thickBot="1">
      <c r="A45" s="405"/>
      <c r="B45" s="1066">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67"/>
      <c r="Q45" s="1261">
        <f t="shared" si="14"/>
        <v>111</v>
      </c>
      <c r="R45" s="668" t="s">
        <v>14</v>
      </c>
      <c r="S45" s="669">
        <f t="shared" si="10"/>
        <v>100</v>
      </c>
      <c r="T45" s="668" t="s">
        <v>14</v>
      </c>
      <c r="U45" s="669">
        <f t="shared" si="11"/>
        <v>100</v>
      </c>
      <c r="V45" s="668" t="s">
        <v>14</v>
      </c>
      <c r="W45" s="669">
        <f t="shared" si="12"/>
        <v>100</v>
      </c>
      <c r="X45" s="670"/>
      <c r="Y45" s="3467"/>
      <c r="Z45" s="671">
        <f t="shared" si="13"/>
        <v>111</v>
      </c>
      <c r="AA45" s="1262">
        <f t="shared" si="3"/>
        <v>1</v>
      </c>
      <c r="AB45" s="1262">
        <f t="shared" si="4"/>
        <v>1</v>
      </c>
      <c r="AC45" s="1262">
        <f t="shared" si="5"/>
        <v>1</v>
      </c>
    </row>
    <row r="46" spans="1:29" ht="14.4">
      <c r="A46" s="415" t="s">
        <v>1844</v>
      </c>
      <c r="B46" s="1828" t="s">
        <v>1879</v>
      </c>
      <c r="C46" s="601" t="s">
        <v>0</v>
      </c>
      <c r="D46" s="417"/>
      <c r="E46" s="418"/>
      <c r="F46" s="419"/>
      <c r="G46" s="420"/>
      <c r="H46" s="421"/>
      <c r="I46" s="418"/>
      <c r="J46" s="421"/>
      <c r="K46" s="673"/>
      <c r="L46" s="2493"/>
      <c r="M46" s="2486"/>
      <c r="N46" s="2486"/>
      <c r="O46" s="2486"/>
      <c r="P46" s="3461" t="str">
        <f>A46</f>
        <v>成交单价</v>
      </c>
      <c r="Q46" s="3461"/>
      <c r="R46" s="3456">
        <f>E46</f>
        <v>0</v>
      </c>
      <c r="S46" s="3456"/>
      <c r="T46" s="3456">
        <f>G46</f>
        <v>0</v>
      </c>
      <c r="U46" s="3456"/>
      <c r="V46" s="3456">
        <f>I46</f>
        <v>0</v>
      </c>
      <c r="W46" s="3456"/>
      <c r="X46" s="384"/>
      <c r="Y46" s="672"/>
      <c r="Z46" s="384"/>
      <c r="AA46" s="384"/>
      <c r="AB46" s="384"/>
      <c r="AC46" s="384"/>
    </row>
    <row r="47" spans="1:29" ht="15" thickBot="1">
      <c r="A47" s="422" t="s">
        <v>1793</v>
      </c>
      <c r="B47" s="602"/>
      <c r="C47" s="425" t="e">
        <f>R48</f>
        <v>#DIV/0!</v>
      </c>
      <c r="D47" s="2139" t="s">
        <v>2138</v>
      </c>
      <c r="E47" s="425" t="e">
        <f>R47</f>
        <v>#DIV/0!</v>
      </c>
      <c r="F47" s="2140"/>
      <c r="G47" s="424" t="e">
        <f>T47</f>
        <v>#DIV/0!</v>
      </c>
      <c r="H47" s="2140"/>
      <c r="I47" s="425" t="e">
        <f>V47</f>
        <v>#DIV/0!</v>
      </c>
      <c r="J47" s="2140"/>
      <c r="K47" s="2142">
        <f>F47+H47+J47</f>
        <v>0</v>
      </c>
      <c r="L47" s="2493"/>
      <c r="M47" s="2486"/>
      <c r="N47" s="2486"/>
      <c r="O47" s="2486"/>
      <c r="P47" s="3461" t="str">
        <f>A47</f>
        <v>比较价值（元/平方米）</v>
      </c>
      <c r="Q47" s="3461"/>
      <c r="R47" s="3488" t="e">
        <f>ROUND(PRODUCT(R46,AA7:AA45),0)</f>
        <v>#DIV/0!</v>
      </c>
      <c r="S47" s="3488"/>
      <c r="T47" s="3488" t="e">
        <f>ROUND(PRODUCT(T46,AB7:AB45),0)</f>
        <v>#DIV/0!</v>
      </c>
      <c r="U47" s="3488"/>
      <c r="V47" s="3488" t="e">
        <f>ROUND(PRODUCT(V46,AC7:AC45),0)</f>
        <v>#DIV/0!</v>
      </c>
      <c r="W47" s="3488"/>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3"/>
      <c r="M48" s="2486"/>
      <c r="N48" s="2486"/>
      <c r="O48" s="2486"/>
      <c r="P48" s="3458" t="str">
        <f>A48</f>
        <v>估价对象XX用房的比较价值（楼面单价，元/平方米）</v>
      </c>
      <c r="Q48" s="3459"/>
      <c r="R48" s="3489" t="e">
        <f>ROUND(IF(D47="简单平均",AVERAGE(R47:W47),R47*F47+T47*H47+V47*J47),0)</f>
        <v>#DIV/0!</v>
      </c>
      <c r="S48" s="3489"/>
      <c r="T48" s="3489"/>
      <c r="U48" s="3489"/>
      <c r="V48" s="3489"/>
      <c r="W48" s="3489"/>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29" t="s">
        <v>1883</v>
      </c>
      <c r="D55" s="1830" t="s">
        <v>1884</v>
      </c>
      <c r="E55" s="605" t="s">
        <v>1885</v>
      </c>
      <c r="F55" s="836" t="s">
        <v>1886</v>
      </c>
      <c r="G55" s="3444" t="s">
        <v>1887</v>
      </c>
      <c r="H55" s="3490"/>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28321.48</v>
      </c>
      <c r="F56" s="832" t="e">
        <f t="shared" ref="F56:F64" si="15">ROUND(B56*E56/10000,0)</f>
        <v>#DIV/0!</v>
      </c>
      <c r="G56" s="3443"/>
      <c r="H56" s="3461"/>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19473.41</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v>
      </c>
      <c r="D63" s="890">
        <v>0.25</v>
      </c>
      <c r="E63" s="208">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09" t="e">
        <f t="shared" si="17"/>
        <v>#DIV/0!</v>
      </c>
      <c r="C64" s="162">
        <f t="shared" si="16"/>
        <v>0</v>
      </c>
      <c r="D64" s="890">
        <v>0.25</v>
      </c>
      <c r="E64" s="208">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47794.89</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2.2"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4.4">
      <c r="A69" s="1628" t="s">
        <v>1904</v>
      </c>
      <c r="B69" s="1045"/>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6"/>
      <c r="P70" s="2507"/>
      <c r="Q70" s="2438"/>
      <c r="R70" s="2438"/>
      <c r="S70" s="2438"/>
      <c r="T70" s="2438"/>
      <c r="U70" s="2438"/>
      <c r="V70" s="2438"/>
      <c r="W70" s="2438"/>
      <c r="X70" s="2438"/>
      <c r="Y70" s="2438"/>
      <c r="Z70" s="2438"/>
      <c r="AA70" s="2438"/>
      <c r="AB70" s="2438"/>
      <c r="AC70" s="2438"/>
    </row>
    <row r="71" spans="1:29" s="102" customFormat="1" ht="15" thickBot="1">
      <c r="A71" s="448" t="s">
        <v>1716</v>
      </c>
      <c r="B71" s="449"/>
      <c r="C71" s="450"/>
      <c r="D71" s="451"/>
      <c r="E71" s="451"/>
      <c r="F71" s="451"/>
      <c r="G71" s="451"/>
      <c r="H71" s="451"/>
      <c r="I71" s="451"/>
      <c r="J71" s="451"/>
      <c r="K71" s="451"/>
      <c r="L71" s="451"/>
      <c r="M71" s="452"/>
      <c r="N71" s="451"/>
      <c r="O71" s="888"/>
      <c r="P71" s="2507"/>
      <c r="Q71" s="2507"/>
      <c r="R71" s="2438"/>
      <c r="S71" s="2438"/>
      <c r="T71" s="2438"/>
      <c r="U71" s="2438"/>
      <c r="V71" s="2438"/>
      <c r="W71" s="2438"/>
      <c r="X71" s="2438"/>
      <c r="Y71" s="2438"/>
      <c r="Z71" s="2438"/>
      <c r="AA71" s="2438"/>
      <c r="AB71" s="2438"/>
      <c r="AC71" s="2438"/>
    </row>
    <row r="72" spans="1:29" s="102" customFormat="1" ht="14.4">
      <c r="A72" s="454" t="s">
        <v>1681</v>
      </c>
      <c r="B72" s="443"/>
      <c r="C72" s="455" t="s">
        <v>1776</v>
      </c>
      <c r="D72" s="31"/>
      <c r="E72" s="31"/>
      <c r="F72" s="31"/>
      <c r="G72" s="31"/>
      <c r="H72" s="31"/>
      <c r="I72" s="31"/>
      <c r="J72" s="31"/>
      <c r="K72" s="31"/>
      <c r="L72" s="456"/>
      <c r="M72" s="457"/>
      <c r="N72" s="2519"/>
      <c r="O72" s="2519"/>
      <c r="P72" s="2543"/>
      <c r="Q72" s="2507"/>
      <c r="R72" s="2438"/>
      <c r="S72" s="2438"/>
      <c r="T72" s="2438"/>
      <c r="U72" s="2438"/>
      <c r="V72" s="2438"/>
      <c r="W72" s="2438"/>
      <c r="X72" s="2438"/>
      <c r="Y72" s="2438"/>
      <c r="Z72" s="2438"/>
      <c r="AA72" s="2438"/>
      <c r="AB72" s="2438"/>
      <c r="AC72" s="2438"/>
    </row>
    <row r="73" spans="1:29" s="102" customFormat="1" ht="14.4" thickBot="1">
      <c r="A73" s="454"/>
      <c r="B73" s="443"/>
      <c r="C73" s="562">
        <v>100</v>
      </c>
      <c r="D73" s="445"/>
      <c r="E73" s="445"/>
      <c r="F73" s="445"/>
      <c r="G73" s="445"/>
      <c r="H73" s="445"/>
      <c r="I73" s="445"/>
      <c r="J73" s="445"/>
      <c r="K73" s="445"/>
      <c r="L73" s="445"/>
      <c r="M73" s="447"/>
      <c r="N73" s="2519"/>
      <c r="O73" s="2519"/>
      <c r="P73" s="2507"/>
      <c r="Q73" s="2507"/>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4"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9.4"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4"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4"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4"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4"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4"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4"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4"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ht="14.4">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8"/>
      <c r="S95" s="2438"/>
      <c r="T95" s="2438"/>
      <c r="U95" s="2438"/>
      <c r="V95" s="2438"/>
      <c r="W95" s="2438"/>
      <c r="X95" s="2438"/>
      <c r="Y95" s="2438"/>
      <c r="Z95" s="2438"/>
      <c r="AA95" s="2438"/>
      <c r="AB95" s="2438"/>
      <c r="AC95" s="2438"/>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8"/>
      <c r="S96" s="2438"/>
      <c r="T96" s="2438"/>
      <c r="U96" s="2438"/>
      <c r="V96" s="2438"/>
      <c r="W96" s="2438"/>
      <c r="X96" s="2438"/>
      <c r="Y96" s="2438"/>
      <c r="Z96" s="2438"/>
      <c r="AA96" s="2438"/>
      <c r="AB96" s="2438"/>
      <c r="AC96" s="2438"/>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8"/>
      <c r="S97" s="2438"/>
      <c r="T97" s="2438"/>
      <c r="U97" s="2438"/>
      <c r="V97" s="2438"/>
      <c r="W97" s="2438"/>
      <c r="X97" s="2438"/>
      <c r="Y97" s="2438"/>
      <c r="Z97" s="2438"/>
      <c r="AA97" s="2438"/>
      <c r="AB97" s="2438"/>
      <c r="AC97" s="2438"/>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4"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4"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4"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4"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4"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4"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4"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4"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4"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4"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7"/>
      <c r="B1" s="928" t="s">
        <v>2083</v>
      </c>
      <c r="C1" s="3494" t="s">
        <v>2084</v>
      </c>
      <c r="D1" s="3495"/>
      <c r="E1" s="3495"/>
      <c r="F1" s="3495"/>
      <c r="G1" s="3495"/>
      <c r="H1" s="3495"/>
      <c r="I1" s="3495"/>
      <c r="J1" s="3495"/>
      <c r="K1" s="3495"/>
      <c r="L1" s="3495"/>
      <c r="M1" s="3495"/>
      <c r="N1" s="3495"/>
      <c r="O1" s="3495"/>
      <c r="P1" s="3495"/>
      <c r="Q1" s="3495"/>
      <c r="R1" s="3495"/>
      <c r="S1" s="349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0"/>
      <c r="C19" s="150"/>
      <c r="D19" s="1986" t="s">
        <v>2095</v>
      </c>
      <c r="E19" s="1251"/>
      <c r="F19" s="1251"/>
      <c r="G19" s="1251"/>
      <c r="H19" s="995"/>
      <c r="I19" s="150"/>
      <c r="J19" s="150"/>
      <c r="K19" s="150"/>
      <c r="L19" s="150"/>
      <c r="M19" s="150"/>
      <c r="N19" s="150"/>
      <c r="O19" s="150"/>
      <c r="P19" s="150"/>
      <c r="Q19" s="150"/>
      <c r="R19" s="150"/>
      <c r="S19" s="121"/>
    </row>
    <row r="20" spans="1:45" ht="16.2"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1"/>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1"/>
    </row>
    <row r="22" spans="1:45">
      <c r="A22" s="307" t="s">
        <v>2099</v>
      </c>
      <c r="B22" s="21">
        <f>SUM(B24:B10000)</f>
        <v>0</v>
      </c>
      <c r="C22" s="3491" t="s">
        <v>27</v>
      </c>
      <c r="D22" s="3492"/>
      <c r="E22" s="3492"/>
      <c r="F22" s="3492"/>
      <c r="G22" s="3492"/>
      <c r="H22" s="3492"/>
      <c r="I22" s="3492"/>
      <c r="J22" s="3492"/>
      <c r="K22" s="3492"/>
      <c r="L22" s="3492"/>
      <c r="M22" s="3492"/>
      <c r="N22" s="3492"/>
      <c r="O22" s="3492"/>
      <c r="P22" s="3492"/>
      <c r="Q22" s="349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2081</v>
      </c>
      <c r="B1" s="4"/>
      <c r="C1" s="4"/>
      <c r="D1" s="4"/>
      <c r="E1" s="4"/>
      <c r="F1" s="2543"/>
      <c r="G1" s="2543"/>
      <c r="H1" s="2543"/>
      <c r="I1" s="2543"/>
      <c r="J1" s="2543"/>
      <c r="K1" s="2543"/>
      <c r="L1" s="2543"/>
      <c r="M1" s="2543"/>
      <c r="N1" s="2543"/>
      <c r="O1" s="2543"/>
      <c r="P1" s="2543"/>
    </row>
    <row r="2" spans="1:16" ht="15.6">
      <c r="A2" s="1982" t="s">
        <v>2073</v>
      </c>
      <c r="B2" s="2386">
        <f ca="1">SUMIF(B6:B13,"&lt;&gt;#ref!",B6:B13)</f>
        <v>4769</v>
      </c>
      <c r="C2" s="1982" t="s">
        <v>2074</v>
      </c>
      <c r="D2" s="1982" t="s">
        <v>2075</v>
      </c>
      <c r="E2" s="2396">
        <f ca="1">SUMIF(E6:E13,"&lt;&gt;#ref!",E6:E13)</f>
        <v>47794.89</v>
      </c>
      <c r="F2" s="2543"/>
      <c r="G2" s="2543"/>
      <c r="H2" s="2543"/>
      <c r="I2" s="2543"/>
      <c r="J2" s="2543"/>
      <c r="K2" s="2543"/>
      <c r="L2" s="2543"/>
      <c r="M2" s="2543"/>
      <c r="N2" s="2543"/>
      <c r="O2" s="2543"/>
      <c r="P2" s="2543"/>
    </row>
    <row r="3" spans="1:16" ht="15.6">
      <c r="A3" s="1982" t="s">
        <v>2076</v>
      </c>
      <c r="B3" s="2386">
        <f ca="1">ROUND(B2*10000/E2,0)</f>
        <v>998</v>
      </c>
      <c r="C3" s="1982"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3"/>
      <c r="D5" s="2543"/>
      <c r="E5" s="2395" t="s">
        <v>2079</v>
      </c>
      <c r="F5" s="2543"/>
      <c r="G5" s="2543"/>
      <c r="H5" s="2543"/>
      <c r="I5" s="2543"/>
      <c r="J5" s="2543"/>
      <c r="K5" s="2543"/>
      <c r="L5" s="2543"/>
      <c r="M5" s="2543"/>
      <c r="N5" s="2543"/>
      <c r="O5" s="2543"/>
      <c r="P5" s="2543"/>
    </row>
    <row r="6" spans="1:16" ht="15.6">
      <c r="A6" s="2393" t="s">
        <v>2080</v>
      </c>
      <c r="B6" s="2386">
        <f ca="1">SUMIF(INDIRECT("'"&amp;A6&amp;"'"&amp;"!A:A"),"总价",INDIRECT("'"&amp;A6&amp;"'"&amp;"!B:B"))</f>
        <v>4769</v>
      </c>
      <c r="C6" s="1982" t="s">
        <v>2074</v>
      </c>
      <c r="D6" s="2543"/>
      <c r="E6" s="2396">
        <f ca="1">SUMIF(INDIRECT("'"&amp;A6&amp;"'"&amp;"!C:C"),"建筑面积",INDIRECT("'"&amp;A6&amp;"'"&amp;"!D:D"))</f>
        <v>47794.89</v>
      </c>
      <c r="F6" s="2543"/>
      <c r="G6" s="2543"/>
      <c r="H6" s="2543"/>
      <c r="I6" s="2543"/>
      <c r="J6" s="2543"/>
      <c r="K6" s="2543"/>
      <c r="L6" s="2543"/>
      <c r="M6" s="2543"/>
      <c r="N6" s="2543"/>
      <c r="O6" s="2543"/>
      <c r="P6" s="2543"/>
    </row>
    <row r="7" spans="1:16" ht="15.6">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504" t="s">
        <v>2609</v>
      </c>
      <c r="B20" s="3497" t="s">
        <v>2630</v>
      </c>
      <c r="C20" s="2841" t="s">
        <v>2441</v>
      </c>
      <c r="D20" s="2842"/>
      <c r="E20" s="2843">
        <v>1</v>
      </c>
      <c r="F20" s="2844" t="s">
        <v>2442</v>
      </c>
      <c r="G20" s="2844"/>
    </row>
    <row r="21" spans="1:13" ht="19.5" customHeight="1">
      <c r="A21" s="3505"/>
      <c r="B21" s="3498"/>
      <c r="C21" s="2845" t="s">
        <v>2443</v>
      </c>
      <c r="D21" s="2846"/>
      <c r="E21" s="2847">
        <v>1</v>
      </c>
      <c r="F21" s="2844" t="s">
        <v>2444</v>
      </c>
      <c r="G21" s="2844"/>
    </row>
    <row r="22" spans="1:13" ht="19.5" customHeight="1">
      <c r="A22" s="3505"/>
      <c r="B22" s="3498"/>
      <c r="C22" s="2845" t="s">
        <v>2445</v>
      </c>
      <c r="D22" s="2846"/>
      <c r="E22" s="2847">
        <v>0.9</v>
      </c>
      <c r="F22" s="2844" t="s">
        <v>2446</v>
      </c>
      <c r="G22" s="2844"/>
    </row>
    <row r="23" spans="1:13" ht="19.5" customHeight="1">
      <c r="A23" s="3505"/>
      <c r="B23" s="3498"/>
      <c r="C23" s="2845" t="s">
        <v>2447</v>
      </c>
      <c r="D23" s="2846"/>
      <c r="E23" s="2847">
        <v>0.9</v>
      </c>
      <c r="F23" s="2844" t="s">
        <v>2448</v>
      </c>
      <c r="G23" s="2844"/>
    </row>
    <row r="24" spans="1:13" ht="19.5" customHeight="1">
      <c r="A24" s="3505"/>
      <c r="B24" s="3498"/>
      <c r="C24" s="2845" t="s">
        <v>2449</v>
      </c>
      <c r="D24" s="2846"/>
      <c r="E24" s="2847">
        <v>0.8</v>
      </c>
      <c r="F24" s="2844" t="s">
        <v>2450</v>
      </c>
      <c r="G24" s="2844"/>
    </row>
    <row r="25" spans="1:13" ht="19.5" customHeight="1" thickBot="1">
      <c r="A25" s="3506"/>
      <c r="B25" s="3499"/>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500" t="s">
        <v>2633</v>
      </c>
      <c r="B27" s="3497" t="s">
        <v>2614</v>
      </c>
      <c r="C27" s="2841" t="s">
        <v>2454</v>
      </c>
      <c r="D27" s="2842"/>
      <c r="E27" s="2843">
        <v>1</v>
      </c>
      <c r="F27" s="2844" t="s">
        <v>2455</v>
      </c>
      <c r="G27" s="2844"/>
    </row>
    <row r="28" spans="1:13" ht="19.5" customHeight="1">
      <c r="A28" s="3501"/>
      <c r="B28" s="3498"/>
      <c r="C28" s="2845" t="s">
        <v>2456</v>
      </c>
      <c r="D28" s="2846"/>
      <c r="E28" s="2847">
        <v>1</v>
      </c>
      <c r="F28" s="2844" t="s">
        <v>2457</v>
      </c>
      <c r="G28" s="2844"/>
    </row>
    <row r="29" spans="1:13" ht="19.5" customHeight="1">
      <c r="A29" s="3501"/>
      <c r="B29" s="3498"/>
      <c r="C29" s="2845" t="s">
        <v>2458</v>
      </c>
      <c r="D29" s="2846"/>
      <c r="E29" s="2847">
        <v>0.8</v>
      </c>
      <c r="F29" s="2844" t="s">
        <v>2459</v>
      </c>
      <c r="G29" s="2844"/>
    </row>
    <row r="30" spans="1:13" ht="19.5" customHeight="1">
      <c r="A30" s="3501"/>
      <c r="B30" s="3498"/>
      <c r="C30" s="2845" t="s">
        <v>2460</v>
      </c>
      <c r="D30" s="2846"/>
      <c r="E30" s="2847">
        <v>0.8</v>
      </c>
      <c r="F30" s="2844" t="s">
        <v>2461</v>
      </c>
      <c r="G30" s="2844"/>
    </row>
    <row r="31" spans="1:13" ht="19.5" customHeight="1">
      <c r="A31" s="3501"/>
      <c r="B31" s="3498"/>
      <c r="C31" s="2845" t="s">
        <v>2462</v>
      </c>
      <c r="D31" s="2846"/>
      <c r="E31" s="2847">
        <v>0.8</v>
      </c>
      <c r="F31" s="2844" t="s">
        <v>2463</v>
      </c>
      <c r="G31" s="2844"/>
    </row>
    <row r="32" spans="1:13" ht="19.5" customHeight="1">
      <c r="A32" s="3501"/>
      <c r="B32" s="3498"/>
      <c r="C32" s="2845" t="s">
        <v>2464</v>
      </c>
      <c r="D32" s="2846"/>
      <c r="E32" s="2847">
        <v>0.7</v>
      </c>
      <c r="F32" s="2844" t="s">
        <v>2465</v>
      </c>
      <c r="G32" s="2844"/>
    </row>
    <row r="33" spans="1:7" ht="19.5" customHeight="1">
      <c r="A33" s="3501"/>
      <c r="B33" s="3498"/>
      <c r="C33" s="2845" t="s">
        <v>2466</v>
      </c>
      <c r="D33" s="2846"/>
      <c r="E33" s="2847">
        <v>0.8</v>
      </c>
      <c r="F33" s="2844" t="s">
        <v>2467</v>
      </c>
      <c r="G33" s="2844"/>
    </row>
    <row r="34" spans="1:7" ht="19.5" customHeight="1">
      <c r="A34" s="3501"/>
      <c r="B34" s="3498"/>
      <c r="C34" s="2845" t="s">
        <v>2468</v>
      </c>
      <c r="D34" s="2846"/>
      <c r="E34" s="2847">
        <v>0.6</v>
      </c>
      <c r="F34" s="2844" t="s">
        <v>2469</v>
      </c>
      <c r="G34" s="2844"/>
    </row>
    <row r="35" spans="1:7" ht="19.5" customHeight="1">
      <c r="A35" s="3501"/>
      <c r="B35" s="3498"/>
      <c r="C35" s="2845" t="s">
        <v>2470</v>
      </c>
      <c r="D35" s="2846"/>
      <c r="E35" s="2847">
        <v>0.2</v>
      </c>
      <c r="F35" s="2844" t="s">
        <v>2471</v>
      </c>
      <c r="G35" s="2844"/>
    </row>
    <row r="36" spans="1:7" ht="19.5" customHeight="1">
      <c r="A36" s="3501"/>
      <c r="B36" s="3498"/>
      <c r="C36" s="2845" t="s">
        <v>2472</v>
      </c>
      <c r="D36" s="2846"/>
      <c r="E36" s="2847">
        <v>0.2</v>
      </c>
      <c r="F36" s="2844" t="s">
        <v>2473</v>
      </c>
      <c r="G36" s="2844"/>
    </row>
    <row r="37" spans="1:7" ht="19.5" customHeight="1">
      <c r="A37" s="3501"/>
      <c r="B37" s="3503" t="s">
        <v>2634</v>
      </c>
      <c r="C37" s="2845" t="s">
        <v>2474</v>
      </c>
      <c r="D37" s="2846"/>
      <c r="E37" s="2847">
        <v>0.6</v>
      </c>
      <c r="F37" s="2844" t="s">
        <v>2475</v>
      </c>
      <c r="G37" s="2844"/>
    </row>
    <row r="38" spans="1:7" ht="19.5" customHeight="1">
      <c r="A38" s="3501"/>
      <c r="B38" s="3498"/>
      <c r="C38" s="2845" t="s">
        <v>2476</v>
      </c>
      <c r="D38" s="2846"/>
      <c r="E38" s="2847">
        <v>0.6</v>
      </c>
      <c r="F38" s="2844" t="s">
        <v>2477</v>
      </c>
      <c r="G38" s="2844"/>
    </row>
    <row r="39" spans="1:7" ht="19.5" customHeight="1" thickBot="1">
      <c r="A39" s="3502"/>
      <c r="B39" s="3499"/>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504" t="s">
        <v>2612</v>
      </c>
      <c r="B41" s="3497" t="s">
        <v>2636</v>
      </c>
      <c r="C41" s="2841" t="s">
        <v>2481</v>
      </c>
      <c r="D41" s="2842"/>
      <c r="E41" s="2843">
        <v>1</v>
      </c>
      <c r="F41" s="2844" t="s">
        <v>2482</v>
      </c>
      <c r="G41" s="2844"/>
    </row>
    <row r="42" spans="1:7" ht="19.5" customHeight="1">
      <c r="A42" s="3505"/>
      <c r="B42" s="3498"/>
      <c r="C42" s="2845" t="s">
        <v>2483</v>
      </c>
      <c r="D42" s="2846"/>
      <c r="E42" s="2847">
        <v>1</v>
      </c>
      <c r="F42" s="2844" t="s">
        <v>2484</v>
      </c>
      <c r="G42" s="2844"/>
    </row>
    <row r="43" spans="1:7" ht="19.5" customHeight="1">
      <c r="A43" s="3505"/>
      <c r="B43" s="3507"/>
      <c r="C43" s="2845" t="s">
        <v>2485</v>
      </c>
      <c r="D43" s="2846"/>
      <c r="E43" s="2847">
        <v>1.5</v>
      </c>
      <c r="F43" s="2844" t="s">
        <v>2486</v>
      </c>
      <c r="G43" s="2844"/>
    </row>
    <row r="44" spans="1:7" ht="19.5" customHeight="1">
      <c r="A44" s="3505"/>
      <c r="B44" s="2856" t="s">
        <v>2637</v>
      </c>
      <c r="C44" s="2845" t="s">
        <v>2638</v>
      </c>
      <c r="D44" s="2846"/>
      <c r="E44" s="2847">
        <v>2</v>
      </c>
      <c r="F44" s="2844" t="s">
        <v>2487</v>
      </c>
      <c r="G44" s="2844"/>
    </row>
    <row r="45" spans="1:7" ht="19.5" customHeight="1">
      <c r="A45" s="3505"/>
      <c r="B45" s="3503" t="s">
        <v>2639</v>
      </c>
      <c r="C45" s="2845" t="s">
        <v>2488</v>
      </c>
      <c r="D45" s="2846"/>
      <c r="E45" s="2847">
        <v>1</v>
      </c>
      <c r="F45" s="2844" t="s">
        <v>2489</v>
      </c>
      <c r="G45" s="2844"/>
    </row>
    <row r="46" spans="1:7" ht="19.5" customHeight="1">
      <c r="A46" s="3505"/>
      <c r="B46" s="3498"/>
      <c r="C46" s="2845" t="s">
        <v>2490</v>
      </c>
      <c r="D46" s="2846"/>
      <c r="E46" s="2847">
        <v>1</v>
      </c>
      <c r="F46" s="2844" t="s">
        <v>2491</v>
      </c>
      <c r="G46" s="2844"/>
    </row>
    <row r="47" spans="1:7" ht="19.5" customHeight="1">
      <c r="A47" s="3505"/>
      <c r="B47" s="3498"/>
      <c r="C47" s="2845" t="s">
        <v>2492</v>
      </c>
      <c r="D47" s="2846"/>
      <c r="E47" s="2847">
        <v>1</v>
      </c>
      <c r="F47" s="2844" t="s">
        <v>2493</v>
      </c>
      <c r="G47" s="2844"/>
    </row>
    <row r="48" spans="1:7" ht="19.5" customHeight="1">
      <c r="A48" s="3505"/>
      <c r="B48" s="3498"/>
      <c r="C48" s="2845" t="s">
        <v>2494</v>
      </c>
      <c r="D48" s="2846"/>
      <c r="E48" s="2847">
        <v>1</v>
      </c>
      <c r="F48" s="2844" t="s">
        <v>2495</v>
      </c>
      <c r="G48" s="2844"/>
    </row>
    <row r="49" spans="1:7" ht="19.5" customHeight="1">
      <c r="A49" s="3505"/>
      <c r="B49" s="3498"/>
      <c r="C49" s="2845" t="s">
        <v>2496</v>
      </c>
      <c r="D49" s="2846"/>
      <c r="E49" s="2847">
        <v>1</v>
      </c>
      <c r="F49" s="2844" t="s">
        <v>2497</v>
      </c>
      <c r="G49" s="2844"/>
    </row>
    <row r="50" spans="1:7" ht="19.5" customHeight="1">
      <c r="A50" s="3505"/>
      <c r="B50" s="3498"/>
      <c r="C50" s="2845" t="s">
        <v>2498</v>
      </c>
      <c r="D50" s="2846"/>
      <c r="E50" s="2847">
        <v>1</v>
      </c>
      <c r="F50" s="2844" t="s">
        <v>2499</v>
      </c>
      <c r="G50" s="2844"/>
    </row>
    <row r="51" spans="1:7" ht="19.5" customHeight="1" thickBot="1">
      <c r="A51" s="3506"/>
      <c r="B51" s="3499"/>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503" t="s">
        <v>2653</v>
      </c>
      <c r="C73" s="2830" t="s">
        <v>2654</v>
      </c>
      <c r="D73" s="2830" t="s">
        <v>2655</v>
      </c>
      <c r="E73" s="2856">
        <v>0.2</v>
      </c>
      <c r="F73" s="2856">
        <v>25</v>
      </c>
    </row>
    <row r="74" spans="1:7" ht="24">
      <c r="A74" s="2856">
        <v>2</v>
      </c>
      <c r="B74" s="3498"/>
      <c r="C74" s="2830" t="s">
        <v>2656</v>
      </c>
      <c r="D74" s="2830" t="s">
        <v>2657</v>
      </c>
      <c r="E74" s="2856">
        <v>0.2</v>
      </c>
      <c r="F74" s="2856">
        <v>25</v>
      </c>
    </row>
    <row r="75" spans="1:7" ht="24">
      <c r="A75" s="2856">
        <v>3</v>
      </c>
      <c r="B75" s="3498"/>
      <c r="C75" s="2830" t="s">
        <v>2658</v>
      </c>
      <c r="D75" s="2830" t="s">
        <v>2659</v>
      </c>
      <c r="E75" s="2856">
        <v>0.2</v>
      </c>
      <c r="F75" s="2856">
        <v>25</v>
      </c>
    </row>
    <row r="76" spans="1:7" ht="14.4">
      <c r="A76" s="2856">
        <v>4</v>
      </c>
      <c r="B76" s="3498"/>
      <c r="C76" s="2830" t="s">
        <v>2660</v>
      </c>
      <c r="D76" s="2830" t="s">
        <v>2661</v>
      </c>
      <c r="E76" s="2856">
        <v>0.15</v>
      </c>
      <c r="F76" s="2856">
        <v>20</v>
      </c>
    </row>
    <row r="77" spans="1:7" ht="24">
      <c r="A77" s="2856">
        <v>5</v>
      </c>
      <c r="B77" s="3498"/>
      <c r="C77" s="2830" t="s">
        <v>2662</v>
      </c>
      <c r="D77" s="2830" t="s">
        <v>2663</v>
      </c>
      <c r="E77" s="2856">
        <v>0.15</v>
      </c>
      <c r="F77" s="2856">
        <v>20</v>
      </c>
    </row>
    <row r="78" spans="1:7" ht="24">
      <c r="A78" s="2856">
        <v>6</v>
      </c>
      <c r="B78" s="3498"/>
      <c r="C78" s="2830" t="s">
        <v>2664</v>
      </c>
      <c r="D78" s="2830" t="s">
        <v>2665</v>
      </c>
      <c r="E78" s="2856">
        <v>0.15</v>
      </c>
      <c r="F78" s="2856">
        <v>20</v>
      </c>
    </row>
    <row r="79" spans="1:7" ht="24">
      <c r="A79" s="2856">
        <v>7</v>
      </c>
      <c r="B79" s="3498"/>
      <c r="C79" s="2830" t="s">
        <v>2666</v>
      </c>
      <c r="D79" s="2830" t="s">
        <v>2667</v>
      </c>
      <c r="E79" s="2856">
        <v>0.15</v>
      </c>
      <c r="F79" s="2856">
        <v>20</v>
      </c>
    </row>
    <row r="80" spans="1:7" ht="24">
      <c r="A80" s="2856">
        <v>8</v>
      </c>
      <c r="B80" s="3498"/>
      <c r="C80" s="2830" t="s">
        <v>2668</v>
      </c>
      <c r="D80" s="2830" t="s">
        <v>2669</v>
      </c>
      <c r="E80" s="2856">
        <v>0.1</v>
      </c>
      <c r="F80" s="2856">
        <v>15</v>
      </c>
    </row>
    <row r="81" spans="1:6" ht="24">
      <c r="A81" s="2856">
        <v>9</v>
      </c>
      <c r="B81" s="3498"/>
      <c r="C81" s="2830" t="s">
        <v>2670</v>
      </c>
      <c r="D81" s="2830" t="s">
        <v>2671</v>
      </c>
      <c r="E81" s="2856">
        <v>0.1</v>
      </c>
      <c r="F81" s="2856">
        <v>15</v>
      </c>
    </row>
    <row r="82" spans="1:6" ht="24">
      <c r="A82" s="2856">
        <v>10</v>
      </c>
      <c r="B82" s="3498"/>
      <c r="C82" s="2830" t="s">
        <v>2672</v>
      </c>
      <c r="D82" s="2830" t="s">
        <v>2673</v>
      </c>
      <c r="E82" s="2856">
        <v>0.1</v>
      </c>
      <c r="F82" s="2856">
        <v>15</v>
      </c>
    </row>
    <row r="83" spans="1:6" ht="24">
      <c r="A83" s="2856">
        <v>11</v>
      </c>
      <c r="B83" s="3498"/>
      <c r="C83" s="2830" t="s">
        <v>2674</v>
      </c>
      <c r="D83" s="2830" t="s">
        <v>2675</v>
      </c>
      <c r="E83" s="2856">
        <v>0.1</v>
      </c>
      <c r="F83" s="2856">
        <v>15</v>
      </c>
    </row>
    <row r="84" spans="1:6" ht="24">
      <c r="A84" s="2856">
        <v>12</v>
      </c>
      <c r="B84" s="3498"/>
      <c r="C84" s="2830" t="s">
        <v>2676</v>
      </c>
      <c r="D84" s="2830" t="s">
        <v>2677</v>
      </c>
      <c r="E84" s="2856">
        <v>0.1</v>
      </c>
      <c r="F84" s="2856">
        <v>15</v>
      </c>
    </row>
    <row r="85" spans="1:6" ht="24">
      <c r="A85" s="2856">
        <v>13</v>
      </c>
      <c r="B85" s="3498"/>
      <c r="C85" s="2830" t="s">
        <v>2678</v>
      </c>
      <c r="D85" s="2830" t="s">
        <v>2679</v>
      </c>
      <c r="E85" s="2856">
        <v>0.1</v>
      </c>
      <c r="F85" s="2856">
        <v>15</v>
      </c>
    </row>
    <row r="86" spans="1:6" ht="24">
      <c r="A86" s="2856">
        <v>14</v>
      </c>
      <c r="B86" s="3498"/>
      <c r="C86" s="2830" t="s">
        <v>2680</v>
      </c>
      <c r="D86" s="2830" t="s">
        <v>2681</v>
      </c>
      <c r="E86" s="2856">
        <v>0.1</v>
      </c>
      <c r="F86" s="2856">
        <v>15</v>
      </c>
    </row>
    <row r="87" spans="1:6" ht="24">
      <c r="A87" s="2856">
        <v>15</v>
      </c>
      <c r="B87" s="3498"/>
      <c r="C87" s="2830" t="s">
        <v>2682</v>
      </c>
      <c r="D87" s="2830" t="s">
        <v>2683</v>
      </c>
      <c r="E87" s="2856">
        <v>0.1</v>
      </c>
      <c r="F87" s="2856">
        <v>15</v>
      </c>
    </row>
    <row r="88" spans="1:6" ht="24">
      <c r="A88" s="2856">
        <v>16</v>
      </c>
      <c r="B88" s="3498"/>
      <c r="C88" s="2830" t="s">
        <v>2684</v>
      </c>
      <c r="D88" s="2830" t="s">
        <v>2685</v>
      </c>
      <c r="E88" s="2856">
        <v>0.1</v>
      </c>
      <c r="F88" s="2856">
        <v>15</v>
      </c>
    </row>
    <row r="89" spans="1:6" ht="24">
      <c r="A89" s="2856">
        <v>17</v>
      </c>
      <c r="B89" s="3507"/>
      <c r="C89" s="2830" t="s">
        <v>2686</v>
      </c>
      <c r="D89" s="2830" t="s">
        <v>2687</v>
      </c>
      <c r="E89" s="2856">
        <v>0.1</v>
      </c>
      <c r="F89" s="2856">
        <v>15</v>
      </c>
    </row>
    <row r="90" spans="1:6" ht="14.4">
      <c r="A90" s="2856">
        <v>18</v>
      </c>
      <c r="B90" s="3503" t="s">
        <v>2688</v>
      </c>
      <c r="C90" s="2830" t="s">
        <v>2689</v>
      </c>
      <c r="D90" s="2830" t="s">
        <v>2690</v>
      </c>
      <c r="E90" s="2856">
        <v>0.2</v>
      </c>
      <c r="F90" s="2856">
        <v>25</v>
      </c>
    </row>
    <row r="91" spans="1:6" ht="24">
      <c r="A91" s="2856">
        <v>19</v>
      </c>
      <c r="B91" s="3498"/>
      <c r="C91" s="2830" t="s">
        <v>2691</v>
      </c>
      <c r="D91" s="2830" t="s">
        <v>2692</v>
      </c>
      <c r="E91" s="2856">
        <v>0.2</v>
      </c>
      <c r="F91" s="2856">
        <v>25</v>
      </c>
    </row>
    <row r="92" spans="1:6" ht="14.4">
      <c r="A92" s="2856">
        <v>20</v>
      </c>
      <c r="B92" s="3498"/>
      <c r="C92" s="2830" t="s">
        <v>2693</v>
      </c>
      <c r="D92" s="2830" t="s">
        <v>2694</v>
      </c>
      <c r="E92" s="2856">
        <v>0.15</v>
      </c>
      <c r="F92" s="2856">
        <v>20</v>
      </c>
    </row>
    <row r="93" spans="1:6" ht="24">
      <c r="A93" s="2856">
        <v>21</v>
      </c>
      <c r="B93" s="3498"/>
      <c r="C93" s="2830" t="s">
        <v>2695</v>
      </c>
      <c r="D93" s="2830" t="s">
        <v>2696</v>
      </c>
      <c r="E93" s="2856">
        <v>0.15</v>
      </c>
      <c r="F93" s="2856">
        <v>20</v>
      </c>
    </row>
    <row r="94" spans="1:6" ht="24">
      <c r="A94" s="2856">
        <v>22</v>
      </c>
      <c r="B94" s="3498"/>
      <c r="C94" s="2830" t="s">
        <v>2697</v>
      </c>
      <c r="D94" s="2830" t="s">
        <v>2698</v>
      </c>
      <c r="E94" s="2856">
        <v>0.15</v>
      </c>
      <c r="F94" s="2856">
        <v>20</v>
      </c>
    </row>
    <row r="95" spans="1:6" ht="36">
      <c r="A95" s="2856">
        <v>23</v>
      </c>
      <c r="B95" s="3498"/>
      <c r="C95" s="2830" t="s">
        <v>2699</v>
      </c>
      <c r="D95" s="2830" t="s">
        <v>2700</v>
      </c>
      <c r="E95" s="2856">
        <v>0.15</v>
      </c>
      <c r="F95" s="2856">
        <v>20</v>
      </c>
    </row>
    <row r="96" spans="1:6" ht="24">
      <c r="A96" s="2856">
        <v>24</v>
      </c>
      <c r="B96" s="3498"/>
      <c r="C96" s="2830" t="s">
        <v>2701</v>
      </c>
      <c r="D96" s="2830" t="s">
        <v>2702</v>
      </c>
      <c r="E96" s="2856">
        <v>0.1</v>
      </c>
      <c r="F96" s="2856">
        <v>15</v>
      </c>
    </row>
    <row r="97" spans="1:6" ht="24">
      <c r="A97" s="2856">
        <v>25</v>
      </c>
      <c r="B97" s="3498"/>
      <c r="C97" s="2830" t="s">
        <v>2703</v>
      </c>
      <c r="D97" s="2830" t="s">
        <v>2704</v>
      </c>
      <c r="E97" s="2856">
        <v>0.1</v>
      </c>
      <c r="F97" s="2856">
        <v>15</v>
      </c>
    </row>
    <row r="98" spans="1:6" ht="24">
      <c r="A98" s="2856">
        <v>26</v>
      </c>
      <c r="B98" s="3498"/>
      <c r="C98" s="2830" t="s">
        <v>2705</v>
      </c>
      <c r="D98" s="2830" t="s">
        <v>2706</v>
      </c>
      <c r="E98" s="2856">
        <v>0.1</v>
      </c>
      <c r="F98" s="2856">
        <v>15</v>
      </c>
    </row>
    <row r="99" spans="1:6" ht="24">
      <c r="A99" s="2856">
        <v>27</v>
      </c>
      <c r="B99" s="3498"/>
      <c r="C99" s="2830" t="s">
        <v>2707</v>
      </c>
      <c r="D99" s="2830" t="s">
        <v>2708</v>
      </c>
      <c r="E99" s="2856">
        <v>0.1</v>
      </c>
      <c r="F99" s="2856">
        <v>15</v>
      </c>
    </row>
    <row r="100" spans="1:6" ht="24">
      <c r="A100" s="2856">
        <v>28</v>
      </c>
      <c r="B100" s="3498"/>
      <c r="C100" s="2830" t="s">
        <v>2709</v>
      </c>
      <c r="D100" s="2830" t="s">
        <v>2710</v>
      </c>
      <c r="E100" s="2856">
        <v>0.1</v>
      </c>
      <c r="F100" s="2856">
        <v>15</v>
      </c>
    </row>
    <row r="101" spans="1:6" ht="24">
      <c r="A101" s="2856">
        <v>29</v>
      </c>
      <c r="B101" s="3498"/>
      <c r="C101" s="2830" t="s">
        <v>2711</v>
      </c>
      <c r="D101" s="2830" t="s">
        <v>2712</v>
      </c>
      <c r="E101" s="2856">
        <v>0.1</v>
      </c>
      <c r="F101" s="2856">
        <v>15</v>
      </c>
    </row>
    <row r="102" spans="1:6" ht="24">
      <c r="A102" s="2856">
        <v>30</v>
      </c>
      <c r="B102" s="3498"/>
      <c r="C102" s="2830" t="s">
        <v>2713</v>
      </c>
      <c r="D102" s="2830" t="s">
        <v>2714</v>
      </c>
      <c r="E102" s="2856">
        <v>0.1</v>
      </c>
      <c r="F102" s="2856">
        <v>15</v>
      </c>
    </row>
    <row r="103" spans="1:6" ht="24">
      <c r="A103" s="2856">
        <v>31</v>
      </c>
      <c r="B103" s="3498"/>
      <c r="C103" s="2830" t="s">
        <v>2715</v>
      </c>
      <c r="D103" s="2830" t="s">
        <v>2716</v>
      </c>
      <c r="E103" s="2856">
        <v>0.1</v>
      </c>
      <c r="F103" s="2856">
        <v>15</v>
      </c>
    </row>
    <row r="104" spans="1:6" ht="24">
      <c r="A104" s="2856">
        <v>32</v>
      </c>
      <c r="B104" s="3498"/>
      <c r="C104" s="2830" t="s">
        <v>2717</v>
      </c>
      <c r="D104" s="2830" t="s">
        <v>2718</v>
      </c>
      <c r="E104" s="2856">
        <v>0.1</v>
      </c>
      <c r="F104" s="2856">
        <v>15</v>
      </c>
    </row>
    <row r="105" spans="1:6" ht="24">
      <c r="A105" s="2856">
        <v>33</v>
      </c>
      <c r="B105" s="3498"/>
      <c r="C105" s="2830" t="s">
        <v>2719</v>
      </c>
      <c r="D105" s="2830" t="s">
        <v>2720</v>
      </c>
      <c r="E105" s="2856">
        <v>0.1</v>
      </c>
      <c r="F105" s="2856">
        <v>15</v>
      </c>
    </row>
    <row r="106" spans="1:6" ht="24">
      <c r="A106" s="2856">
        <v>34</v>
      </c>
      <c r="B106" s="3507"/>
      <c r="C106" s="2830" t="s">
        <v>2721</v>
      </c>
      <c r="D106" s="2830" t="s">
        <v>2722</v>
      </c>
      <c r="E106" s="2856">
        <v>0.1</v>
      </c>
      <c r="F106" s="2856">
        <v>15</v>
      </c>
    </row>
    <row r="107" spans="1:6" ht="36">
      <c r="A107" s="2856">
        <v>35</v>
      </c>
      <c r="B107" s="3503" t="s">
        <v>2723</v>
      </c>
      <c r="C107" s="2856" t="s">
        <v>2724</v>
      </c>
      <c r="D107" s="2830" t="s">
        <v>2725</v>
      </c>
      <c r="E107" s="2856">
        <v>0.15</v>
      </c>
      <c r="F107" s="2856">
        <v>20</v>
      </c>
    </row>
    <row r="108" spans="1:6" ht="24">
      <c r="A108" s="2856">
        <v>36</v>
      </c>
      <c r="B108" s="3498"/>
      <c r="C108" s="2856" t="s">
        <v>2726</v>
      </c>
      <c r="D108" s="2830" t="s">
        <v>2727</v>
      </c>
      <c r="E108" s="2856">
        <v>0.15</v>
      </c>
      <c r="F108" s="2856">
        <v>20</v>
      </c>
    </row>
    <row r="109" spans="1:6" ht="24">
      <c r="A109" s="2856">
        <v>37</v>
      </c>
      <c r="B109" s="3498"/>
      <c r="C109" s="2856" t="s">
        <v>2728</v>
      </c>
      <c r="D109" s="2830" t="s">
        <v>2729</v>
      </c>
      <c r="E109" s="2856">
        <v>0.15</v>
      </c>
      <c r="F109" s="2856">
        <v>20</v>
      </c>
    </row>
    <row r="110" spans="1:6" ht="24">
      <c r="A110" s="2856">
        <v>38</v>
      </c>
      <c r="B110" s="3498"/>
      <c r="C110" s="2856" t="s">
        <v>2730</v>
      </c>
      <c r="D110" s="2830" t="s">
        <v>2731</v>
      </c>
      <c r="E110" s="2856">
        <v>0.1</v>
      </c>
      <c r="F110" s="2856">
        <v>15</v>
      </c>
    </row>
    <row r="111" spans="1:6" ht="24">
      <c r="A111" s="2856">
        <v>39</v>
      </c>
      <c r="B111" s="3498"/>
      <c r="C111" s="2856" t="s">
        <v>2732</v>
      </c>
      <c r="D111" s="2830" t="s">
        <v>2733</v>
      </c>
      <c r="E111" s="2856">
        <v>0.1</v>
      </c>
      <c r="F111" s="2856">
        <v>15</v>
      </c>
    </row>
    <row r="112" spans="1:6" ht="24">
      <c r="A112" s="2856">
        <v>40</v>
      </c>
      <c r="B112" s="3507"/>
      <c r="C112" s="2856" t="s">
        <v>2734</v>
      </c>
      <c r="D112" s="2830" t="s">
        <v>2735</v>
      </c>
      <c r="E112" s="2856">
        <v>0.1</v>
      </c>
      <c r="F112" s="2856">
        <v>15</v>
      </c>
    </row>
    <row r="113" spans="1:6" ht="24">
      <c r="A113" s="2856">
        <v>41</v>
      </c>
      <c r="B113" s="3508" t="s">
        <v>2736</v>
      </c>
      <c r="C113" s="2856" t="s">
        <v>2737</v>
      </c>
      <c r="D113" s="2830" t="s">
        <v>2738</v>
      </c>
      <c r="E113" s="2856">
        <v>0.1</v>
      </c>
      <c r="F113" s="2856">
        <v>15</v>
      </c>
    </row>
    <row r="114" spans="1:6" ht="24">
      <c r="A114" s="2856">
        <v>42</v>
      </c>
      <c r="B114" s="3508"/>
      <c r="C114" s="2856" t="s">
        <v>2739</v>
      </c>
      <c r="D114" s="2830" t="s">
        <v>2740</v>
      </c>
      <c r="E114" s="2856">
        <v>0.1</v>
      </c>
      <c r="F114" s="2856">
        <v>15</v>
      </c>
    </row>
    <row r="115" spans="1:6" ht="24">
      <c r="A115" s="2856">
        <v>43</v>
      </c>
      <c r="B115" s="3508"/>
      <c r="C115" s="2856" t="s">
        <v>2741</v>
      </c>
      <c r="D115" s="2830" t="s">
        <v>2742</v>
      </c>
      <c r="E115" s="2856">
        <v>0.1</v>
      </c>
      <c r="F115" s="2856">
        <v>15</v>
      </c>
    </row>
    <row r="116" spans="1:6" ht="24">
      <c r="A116" s="2856">
        <v>44</v>
      </c>
      <c r="B116" s="3503" t="s">
        <v>2743</v>
      </c>
      <c r="C116" s="2856" t="s">
        <v>2744</v>
      </c>
      <c r="D116" s="2830" t="s">
        <v>2745</v>
      </c>
      <c r="E116" s="2856">
        <v>0.1</v>
      </c>
      <c r="F116" s="2856">
        <v>15</v>
      </c>
    </row>
    <row r="117" spans="1:6" ht="24">
      <c r="A117" s="2856">
        <v>45</v>
      </c>
      <c r="B117" s="3507"/>
      <c r="C117" s="2830" t="s">
        <v>2746</v>
      </c>
      <c r="D117" s="2830" t="s">
        <v>2747</v>
      </c>
      <c r="E117" s="2856">
        <v>0.1</v>
      </c>
      <c r="F117" s="2856">
        <v>15</v>
      </c>
    </row>
    <row r="118" spans="1:6" ht="24">
      <c r="A118" s="2856">
        <v>46</v>
      </c>
      <c r="B118" s="3503" t="s">
        <v>2748</v>
      </c>
      <c r="C118" s="2856" t="s">
        <v>2749</v>
      </c>
      <c r="D118" s="2830" t="s">
        <v>2750</v>
      </c>
      <c r="E118" s="2856">
        <v>0.1</v>
      </c>
      <c r="F118" s="2856">
        <v>15</v>
      </c>
    </row>
    <row r="119" spans="1:6" ht="24">
      <c r="A119" s="2856">
        <v>47</v>
      </c>
      <c r="B119" s="3507"/>
      <c r="C119" s="2856" t="s">
        <v>2751</v>
      </c>
      <c r="D119" s="2830" t="s">
        <v>2752</v>
      </c>
      <c r="E119" s="2856">
        <v>0.1</v>
      </c>
      <c r="F119" s="2856">
        <v>15</v>
      </c>
    </row>
    <row r="120" spans="1:6" ht="24">
      <c r="A120" s="2856">
        <v>48</v>
      </c>
      <c r="B120" s="3503" t="s">
        <v>2753</v>
      </c>
      <c r="C120" s="2856" t="s">
        <v>2754</v>
      </c>
      <c r="D120" s="2830" t="s">
        <v>2755</v>
      </c>
      <c r="E120" s="2856">
        <v>0.1</v>
      </c>
      <c r="F120" s="2856">
        <v>15</v>
      </c>
    </row>
    <row r="121" spans="1:6" ht="24">
      <c r="A121" s="2856">
        <v>49</v>
      </c>
      <c r="B121" s="3507"/>
      <c r="C121" s="2856" t="s">
        <v>2756</v>
      </c>
      <c r="D121" s="2830" t="s">
        <v>2757</v>
      </c>
      <c r="E121" s="2856">
        <v>0.1</v>
      </c>
      <c r="F121" s="2856">
        <v>15</v>
      </c>
    </row>
    <row r="122" spans="1:6" ht="24">
      <c r="A122" s="2856">
        <v>50</v>
      </c>
      <c r="B122" s="3508" t="s">
        <v>2758</v>
      </c>
      <c r="C122" s="2856" t="s">
        <v>2759</v>
      </c>
      <c r="D122" s="2830" t="s">
        <v>2760</v>
      </c>
      <c r="E122" s="2856">
        <v>0.1</v>
      </c>
      <c r="F122" s="2856">
        <v>15</v>
      </c>
    </row>
    <row r="123" spans="1:6" ht="24">
      <c r="A123" s="2856">
        <v>51</v>
      </c>
      <c r="B123" s="3508"/>
      <c r="C123" s="2856" t="s">
        <v>2761</v>
      </c>
      <c r="D123" s="2830" t="s">
        <v>2762</v>
      </c>
      <c r="E123" s="2856">
        <v>0.1</v>
      </c>
      <c r="F123" s="2856">
        <v>15</v>
      </c>
    </row>
    <row r="124" spans="1:6" ht="24">
      <c r="A124" s="2856">
        <v>52</v>
      </c>
      <c r="B124" s="3508" t="s">
        <v>2763</v>
      </c>
      <c r="C124" s="2856" t="s">
        <v>2764</v>
      </c>
      <c r="D124" s="2830" t="s">
        <v>2765</v>
      </c>
      <c r="E124" s="2856">
        <v>0.1</v>
      </c>
      <c r="F124" s="2856">
        <v>15</v>
      </c>
    </row>
    <row r="125" spans="1:6" ht="24">
      <c r="A125" s="2856">
        <v>53</v>
      </c>
      <c r="B125" s="3508"/>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508" t="s">
        <v>2771</v>
      </c>
      <c r="C127" s="2856" t="s">
        <v>2772</v>
      </c>
      <c r="D127" s="2830" t="s">
        <v>2773</v>
      </c>
      <c r="E127" s="2856">
        <v>0.1</v>
      </c>
      <c r="F127" s="2856">
        <v>15</v>
      </c>
    </row>
    <row r="128" spans="1:6" ht="24">
      <c r="A128" s="2856">
        <v>56</v>
      </c>
      <c r="B128" s="3508"/>
      <c r="C128" s="2856" t="s">
        <v>2774</v>
      </c>
      <c r="D128" s="2830" t="s">
        <v>2775</v>
      </c>
      <c r="E128" s="2856">
        <v>0.1</v>
      </c>
      <c r="F128" s="2856">
        <v>15</v>
      </c>
    </row>
    <row r="129" spans="1:6" ht="24">
      <c r="A129" s="2856">
        <v>57</v>
      </c>
      <c r="B129" s="3508"/>
      <c r="C129" s="2856" t="s">
        <v>2776</v>
      </c>
      <c r="D129" s="2830" t="s">
        <v>2777</v>
      </c>
      <c r="E129" s="2856">
        <v>0.1</v>
      </c>
      <c r="F129" s="2856">
        <v>15</v>
      </c>
    </row>
    <row r="130" spans="1:6" ht="24">
      <c r="A130" s="2856">
        <v>58</v>
      </c>
      <c r="B130" s="3508" t="s">
        <v>2778</v>
      </c>
      <c r="C130" s="2856" t="s">
        <v>2779</v>
      </c>
      <c r="D130" s="2830" t="s">
        <v>2780</v>
      </c>
      <c r="E130" s="2856">
        <v>0.1</v>
      </c>
      <c r="F130" s="2856">
        <v>15</v>
      </c>
    </row>
    <row r="131" spans="1:6" ht="24">
      <c r="A131" s="2856">
        <v>59</v>
      </c>
      <c r="B131" s="3508"/>
      <c r="C131" s="2856" t="s">
        <v>2781</v>
      </c>
      <c r="D131" s="2830" t="s">
        <v>2782</v>
      </c>
      <c r="E131" s="2856">
        <v>0.1</v>
      </c>
      <c r="F131" s="2856">
        <v>15</v>
      </c>
    </row>
    <row r="132" spans="1:6" ht="24">
      <c r="A132" s="2856">
        <v>60</v>
      </c>
      <c r="B132" s="3503" t="s">
        <v>2783</v>
      </c>
      <c r="C132" s="2856" t="s">
        <v>2784</v>
      </c>
      <c r="D132" s="2830" t="s">
        <v>2785</v>
      </c>
      <c r="E132" s="2856">
        <v>0.1</v>
      </c>
      <c r="F132" s="2856">
        <v>15</v>
      </c>
    </row>
    <row r="133" spans="1:6" ht="24">
      <c r="A133" s="2856">
        <v>61</v>
      </c>
      <c r="B133" s="3507"/>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508" t="s">
        <v>2791</v>
      </c>
      <c r="C135" s="2856" t="s">
        <v>2792</v>
      </c>
      <c r="D135" s="2830" t="s">
        <v>2793</v>
      </c>
      <c r="E135" s="2856">
        <v>0.1</v>
      </c>
      <c r="F135" s="2856">
        <v>15</v>
      </c>
    </row>
    <row r="136" spans="1:6" ht="24">
      <c r="A136" s="2856">
        <v>64</v>
      </c>
      <c r="B136" s="3508"/>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6"/>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1.0512999999999999</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1</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56578</v>
      </c>
      <c r="C2" s="2" t="s">
        <v>106</v>
      </c>
      <c r="D2" s="190"/>
      <c r="E2" s="190"/>
      <c r="F2" s="190"/>
      <c r="G2" s="190"/>
    </row>
    <row r="3" spans="1:7" s="191" customFormat="1" ht="18" customHeight="1" thickBot="1">
      <c r="A3" s="194" t="s">
        <v>58</v>
      </c>
      <c r="B3" s="195">
        <f ca="1">ROUND(B2*10000/'数据-汇总表'!E3,0)</f>
        <v>11695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968</v>
      </c>
      <c r="D10" s="794">
        <f>'数据-汇总表'!E6</f>
        <v>48377.229999999996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968</v>
      </c>
      <c r="D19" s="203">
        <f>'数据-汇总表'!E3</f>
        <v>48377.229999999996</v>
      </c>
      <c r="E19" s="202">
        <f>'数据-取费表'!B31</f>
        <v>200</v>
      </c>
      <c r="F19" s="222"/>
      <c r="G19" s="1" t="s">
        <v>436</v>
      </c>
    </row>
    <row r="20" spans="1:7" s="205" customFormat="1" ht="13.5" customHeight="1">
      <c r="A20" s="730" t="s">
        <v>419</v>
      </c>
      <c r="B20" s="201" t="s">
        <v>77</v>
      </c>
      <c r="C20" s="223">
        <f>ROUND((C5+C19)*F20,0)</f>
        <v>432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1372</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61</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6.4">
      <c r="A27" s="730" t="s">
        <v>342</v>
      </c>
      <c r="B27" s="235" t="s">
        <v>85</v>
      </c>
      <c r="C27" s="236">
        <f>C28</f>
        <v>1761</v>
      </c>
      <c r="D27" s="226">
        <f>C29</f>
        <v>1.6000000000000001E-3</v>
      </c>
      <c r="E27" s="227" t="s">
        <v>99</v>
      </c>
      <c r="F27" s="237">
        <f>'数据-取费表'!Q16</f>
        <v>0.08</v>
      </c>
      <c r="G27" s="238" t="s">
        <v>431</v>
      </c>
    </row>
    <row r="28" spans="1:7" s="205" customFormat="1" ht="13.5" customHeight="1">
      <c r="A28" s="733" t="s">
        <v>349</v>
      </c>
      <c r="B28" s="239" t="s">
        <v>424</v>
      </c>
      <c r="C28" s="240">
        <f>ROUND((C5+C19+C20)*F27*'数据-取费表'!B21/'数据-取费表'!B20,0)</f>
        <v>1761</v>
      </c>
      <c r="D28" s="226"/>
      <c r="E28" s="227"/>
      <c r="F28" s="237"/>
      <c r="G28" s="238"/>
    </row>
    <row r="29" spans="1:7" s="205" customFormat="1" ht="13.5" customHeight="1">
      <c r="A29" s="733" t="s">
        <v>347</v>
      </c>
      <c r="B29" s="239" t="s">
        <v>425</v>
      </c>
      <c r="C29" s="229">
        <f>ROUND(C21*F27*'数据-取费表'!B21/'数据-取费表'!B20,4)</f>
        <v>1.6000000000000001E-3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27197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25773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23624</v>
      </c>
      <c r="D34" s="208"/>
      <c r="E34" s="211"/>
      <c r="F34" s="248">
        <f>IF('数据-取费表'!B24=0,1,'数据-取费表'!N16)</f>
        <v>1</v>
      </c>
      <c r="G34" s="210" t="s">
        <v>89</v>
      </c>
    </row>
    <row r="35" spans="1:7" ht="13.5" customHeight="1">
      <c r="A35" s="733" t="s">
        <v>351</v>
      </c>
      <c r="B35" s="206" t="s">
        <v>33</v>
      </c>
      <c r="C35" s="211">
        <f>ROUND(C34*F35,0)</f>
        <v>709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968</v>
      </c>
      <c r="D37" s="208">
        <f>'数据-汇总表'!E3</f>
        <v>48377.229999999996</v>
      </c>
      <c r="E37" s="240">
        <f>'数据-取费表'!B35</f>
        <v>200</v>
      </c>
      <c r="F37" s="250"/>
      <c r="G37" s="252" t="s">
        <v>92</v>
      </c>
    </row>
    <row r="38" spans="1:7" ht="13.5" customHeight="1">
      <c r="A38" s="733" t="s">
        <v>354</v>
      </c>
      <c r="B38" s="206" t="s">
        <v>36</v>
      </c>
      <c r="C38" s="211">
        <f>ROUND(C34*F38,0)</f>
        <v>472</v>
      </c>
      <c r="D38" s="211"/>
      <c r="E38" s="211"/>
      <c r="F38" s="250">
        <f>'数据-取费表'!B36</f>
        <v>0.02</v>
      </c>
      <c r="G38" s="210" t="s">
        <v>90</v>
      </c>
    </row>
    <row r="39" spans="1:7" s="205" customFormat="1" ht="13.5" customHeight="1">
      <c r="A39" s="730" t="s">
        <v>338</v>
      </c>
      <c r="B39" s="201" t="s">
        <v>77</v>
      </c>
      <c r="C39" s="223">
        <f>ROUND(C33*F20,0)</f>
        <v>515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815</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799</v>
      </c>
      <c r="D42" s="229"/>
      <c r="E42" s="229"/>
      <c r="F42" s="230"/>
      <c r="G42" s="3397" t="s">
        <v>94</v>
      </c>
    </row>
    <row r="43" spans="1:7" ht="13.5" customHeight="1">
      <c r="A43" s="733" t="s">
        <v>347</v>
      </c>
      <c r="B43" s="206" t="s">
        <v>426</v>
      </c>
      <c r="C43" s="229">
        <f ca="1">ROUND(IF('数据-取费表'!B22&lt;=1,C39*F22*'数据-取费表'!B21/2,C39*(POWER((1+F22),'数据-取费表'!B21/2)-1)),0)</f>
        <v>16</v>
      </c>
      <c r="D43" s="229"/>
      <c r="E43" s="229"/>
      <c r="F43" s="230"/>
      <c r="G43" s="3398"/>
    </row>
    <row r="44" spans="1:7" ht="13.5" customHeight="1">
      <c r="A44" s="733" t="s">
        <v>348</v>
      </c>
      <c r="B44" s="206" t="s">
        <v>428</v>
      </c>
      <c r="C44" s="229">
        <f ca="1">ROUND(IF('数据-取费表'!B22&lt;=1,C40*F22*'数据-取费表'!B21/2,C40*(POWER((1+F22),'数据-取费表'!B21/2)-1)),4)</f>
        <v>5.9999999999999995E-4</v>
      </c>
      <c r="D44" s="229"/>
      <c r="E44" s="229"/>
      <c r="F44" s="230"/>
      <c r="G44" s="3399"/>
    </row>
    <row r="45" spans="1:7" s="205" customFormat="1" ht="13.5" customHeight="1">
      <c r="A45" s="730" t="s">
        <v>341</v>
      </c>
      <c r="B45" s="235" t="s">
        <v>85</v>
      </c>
      <c r="C45" s="236">
        <f>C46</f>
        <v>2103</v>
      </c>
      <c r="D45" s="226">
        <f>C47</f>
        <v>1.6000000000000001E-3</v>
      </c>
      <c r="E45" s="227" t="s">
        <v>102</v>
      </c>
      <c r="F45" s="237"/>
      <c r="G45" s="238" t="s">
        <v>434</v>
      </c>
    </row>
    <row r="46" spans="1:7" s="205" customFormat="1" ht="13.5" customHeight="1">
      <c r="A46" s="733" t="s">
        <v>349</v>
      </c>
      <c r="B46" s="239" t="s">
        <v>427</v>
      </c>
      <c r="C46" s="240">
        <f>ROUND((C33+C39)*F27,0)</f>
        <v>2103</v>
      </c>
      <c r="D46" s="254"/>
      <c r="E46" s="227"/>
      <c r="F46" s="237"/>
      <c r="G46" s="238"/>
    </row>
    <row r="47" spans="1:7" s="205" customFormat="1" ht="13.5" customHeight="1">
      <c r="A47" s="733" t="s">
        <v>347</v>
      </c>
      <c r="B47" s="239" t="s">
        <v>429</v>
      </c>
      <c r="C47" s="229">
        <f>ROUND(C40*F27,4)</f>
        <v>1.6000000000000001E-3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31592</v>
      </c>
      <c r="D49" s="223"/>
      <c r="E49" s="223"/>
      <c r="F49" s="255"/>
      <c r="G49" s="225" t="s">
        <v>435</v>
      </c>
    </row>
    <row r="50" spans="1:7" s="249" customFormat="1" ht="24">
      <c r="A50" s="730" t="s">
        <v>344</v>
      </c>
      <c r="B50" s="201" t="s">
        <v>97</v>
      </c>
      <c r="C50" s="223"/>
      <c r="D50" s="223"/>
      <c r="E50" s="223"/>
      <c r="F50" s="255">
        <f>IF('数据-取费表'!B24=0,'数据-取费表'!N16,1)</f>
        <v>0.93</v>
      </c>
      <c r="G50" s="238" t="s">
        <v>98</v>
      </c>
    </row>
    <row r="51" spans="1:7" ht="16.5" customHeight="1">
      <c r="A51" s="730" t="s">
        <v>345</v>
      </c>
      <c r="B51" s="201" t="s">
        <v>105</v>
      </c>
      <c r="C51" s="223">
        <f ca="1">ROUND(C49*F50,0)</f>
        <v>29381</v>
      </c>
      <c r="D51" s="223"/>
      <c r="E51" s="223"/>
      <c r="F51" s="255"/>
      <c r="G51" s="225" t="s">
        <v>37</v>
      </c>
    </row>
    <row r="52" spans="1:7" s="199" customFormat="1" ht="16.8" thickBot="1">
      <c r="A52" s="256" t="s">
        <v>38</v>
      </c>
      <c r="B52" s="257"/>
      <c r="C52" s="258">
        <f ca="1">C31+C51</f>
        <v>56578</v>
      </c>
      <c r="D52" s="257"/>
      <c r="E52" s="257"/>
      <c r="F52" s="257"/>
      <c r="G52" s="259"/>
    </row>
    <row r="55" spans="1:7" ht="15">
      <c r="B55" s="261" t="s">
        <v>39</v>
      </c>
      <c r="C55" s="262"/>
    </row>
    <row r="56" spans="1:7">
      <c r="B56" s="264" t="s">
        <v>40</v>
      </c>
      <c r="C56" s="265">
        <f ca="1">ROUND(C51/C52,3)</f>
        <v>0.51900000000000002</v>
      </c>
    </row>
    <row r="57" spans="1:7">
      <c r="B57" s="264" t="s">
        <v>41</v>
      </c>
      <c r="C57" s="266">
        <f ca="1">1-C56</f>
        <v>0.48099999999999998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F24" sqref="F2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7" customWidth="1"/>
    <col min="33" max="36" width="9.33203125" style="1893" customWidth="1"/>
    <col min="37" max="38" width="9.33203125" style="1843" customWidth="1"/>
    <col min="39" max="16384" width="12" style="1843"/>
  </cols>
  <sheetData>
    <row r="1" spans="1:36" ht="31.2">
      <c r="A1" s="187" t="s">
        <v>1926</v>
      </c>
      <c r="B1" s="188"/>
      <c r="C1" s="192" t="s">
        <v>1927</v>
      </c>
      <c r="D1" s="332">
        <f>SUM(D33:D34,D37:D42)</f>
        <v>47794.89</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2" t="s">
        <v>1934</v>
      </c>
      <c r="B2" s="195">
        <f>C30</f>
        <v>4769</v>
      </c>
      <c r="C2" s="1844" t="s">
        <v>1935</v>
      </c>
      <c r="D2" s="161" t="s">
        <v>1936</v>
      </c>
      <c r="E2" s="3119" t="s">
        <v>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Ⅶ-BDA南</v>
      </c>
      <c r="J2" s="1840"/>
      <c r="K2" s="1055"/>
      <c r="L2" s="1845" t="s">
        <v>1939</v>
      </c>
      <c r="M2" s="810">
        <f>SUMPRODUCT((区片价!B10:B29=I2)*(区片价!C3:G3=E2)*(区片价!C10:G29))</f>
        <v>0</v>
      </c>
      <c r="N2" s="812">
        <f>SUMPRODUCT((因素修正幅度!B10:B29=I2)*(因素修正幅度!C3:G3=E2)*(因素修正幅度!C10:G29))</f>
        <v>0</v>
      </c>
      <c r="O2" s="1055"/>
      <c r="P2" s="1055"/>
      <c r="Q2" s="1055"/>
      <c r="R2" s="1127">
        <v>1</v>
      </c>
      <c r="S2" s="3062">
        <f>ROUND(SUMPRODUCT((B106:B110=R2)*(C105:N105=G2)*(C106:N110)),4)</f>
        <v>1.5019</v>
      </c>
      <c r="T2" s="3062">
        <f t="shared" ref="T2:T16" si="0">ROUND($C$5*$C$22*$C$23*$C$24*S2*$C$28,0)</f>
        <v>2731</v>
      </c>
      <c r="U2" s="1128"/>
      <c r="V2" s="3062">
        <f>ROUND(T2*U2/10000,0)</f>
        <v>0</v>
      </c>
      <c r="W2" s="1131"/>
      <c r="X2" s="1131"/>
      <c r="Y2" s="1131"/>
      <c r="Z2" s="1131"/>
      <c r="AA2" s="1131"/>
      <c r="AB2" s="1131"/>
      <c r="AC2" s="1132"/>
      <c r="AD2" s="1133"/>
      <c r="AE2" s="1133"/>
      <c r="AF2" s="1133"/>
      <c r="AG2" s="1133"/>
      <c r="AH2" s="1133"/>
      <c r="AI2" s="1133"/>
      <c r="AJ2" s="1134"/>
    </row>
    <row r="3" spans="1:36" ht="15.6">
      <c r="A3" s="194" t="s">
        <v>1940</v>
      </c>
      <c r="B3" s="195">
        <f>ROUND(B2*10000/D1,0)</f>
        <v>998</v>
      </c>
      <c r="C3" s="1844" t="s">
        <v>1941</v>
      </c>
      <c r="D3" s="161" t="s">
        <v>1942</v>
      </c>
      <c r="E3" s="3117" t="s">
        <v>2481</v>
      </c>
      <c r="F3" s="1846" t="s">
        <v>3611</v>
      </c>
      <c r="G3" s="707">
        <f>IF(F3="宗地容积率",'数据-汇总表'!I4,IF(F3="估价对象容积率",'数据-汇总表'!I6,'数据-汇总表'!I7))</f>
        <v>2</v>
      </c>
      <c r="H3" s="161"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7">
        <v>2</v>
      </c>
      <c r="S3" s="3062">
        <f>ROUND(SUMPRODUCT((B106:B110=R3)*(C105:N105=G2)*(C106:N110)),4)</f>
        <v>1.1838</v>
      </c>
      <c r="T3" s="3062">
        <f t="shared" si="0"/>
        <v>2153</v>
      </c>
      <c r="U3" s="1128"/>
      <c r="V3" s="3062">
        <f t="shared" ref="V3:V16" si="1">ROUND(T3*U3/10000,0)</f>
        <v>0</v>
      </c>
      <c r="W3" s="1131"/>
      <c r="X3" s="1131"/>
      <c r="Y3" s="1131"/>
      <c r="Z3" s="1131"/>
      <c r="AA3" s="1131"/>
      <c r="AB3" s="1131"/>
      <c r="AC3" s="1132"/>
      <c r="AD3" s="1133"/>
      <c r="AE3" s="1133"/>
      <c r="AF3" s="1133"/>
      <c r="AG3" s="1133"/>
      <c r="AH3" s="1133"/>
      <c r="AI3" s="1133"/>
      <c r="AJ3" s="1134"/>
    </row>
    <row r="4" spans="1:36" ht="15.6">
      <c r="A4" s="3516"/>
      <c r="B4" s="3517"/>
      <c r="C4" s="3517"/>
      <c r="D4" s="3518"/>
      <c r="E4" s="3518"/>
      <c r="F4" s="3518"/>
      <c r="G4" s="3518"/>
      <c r="H4" s="3518"/>
      <c r="I4" s="3518"/>
      <c r="J4" s="3519"/>
      <c r="K4" s="1055"/>
      <c r="L4" s="1845" t="s">
        <v>1946</v>
      </c>
      <c r="M4" s="810">
        <f>SUMPRODUCT((区片价!B55:B86=I2)*(区片价!C3:G3=E2)*(区片价!C55:G86))</f>
        <v>0</v>
      </c>
      <c r="N4" s="812">
        <f>SUMPRODUCT((因素修正幅度!B55:B86=I2)*(因素修正幅度!C3:G3=E2)*(因素修正幅度!C55:G86))</f>
        <v>0</v>
      </c>
      <c r="O4" s="1055"/>
      <c r="P4" s="1055"/>
      <c r="Q4" s="1055"/>
      <c r="R4" s="1127">
        <v>3</v>
      </c>
      <c r="S4" s="3062">
        <f>ROUND(SUMPRODUCT((B106:B110=R4)*(C105:N105=G2)*(C106:N110)),4)</f>
        <v>1.0004999999999999</v>
      </c>
      <c r="T4" s="3062">
        <f t="shared" si="0"/>
        <v>1820</v>
      </c>
      <c r="U4" s="1128"/>
      <c r="V4" s="3062">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8">
        <f>ROUND(IF(E2="商业",C6*C7*C17+C20,(IF(E2="住宅",C6*C13*C17+C20,IF(E2="办公",C6*C12*C17+C20,C6+C20)))),0)</f>
        <v>1728</v>
      </c>
      <c r="D5" s="1250">
        <f>ROUND(C6*C17+C20,0)</f>
        <v>1728</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7">
        <v>4</v>
      </c>
      <c r="S5" s="3062">
        <f>ROUND(SUMPRODUCT((B106:B110=R5)*(C105:N105=G2)*(C106:N110)),4)</f>
        <v>0.88239999999999996</v>
      </c>
      <c r="T5" s="3062">
        <f t="shared" si="0"/>
        <v>1605</v>
      </c>
      <c r="U5" s="1128"/>
      <c r="V5" s="3062">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9">
        <f>SUMIF(L1:L12,G2,M1:M12)</f>
        <v>1770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5"/>
      <c r="P6" s="1055"/>
      <c r="Q6" s="1055"/>
      <c r="R6" s="1127">
        <v>5</v>
      </c>
      <c r="S6" s="3062">
        <f>ROUND(SUMPRODUCT((B106:B110=R6)*(C105:N105=G2)*(C106:N110)),4)</f>
        <v>0.84799999999999998</v>
      </c>
      <c r="T6" s="3062">
        <f t="shared" si="0"/>
        <v>1542</v>
      </c>
      <c r="U6" s="1128"/>
      <c r="V6" s="3062">
        <f t="shared" si="1"/>
        <v>0</v>
      </c>
      <c r="W6" s="1131"/>
      <c r="X6" s="1131"/>
      <c r="Y6" s="1131"/>
      <c r="Z6" s="1131"/>
      <c r="AA6" s="1131"/>
      <c r="AB6" s="1131"/>
      <c r="AC6" s="1853"/>
      <c r="AD6" s="1854"/>
      <c r="AE6" s="1854"/>
      <c r="AF6" s="1854"/>
      <c r="AG6" s="1854"/>
      <c r="AH6" s="1854"/>
      <c r="AI6" s="1854"/>
      <c r="AJ6" s="1855"/>
    </row>
    <row r="7" spans="1:36" ht="24.6" thickBot="1">
      <c r="A7" s="3011" t="s">
        <v>3239</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1770</v>
      </c>
      <c r="N7" s="812">
        <f>SUMPRODUCT((因素修正幅度!B190:B233=I2)*(因素修正幅度!C3:G3=E2)*(因素修正幅度!C190:G233))</f>
        <v>0.05</v>
      </c>
      <c r="O7" s="1055"/>
      <c r="P7" s="1055"/>
      <c r="Q7" s="1055"/>
      <c r="R7" s="1127">
        <v>6</v>
      </c>
      <c r="S7" s="3116"/>
      <c r="T7" s="3062">
        <f t="shared" si="0"/>
        <v>0</v>
      </c>
      <c r="U7" s="1128"/>
      <c r="V7" s="3062">
        <f t="shared" si="1"/>
        <v>0</v>
      </c>
      <c r="W7" s="1265" t="s">
        <v>1955</v>
      </c>
      <c r="X7" s="1129" t="str">
        <f>G2</f>
        <v>七级</v>
      </c>
      <c r="Y7" s="1129" t="s">
        <v>1956</v>
      </c>
      <c r="Z7" s="1130">
        <f>G3</f>
        <v>2</v>
      </c>
      <c r="AA7" s="1131"/>
      <c r="AB7" s="1131"/>
      <c r="AC7" s="1132"/>
      <c r="AD7" s="1133"/>
      <c r="AE7" s="1133"/>
      <c r="AF7" s="1133"/>
      <c r="AG7" s="1133"/>
      <c r="AH7" s="1133"/>
      <c r="AI7" s="1133"/>
      <c r="AJ7" s="1134"/>
    </row>
    <row r="8" spans="1:36" ht="15">
      <c r="A8" s="3008"/>
      <c r="B8" s="161"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7">
        <v>7</v>
      </c>
      <c r="S8" s="1128"/>
      <c r="T8" s="3062">
        <f t="shared" si="0"/>
        <v>0</v>
      </c>
      <c r="U8" s="1128"/>
      <c r="V8" s="3062">
        <f t="shared" si="1"/>
        <v>0</v>
      </c>
      <c r="W8" s="3513" t="s">
        <v>1960</v>
      </c>
      <c r="X8" s="3514"/>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1" t="s">
        <v>1973</v>
      </c>
      <c r="C9" s="713">
        <f>SUMIF(修正!C71:C138,C8,修正!E71:E138)</f>
        <v>0</v>
      </c>
      <c r="D9" s="162" t="s">
        <v>113</v>
      </c>
      <c r="E9" s="162"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7">
        <v>8</v>
      </c>
      <c r="S9" s="1128"/>
      <c r="T9" s="3062">
        <f t="shared" si="0"/>
        <v>0</v>
      </c>
      <c r="U9" s="1128"/>
      <c r="V9" s="3062">
        <f t="shared" si="1"/>
        <v>0</v>
      </c>
      <c r="W9" s="3515"/>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SUMIF(修正!C71:C138,C8,修正!F71:F138)</f>
        <v>0</v>
      </c>
      <c r="D10" s="162" t="s">
        <v>114</v>
      </c>
      <c r="E10" s="162"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7">
        <v>9</v>
      </c>
      <c r="S10" s="1128"/>
      <c r="T10" s="3062">
        <f t="shared" si="0"/>
        <v>0</v>
      </c>
      <c r="U10" s="1128"/>
      <c r="V10" s="3062">
        <f t="shared" si="1"/>
        <v>0</v>
      </c>
      <c r="W10" s="351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8" thickBot="1">
      <c r="A12" s="3011" t="s">
        <v>3240</v>
      </c>
      <c r="B12" s="3012" t="s">
        <v>3241</v>
      </c>
      <c r="C12" s="3013"/>
      <c r="D12" s="3014" t="s">
        <v>3242</v>
      </c>
      <c r="E12" s="3015" t="s">
        <v>3243</v>
      </c>
      <c r="F12" s="3016"/>
      <c r="G12" s="3017"/>
      <c r="H12" s="3017"/>
      <c r="I12" s="3017"/>
      <c r="J12" s="3018"/>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24.6" thickBot="1">
      <c r="A13" s="3011" t="s">
        <v>3244</v>
      </c>
      <c r="B13" s="1876" t="s">
        <v>1982</v>
      </c>
      <c r="C13" s="710">
        <f>ROUND(C16*D16*E16*F16*G16*H16*I16*J16,4)</f>
        <v>0</v>
      </c>
      <c r="D13" s="1877" t="s">
        <v>1983</v>
      </c>
      <c r="E13" s="1878"/>
      <c r="F13" s="1878"/>
      <c r="G13" s="1879"/>
      <c r="H13" s="1879"/>
      <c r="I13" s="1879"/>
      <c r="J13" s="1880"/>
      <c r="K13" s="1055"/>
      <c r="L13" s="3"/>
      <c r="M13" s="4"/>
      <c r="N13" s="3009"/>
      <c r="O13" s="1055"/>
      <c r="P13" s="1055"/>
      <c r="Q13" s="1055"/>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24">
      <c r="A14" s="3007"/>
      <c r="B14" s="1881" t="s">
        <v>1985</v>
      </c>
      <c r="C14" s="1882" t="s">
        <v>1986</v>
      </c>
      <c r="D14" s="1259" t="s">
        <v>1987</v>
      </c>
      <c r="E14" s="27" t="s">
        <v>1988</v>
      </c>
      <c r="F14" s="3019" t="s">
        <v>3245</v>
      </c>
      <c r="G14" s="3019" t="s">
        <v>3245</v>
      </c>
      <c r="H14" s="3019" t="s">
        <v>3245</v>
      </c>
      <c r="I14" s="3019" t="s">
        <v>3245</v>
      </c>
      <c r="J14" s="3019" t="s">
        <v>3245</v>
      </c>
      <c r="K14" s="1055"/>
      <c r="L14" s="1055"/>
      <c r="M14" s="1055"/>
      <c r="N14" s="1055"/>
      <c r="O14" s="1055"/>
      <c r="P14" s="1055"/>
      <c r="Q14" s="1055"/>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3246</v>
      </c>
      <c r="G15" s="1926"/>
      <c r="H15" s="3020"/>
      <c r="I15" s="3021"/>
      <c r="J15" s="3022"/>
      <c r="K15" s="1055"/>
      <c r="L15" s="1055"/>
      <c r="M15" s="1055"/>
      <c r="N15" s="1055"/>
      <c r="O15" s="1055"/>
      <c r="P15" s="1055"/>
      <c r="Q15" s="1055"/>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3.8">
      <c r="A18" s="3037"/>
      <c r="B18" s="2308"/>
      <c r="C18" s="3033"/>
      <c r="D18" s="3028" t="s">
        <v>3250</v>
      </c>
      <c r="E18" s="2355"/>
      <c r="F18" s="3029" t="s">
        <v>3253</v>
      </c>
      <c r="G18" s="3033">
        <f>ROUND(1-(1/(POWER(1+G24,E18))),4)</f>
        <v>0</v>
      </c>
      <c r="H18" s="3029" t="s">
        <v>3255</v>
      </c>
      <c r="I18" s="3033">
        <f>ROUND(1-(1/(POWER(1+G24,J24))),4)</f>
        <v>0.91279999999999994</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4.4" thickBot="1">
      <c r="A19" s="3039"/>
      <c r="B19" s="3040"/>
      <c r="C19" s="3041"/>
      <c r="D19" s="3041" t="s">
        <v>3251</v>
      </c>
      <c r="E19" s="3042"/>
      <c r="F19" s="3043" t="s">
        <v>3254</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0"/>
      <c r="AJ19" s="560"/>
      <c r="AK19" s="1897"/>
    </row>
    <row r="20" spans="1:37" s="1856" customFormat="1" ht="13.8">
      <c r="A20" s="3520" t="s">
        <v>3256</v>
      </c>
      <c r="B20" s="158" t="s">
        <v>1994</v>
      </c>
      <c r="C20" s="3030">
        <f>ROUND(IF(F21="与级别开发程度一致",0,(G21-E21)/C21),0)</f>
        <v>-42</v>
      </c>
      <c r="D20" s="3045" t="s">
        <v>1998</v>
      </c>
      <c r="E20" s="3046"/>
      <c r="F20" s="3526" t="s">
        <v>1995</v>
      </c>
      <c r="G20" s="3527"/>
      <c r="H20" s="3031" t="s">
        <v>3653</v>
      </c>
      <c r="I20" s="3031" t="s">
        <v>3654</v>
      </c>
      <c r="J20" s="3032" t="s">
        <v>3655</v>
      </c>
      <c r="K20" s="1887" t="s">
        <v>3656</v>
      </c>
      <c r="L20" s="1887" t="s">
        <v>3657</v>
      </c>
      <c r="M20" s="1887" t="s">
        <v>3658</v>
      </c>
      <c r="N20" s="1887" t="s">
        <v>3659</v>
      </c>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27" thickBot="1">
      <c r="A21" s="3521"/>
      <c r="B21" s="2000" t="s">
        <v>1997</v>
      </c>
      <c r="C21" s="2001">
        <f>IF(E3="M4科研用地",SUMPRODUCT((修正!A2:A7=E3)*(修正!B1:M1=G2)*(修正!B2:M7)),SUMPRODUCT((修正!A2:A7=E2)*(修正!B1:M1=G2)*(修正!B2:M7)))</f>
        <v>1.2</v>
      </c>
      <c r="D21" s="178" t="str">
        <f>IF(OR(G2="八级",G2="九级",G2="十级",G2="十一级",G2="十二级"),"五通一平","七通一平")</f>
        <v>七通一平</v>
      </c>
      <c r="E21" s="1991">
        <f>SUMPRODUCT((修正!B1:M1=G2)*(修正!B17:M17))</f>
        <v>315</v>
      </c>
      <c r="F21" s="1992" t="s">
        <v>3652</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 thickBot="1">
      <c r="A22" s="1994" t="s">
        <v>363</v>
      </c>
      <c r="B22" s="1995" t="s">
        <v>2000</v>
      </c>
      <c r="C22" s="1996">
        <f>SUMIF(修正!C20:C51,E3,修正!E20:E51)</f>
        <v>1</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4" t="s">
        <v>2002</v>
      </c>
      <c r="E23" s="716">
        <v>44197</v>
      </c>
      <c r="F23" s="1894" t="s">
        <v>2003</v>
      </c>
      <c r="G23" s="717">
        <f>'数据-取费表'!B2</f>
        <v>45607</v>
      </c>
      <c r="H23" s="3047" t="s">
        <v>3258</v>
      </c>
      <c r="I23" s="3048" t="str">
        <f>IF(H23="季度增幅（自定义）",SUMIF(N25:N28,E2,O25:O28),"")</f>
        <v/>
      </c>
      <c r="J23" s="3140" t="s">
        <v>3257</v>
      </c>
      <c r="K23" s="1060"/>
      <c r="L23" s="1895" t="s">
        <v>2004</v>
      </c>
      <c r="M23" s="1239">
        <f>ROUND(SUMIF(地价!B2:G2,E2,地价!B16:G16),0)</f>
        <v>318</v>
      </c>
      <c r="N23" s="1896" t="s">
        <v>2005</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6" thickBot="1">
      <c r="A24" s="1898" t="s">
        <v>365</v>
      </c>
      <c r="B24" s="1899" t="s">
        <v>2006</v>
      </c>
      <c r="C24" s="719">
        <f>ROUND(POWER(1+G24,J24-I24)*(POWER(1+G24,I24)-1)/(POWER(1+G24,J24)-1),4)</f>
        <v>0.95009999999999994</v>
      </c>
      <c r="D24" s="1900" t="s">
        <v>2007</v>
      </c>
      <c r="E24" s="1246">
        <f>存贷款利率!E27/100</f>
        <v>4.3499999999999997E-2</v>
      </c>
      <c r="F24" s="1900" t="s">
        <v>1999</v>
      </c>
      <c r="G24" s="723">
        <f>SUMIF(M30:Q30,E2,M33:Q33)</f>
        <v>0.05</v>
      </c>
      <c r="H24" s="1900" t="s">
        <v>2008</v>
      </c>
      <c r="I24" s="724">
        <f>SUMIF('数据-取费表'!C6:C15,E2,'数据-取费表'!F6:F15)/COUNTIF('数据-取费表'!C6:C15,E2)</f>
        <v>41.38</v>
      </c>
      <c r="J24" s="725">
        <f>IF(E2="住宅",70,IF(E2="商业",40,50))</f>
        <v>50</v>
      </c>
      <c r="K24" s="1060"/>
      <c r="L24" s="1901" t="s">
        <v>2009</v>
      </c>
      <c r="M24" s="1240">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5" t="s">
        <v>366</v>
      </c>
      <c r="B25" s="1906" t="s">
        <v>3337</v>
      </c>
      <c r="C25" s="460">
        <f>IF(B25="容积率修正",IF(G3&lt;10,D26,J26),C27)</f>
        <v>0.82269999999999999</v>
      </c>
      <c r="D25" s="1907"/>
      <c r="E25" s="1907"/>
      <c r="F25" s="1907"/>
      <c r="G25" s="1907"/>
      <c r="H25" s="1907"/>
      <c r="I25" s="1907"/>
      <c r="J25" s="1908"/>
      <c r="K25" s="1060"/>
      <c r="L25" s="2551"/>
      <c r="M25" s="2551"/>
      <c r="N25" s="1909" t="s">
        <v>2013</v>
      </c>
      <c r="O25" s="1091"/>
      <c r="P25" s="1092">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4">
      <c r="A26" s="1804" t="s">
        <v>2014</v>
      </c>
      <c r="B26" s="1910" t="s">
        <v>2015</v>
      </c>
      <c r="C26" s="1910" t="s">
        <v>3259</v>
      </c>
      <c r="D26" s="1261">
        <f>IF(E26=G26,F26,IF(G3&lt;10,ROUND(F26+(H26-F26)*(G3-E26)/(G26-E26),4),"——"))</f>
        <v>0.82269999999999999</v>
      </c>
      <c r="E26" s="707">
        <f>ROUNDDOWN(G3,1)</f>
        <v>2</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7">
        <f>ROUNDUP(G3,1)</f>
        <v>2</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10" t="s">
        <v>3260</v>
      </c>
      <c r="J26" s="373" t="str">
        <f>IF(G3&gt;=10,D115,"——")</f>
        <v>——</v>
      </c>
      <c r="K26" s="1060"/>
      <c r="L26" s="2551"/>
      <c r="M26" s="2551"/>
      <c r="N26" s="1909" t="s">
        <v>2016</v>
      </c>
      <c r="O26" s="1091"/>
      <c r="P26" s="1092">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1"/>
      <c r="P27" s="1092">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 thickBot="1">
      <c r="A28" s="1898" t="s">
        <v>367</v>
      </c>
      <c r="B28" s="1891" t="s">
        <v>2020</v>
      </c>
      <c r="C28" s="715">
        <f>SUMIF(A47:A101,E2,B47:B101)</f>
        <v>1.024</v>
      </c>
      <c r="D28" s="1892"/>
      <c r="E28" s="1917"/>
      <c r="F28" s="1917"/>
      <c r="G28" s="1917"/>
      <c r="H28" s="1917"/>
      <c r="I28" s="1917"/>
      <c r="J28" s="1918"/>
      <c r="K28" s="1060"/>
      <c r="L28" s="2551"/>
      <c r="M28" s="2551"/>
      <c r="N28" s="1919" t="s">
        <v>2021</v>
      </c>
      <c r="O28" s="1093"/>
      <c r="P28" s="1094">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 thickBot="1">
      <c r="A29" s="1898" t="s">
        <v>368</v>
      </c>
      <c r="B29" s="1920" t="s">
        <v>2022</v>
      </c>
      <c r="C29" s="720"/>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4.4">
      <c r="A30" s="1922"/>
      <c r="B30" s="1910" t="s">
        <v>2024</v>
      </c>
      <c r="C30" s="2143">
        <f>IF(B25="容积率修正",E33+SUM(E37:E42),SUM(V2:V16)+SUM(E37:E42))</f>
        <v>4769</v>
      </c>
      <c r="D30" s="1923"/>
      <c r="E30" s="1840"/>
      <c r="F30" s="1924"/>
      <c r="G30" s="1840"/>
      <c r="H30" s="1840"/>
      <c r="I30" s="1840"/>
      <c r="J30" s="1925"/>
      <c r="K30" s="1055"/>
      <c r="L30" s="3054" t="s">
        <v>1936</v>
      </c>
      <c r="M30" s="3055" t="s">
        <v>1990</v>
      </c>
      <c r="N30" s="3055" t="s">
        <v>1991</v>
      </c>
      <c r="O30" s="3055" t="s">
        <v>1992</v>
      </c>
      <c r="P30" s="3055" t="s">
        <v>1993</v>
      </c>
      <c r="Q30" s="3058" t="s">
        <v>3264</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 thickBot="1">
      <c r="A31" s="1922"/>
      <c r="B31" s="1926" t="s">
        <v>2025</v>
      </c>
      <c r="C31" s="721">
        <f>E34+SUM(I37:I42)</f>
        <v>80</v>
      </c>
      <c r="D31" s="1927"/>
      <c r="E31" s="1928"/>
      <c r="F31" s="1929"/>
      <c r="G31" s="1928"/>
      <c r="H31" s="1928"/>
      <c r="I31" s="1928"/>
      <c r="J31" s="1930"/>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3.8">
      <c r="A33" s="1936"/>
      <c r="B33" s="1937" t="s">
        <v>2030</v>
      </c>
      <c r="C33" s="166">
        <f>ROUND(C5*C22*C23*C24*C25*C28,0)</f>
        <v>1496</v>
      </c>
      <c r="D33" s="1938">
        <f>'数据-汇总表'!F19</f>
        <v>28321.48</v>
      </c>
      <c r="E33" s="726">
        <f>ROUND(C33*D33/10000,0)</f>
        <v>4237</v>
      </c>
      <c r="F33" s="3049" t="s">
        <v>3262</v>
      </c>
      <c r="G33" s="1939"/>
      <c r="H33" s="1939"/>
      <c r="I33" s="1939"/>
      <c r="J33" s="1940"/>
      <c r="K33" s="1055"/>
      <c r="L33" s="3052" t="s">
        <v>3265</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8" thickBot="1">
      <c r="A34" s="1941"/>
      <c r="B34" s="1942" t="s">
        <v>2031</v>
      </c>
      <c r="C34" s="178">
        <f>ROUND(IF(E2="工业",C33*M42,IF(B25="楼层修正",SUM(V2:V16)*M41*10000/D34,C33*M41)),0)</f>
        <v>224</v>
      </c>
      <c r="D34" s="1943"/>
      <c r="E34" s="726">
        <f>ROUND(IF(B25="楼层修正",SUM(V2:V16)*M40,C34*D34/10000),0)</f>
        <v>0</v>
      </c>
      <c r="F34" s="1944" t="s">
        <v>2032</v>
      </c>
      <c r="G34" s="1945"/>
      <c r="H34" s="1945"/>
      <c r="I34" s="1945"/>
      <c r="J34" s="1946"/>
      <c r="K34" s="1055"/>
      <c r="L34" s="3052" t="s">
        <v>3266</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3263</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36.6" thickBot="1">
      <c r="A36" s="1936"/>
      <c r="B36" s="1951"/>
      <c r="C36" s="435" t="s">
        <v>2027</v>
      </c>
      <c r="D36" s="432" t="s">
        <v>2028</v>
      </c>
      <c r="E36" s="432" t="s">
        <v>2029</v>
      </c>
      <c r="F36" s="332" t="s">
        <v>2035</v>
      </c>
      <c r="G36" s="1952" t="s">
        <v>2027</v>
      </c>
      <c r="H36" s="1952" t="s">
        <v>2028</v>
      </c>
      <c r="I36" s="1952" t="s">
        <v>2029</v>
      </c>
      <c r="J36" s="234"/>
      <c r="K36" s="1962" t="s">
        <v>3267</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6" thickBot="1">
      <c r="A37" s="3524"/>
      <c r="B37" s="1953" t="s">
        <v>2036</v>
      </c>
      <c r="C37" s="166">
        <f>ROUND(D5*C22*C23*C24*C28*F37,0)</f>
        <v>1091</v>
      </c>
      <c r="D37" s="1938"/>
      <c r="E37" s="162">
        <f>ROUND(C37*D37/10000,0)</f>
        <v>0</v>
      </c>
      <c r="F37" s="162">
        <f>SUMIF(修正!A57:A68,G2,修正!B57:B68)</f>
        <v>0.6</v>
      </c>
      <c r="G37" s="162">
        <f>ROUND(IF(E2="工业",C37*$M$42,C37*$M$41),0)</f>
        <v>164</v>
      </c>
      <c r="H37" s="162">
        <f>D37</f>
        <v>0</v>
      </c>
      <c r="I37" s="162">
        <f>ROUND(G37*H37/10000,0)</f>
        <v>0</v>
      </c>
      <c r="J37" s="2753"/>
      <c r="K37" s="3060" t="s">
        <v>3268</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525"/>
      <c r="B38" s="1882" t="s">
        <v>2037</v>
      </c>
      <c r="C38" s="166">
        <f>ROUND(D5*C22*C23*C24*C28*F38,0)</f>
        <v>546</v>
      </c>
      <c r="D38" s="1938"/>
      <c r="E38" s="162">
        <f t="shared" ref="E38:E42" si="4">ROUND(C38*D38/10000,0)</f>
        <v>0</v>
      </c>
      <c r="F38" s="162">
        <f>SUMIF(修正!A57:A68,G2,修正!C57:C68)</f>
        <v>0.3</v>
      </c>
      <c r="G38" s="162">
        <f>ROUND(IF(E2="工业",C38*$M$42,C38*$M$41),0)</f>
        <v>82</v>
      </c>
      <c r="H38" s="162">
        <f t="shared" ref="H38:H42" si="5">D38</f>
        <v>0</v>
      </c>
      <c r="I38" s="162">
        <f t="shared" ref="I38:I42" si="6">ROUND(G38*H38/10000,0)</f>
        <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8" thickBot="1">
      <c r="A39" s="3525"/>
      <c r="B39" s="1882" t="s">
        <v>3261</v>
      </c>
      <c r="C39" s="166">
        <f>ROUND(D5*C22*C23*C24*C28*F39,0)</f>
        <v>455</v>
      </c>
      <c r="D39" s="1938"/>
      <c r="E39" s="162">
        <f t="shared" si="4"/>
        <v>0</v>
      </c>
      <c r="F39" s="162">
        <f>SUMIF(修正!A57:A68,G2,修正!D57:D68)</f>
        <v>0.25</v>
      </c>
      <c r="G39" s="162">
        <f>ROUND(IF(E2="工业",C39*$M$42,C39*$M$41),0)</f>
        <v>68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2">
        <f>ROUND(D5*C22*C23*C24*C28*F40,0)</f>
        <v>455</v>
      </c>
      <c r="D40" s="1938"/>
      <c r="E40" s="162">
        <f t="shared" si="4"/>
        <v>0</v>
      </c>
      <c r="F40" s="166">
        <f>SUMIF(修正!A57:A68,G2,修正!E57:E68)</f>
        <v>0.25</v>
      </c>
      <c r="G40" s="162">
        <f>ROUND(IF(E2="工业",C40*$M$42,C40*$M$41),0)</f>
        <v>68</v>
      </c>
      <c r="H40" s="162">
        <f t="shared" si="5"/>
        <v>0</v>
      </c>
      <c r="I40" s="162">
        <f t="shared" si="6"/>
        <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2">
        <f>ROUND(D5*C22*C23*C44*C28*F41,0)</f>
        <v>455</v>
      </c>
      <c r="D41" s="1938"/>
      <c r="E41" s="162">
        <f t="shared" si="4"/>
        <v>0</v>
      </c>
      <c r="F41" s="166">
        <f>SUMIF(修正!A57:A68,G2,修正!F57:F68)</f>
        <v>0.25</v>
      </c>
      <c r="G41" s="162">
        <f>ROUND(IF(E2="工业",C41*$M$42,C41*$M$41),0)</f>
        <v>68</v>
      </c>
      <c r="H41" s="162">
        <f t="shared" si="5"/>
        <v>0</v>
      </c>
      <c r="I41" s="162">
        <f t="shared" si="6"/>
        <v>0</v>
      </c>
      <c r="J41" s="938"/>
      <c r="L41" s="3061" t="s">
        <v>3269</v>
      </c>
      <c r="M41" s="1957">
        <v>0.25</v>
      </c>
      <c r="Z41" s="1056"/>
      <c r="AA41" s="1056"/>
      <c r="AB41" s="1056"/>
      <c r="AC41" s="1056"/>
      <c r="AD41" s="1056"/>
      <c r="AE41" s="1056"/>
      <c r="AF41" s="1056"/>
      <c r="AG41" s="1056"/>
      <c r="AH41" s="1056"/>
      <c r="AI41" s="1056"/>
      <c r="AJ41" s="1056"/>
    </row>
    <row r="42" spans="1:37" s="1055" customFormat="1" ht="13.8" thickBot="1">
      <c r="A42" s="1941"/>
      <c r="B42" s="1958" t="s">
        <v>2041</v>
      </c>
      <c r="C42" s="178">
        <f>ROUND(D5*C22*C23*C44*C28*F42,0)</f>
        <v>273</v>
      </c>
      <c r="D42" s="1943">
        <f>'数据-汇总表'!E20</f>
        <v>19473.41</v>
      </c>
      <c r="E42" s="178">
        <f t="shared" si="4"/>
        <v>532</v>
      </c>
      <c r="F42" s="722">
        <f>SUMIF(修正!A57:A68,G2,修正!G57:G68)</f>
        <v>0.15</v>
      </c>
      <c r="G42" s="178">
        <f>ROUND(IF(E2="工业",C42*$M$42,C42*$M$41),0)</f>
        <v>41</v>
      </c>
      <c r="H42" s="178">
        <f t="shared" si="5"/>
        <v>19473.41</v>
      </c>
      <c r="I42" s="178">
        <f t="shared" si="6"/>
        <v>80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0" t="s">
        <v>2122</v>
      </c>
      <c r="C44" s="332">
        <f>ROUND(POWER(1+E44,H44-G44)*(POWER(1+E44,G44)-1)/(POWER(1+E44,H44)-1),4)</f>
        <v>0.95009999999999994</v>
      </c>
      <c r="D44" s="162" t="s">
        <v>1999</v>
      </c>
      <c r="E44" s="1989">
        <f>G24</f>
        <v>0.05</v>
      </c>
      <c r="F44" s="162" t="s">
        <v>2008</v>
      </c>
      <c r="G44" s="174">
        <f>项目基本情况!H15</f>
        <v>41.38</v>
      </c>
      <c r="H44" s="162">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hidden="1">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hidden="1">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hidden="1">
      <c r="A50" s="1968" t="s">
        <v>2052</v>
      </c>
      <c r="B50" s="1971" t="str">
        <f>估价对象房地状况!C4</f>
        <v>估价对象位于XX商圈，周边商业氛围成熟，人流量大，商业繁华度好</v>
      </c>
      <c r="C50" s="1885"/>
      <c r="D50" s="1001">
        <f t="shared" ref="D50:D58" si="7">SUMIF($J$49:$N$49,C50,J50:N50)</f>
        <v>0</v>
      </c>
      <c r="E50" s="701">
        <f>ROUND(SUM(D50:D58),4)</f>
        <v>0</v>
      </c>
      <c r="F50" s="1673"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hidden="1">
      <c r="A51" s="1968" t="s">
        <v>2053</v>
      </c>
      <c r="B51" s="1260" t="str">
        <f>估价对象房地状况!C18</f>
        <v>估价对象周边道路状况、公共交通通达情况、停车便捷程度，综合评价交通便捷度较好</v>
      </c>
      <c r="C51" s="1885"/>
      <c r="D51" s="1001">
        <f t="shared" si="7"/>
        <v>0</v>
      </c>
      <c r="E51" s="702"/>
      <c r="F51" s="1673"/>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9" t="s">
        <v>3271</v>
      </c>
      <c r="B52" s="1260">
        <f>估价对象房地状况!C19</f>
        <v>0</v>
      </c>
      <c r="C52" s="1885"/>
      <c r="D52" s="1001">
        <f t="shared" si="7"/>
        <v>0</v>
      </c>
      <c r="E52" s="702"/>
      <c r="F52" s="1673"/>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8" t="s">
        <v>2054</v>
      </c>
      <c r="B53" s="1972" t="s">
        <v>2055</v>
      </c>
      <c r="C53" s="1885"/>
      <c r="D53" s="1001">
        <f t="shared" si="7"/>
        <v>0</v>
      </c>
      <c r="E53" s="702"/>
      <c r="F53" s="1673"/>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8" t="s">
        <v>2056</v>
      </c>
      <c r="B54" s="1260">
        <f>估价对象房地状况!C24</f>
        <v>0</v>
      </c>
      <c r="C54" s="1885"/>
      <c r="D54" s="1001">
        <f t="shared" si="7"/>
        <v>0</v>
      </c>
      <c r="E54" s="702"/>
      <c r="F54" s="1673"/>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8" t="s">
        <v>2057</v>
      </c>
      <c r="B55" s="1973" t="s">
        <v>2058</v>
      </c>
      <c r="C55" s="1885"/>
      <c r="D55" s="1001">
        <f t="shared" si="7"/>
        <v>0</v>
      </c>
      <c r="E55" s="702"/>
      <c r="F55" s="1673"/>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hidden="1">
      <c r="A56" s="1974" t="s">
        <v>2059</v>
      </c>
      <c r="B56" s="1238" t="str">
        <f>估价对象房地状况!C21</f>
        <v>估价对象所在区域公共配套设施齐备情况</v>
      </c>
      <c r="C56" s="1885"/>
      <c r="D56" s="1001">
        <f t="shared" si="7"/>
        <v>0</v>
      </c>
      <c r="E56" s="702"/>
      <c r="F56" s="1673"/>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hidden="1">
      <c r="A57" s="1974" t="s">
        <v>2060</v>
      </c>
      <c r="B57" s="1260" t="str">
        <f>估价对象房地状况!C22</f>
        <v>估价对象所在区域基础设施水平</v>
      </c>
      <c r="C57" s="1885"/>
      <c r="D57" s="1001">
        <f t="shared" si="7"/>
        <v>0</v>
      </c>
      <c r="E57" s="702"/>
      <c r="F57" s="1673"/>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hidden="1" thickBot="1">
      <c r="A58" s="1975" t="s">
        <v>2061</v>
      </c>
      <c r="B58" s="1976" t="str">
        <f>估价对象房地状况!C20</f>
        <v>区域自然环境：；人文环境；综合评价环境状况一般</v>
      </c>
      <c r="C58" s="1885"/>
      <c r="D58" s="1001">
        <f t="shared" si="7"/>
        <v>0</v>
      </c>
      <c r="E58" s="703"/>
      <c r="F58" s="1673"/>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hidden="1">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hidden="1">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hidden="1">
      <c r="A61" s="1968" t="s">
        <v>2064</v>
      </c>
      <c r="B61" s="1971" t="str">
        <f>估价对象房地状况!C17</f>
        <v>估价对象位于XX商圈，周边办公楼项目较多，入驻率高，办公集聚程度较好</v>
      </c>
      <c r="C61" s="1885"/>
      <c r="D61" s="1001">
        <f t="shared" ref="D61:D69" si="12">SUMIF($J$60:$N$60,C61,J61:N61)</f>
        <v>0</v>
      </c>
      <c r="E61" s="701">
        <f>ROUND(SUM(D61:D69),4)</f>
        <v>0</v>
      </c>
      <c r="F61" s="1673"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hidden="1">
      <c r="A62" s="1968" t="s">
        <v>2053</v>
      </c>
      <c r="B62" s="1260" t="str">
        <f>估价对象房地状况!C18</f>
        <v>估价对象周边道路状况、公共交通通达情况、停车便捷程度，综合评价交通便捷度较好</v>
      </c>
      <c r="C62" s="1885"/>
      <c r="D62" s="1001">
        <f t="shared" si="12"/>
        <v>0</v>
      </c>
      <c r="E62" s="702"/>
      <c r="F62" s="1673"/>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hidden="1">
      <c r="A63" s="3069" t="s">
        <v>3271</v>
      </c>
      <c r="B63" s="1260">
        <f>估价对象房地状况!C19</f>
        <v>0</v>
      </c>
      <c r="C63" s="1885"/>
      <c r="D63" s="1001">
        <f t="shared" si="12"/>
        <v>0</v>
      </c>
      <c r="E63" s="702"/>
      <c r="F63" s="1673"/>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hidden="1">
      <c r="A64" s="1968" t="s">
        <v>2054</v>
      </c>
      <c r="B64" s="1972" t="s">
        <v>2055</v>
      </c>
      <c r="C64" s="1885"/>
      <c r="D64" s="1001">
        <f t="shared" si="12"/>
        <v>0</v>
      </c>
      <c r="E64" s="702"/>
      <c r="F64" s="1673"/>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8" t="s">
        <v>2056</v>
      </c>
      <c r="B65" s="1260">
        <f>估价对象房地状况!C24</f>
        <v>0</v>
      </c>
      <c r="C65" s="1885"/>
      <c r="D65" s="1001">
        <f t="shared" si="12"/>
        <v>0</v>
      </c>
      <c r="E65" s="702"/>
      <c r="F65" s="1673"/>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hidden="1">
      <c r="A66" s="1968" t="s">
        <v>2057</v>
      </c>
      <c r="B66" s="1973" t="s">
        <v>2058</v>
      </c>
      <c r="C66" s="1885"/>
      <c r="D66" s="1001">
        <f t="shared" si="12"/>
        <v>0</v>
      </c>
      <c r="E66" s="702"/>
      <c r="F66" s="1673"/>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hidden="1">
      <c r="A67" s="1968" t="s">
        <v>2059</v>
      </c>
      <c r="B67" s="1238" t="str">
        <f>估价对象房地状况!C21</f>
        <v>估价对象所在区域公共配套设施齐备情况</v>
      </c>
      <c r="C67" s="1885"/>
      <c r="D67" s="1001">
        <f t="shared" si="12"/>
        <v>0</v>
      </c>
      <c r="E67" s="702"/>
      <c r="F67" s="1673"/>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hidden="1">
      <c r="A68" s="1968" t="s">
        <v>2060</v>
      </c>
      <c r="B68" s="1238" t="str">
        <f>估价对象房地状况!C22</f>
        <v>估价对象所在区域基础设施水平</v>
      </c>
      <c r="C68" s="1885"/>
      <c r="D68" s="1001">
        <f t="shared" si="12"/>
        <v>0</v>
      </c>
      <c r="E68" s="702"/>
      <c r="F68" s="1673"/>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hidden="1" thickBot="1">
      <c r="A69" s="1975" t="s">
        <v>2061</v>
      </c>
      <c r="B69" s="1977" t="str">
        <f>估价对象房地状况!C20</f>
        <v>区域自然环境：；人文环境；综合评价环境状况一般</v>
      </c>
      <c r="C69" s="1885"/>
      <c r="D69" s="1001">
        <f t="shared" si="12"/>
        <v>0</v>
      </c>
      <c r="E69" s="703"/>
      <c r="F69" s="1673"/>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hidden="1">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hidden="1">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hidden="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3"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hidden="1">
      <c r="A73" s="1968" t="s">
        <v>2053</v>
      </c>
      <c r="B73" s="1260" t="str">
        <f>估价对象房地状况!C18</f>
        <v>估价对象周边道路状况、公共交通通达情况、停车便捷程度，综合评价交通便捷度较好</v>
      </c>
      <c r="C73" s="1885"/>
      <c r="D73" s="1001">
        <f t="shared" si="17"/>
        <v>0</v>
      </c>
      <c r="E73" s="704"/>
      <c r="F73" s="1673"/>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48" hidden="1">
      <c r="A74" s="3069" t="s">
        <v>3271</v>
      </c>
      <c r="B74" s="1260">
        <f>估价对象房地状况!C19</f>
        <v>0</v>
      </c>
      <c r="C74" s="1885"/>
      <c r="D74" s="1001">
        <f t="shared" si="17"/>
        <v>0</v>
      </c>
      <c r="E74" s="704"/>
      <c r="F74" s="1673"/>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3.8" hidden="1">
      <c r="A75" s="1968" t="s">
        <v>2067</v>
      </c>
      <c r="B75" s="1260">
        <f>估价对象房地状况!C24</f>
        <v>0</v>
      </c>
      <c r="C75" s="1885"/>
      <c r="D75" s="1001">
        <f t="shared" si="17"/>
        <v>0</v>
      </c>
      <c r="E75" s="704"/>
      <c r="F75" s="1673"/>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6.4" hidden="1">
      <c r="A76" s="1968" t="s">
        <v>2059</v>
      </c>
      <c r="B76" s="1238" t="str">
        <f>估价对象房地状况!C21</f>
        <v>估价对象所在区域公共配套设施齐备情况</v>
      </c>
      <c r="C76" s="1885"/>
      <c r="D76" s="1001">
        <f t="shared" si="17"/>
        <v>0</v>
      </c>
      <c r="E76" s="704"/>
      <c r="F76" s="1673"/>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6.4" hidden="1">
      <c r="A77" s="1968" t="s">
        <v>2060</v>
      </c>
      <c r="B77" s="1238" t="str">
        <f>估价对象房地状况!C22</f>
        <v>估价对象所在区域基础设施水平</v>
      </c>
      <c r="C77" s="1885"/>
      <c r="D77" s="1001">
        <f t="shared" si="17"/>
        <v>0</v>
      </c>
      <c r="E77" s="704"/>
      <c r="F77" s="1673"/>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36" hidden="1">
      <c r="A78" s="1968" t="s">
        <v>2057</v>
      </c>
      <c r="B78" s="1973" t="s">
        <v>2058</v>
      </c>
      <c r="C78" s="1885"/>
      <c r="D78" s="1001">
        <f t="shared" si="17"/>
        <v>0</v>
      </c>
      <c r="E78" s="704"/>
      <c r="F78" s="1673"/>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39.6" hidden="1">
      <c r="A79" s="1968" t="s">
        <v>2061</v>
      </c>
      <c r="B79" s="1971" t="str">
        <f>估价对象房地状况!C20</f>
        <v>区域自然环境：；人文环境；综合评价环境状况一般</v>
      </c>
      <c r="C79" s="1885"/>
      <c r="D79" s="1001">
        <f t="shared" si="17"/>
        <v>0</v>
      </c>
      <c r="E79" s="704"/>
      <c r="F79" s="1673"/>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36.6" hidden="1" thickBot="1">
      <c r="A80" s="1975" t="s">
        <v>2068</v>
      </c>
      <c r="B80" s="1979"/>
      <c r="C80" s="1885"/>
      <c r="D80" s="1001">
        <f t="shared" si="17"/>
        <v>0</v>
      </c>
      <c r="E80" s="705"/>
      <c r="F80" s="1673"/>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4.4">
      <c r="A81" s="1965" t="s">
        <v>2069</v>
      </c>
      <c r="B81" s="1966">
        <f>1+E83</f>
        <v>1.024</v>
      </c>
      <c r="C81" s="698"/>
      <c r="D81" s="698"/>
      <c r="E81" s="699"/>
      <c r="F81" s="1967"/>
      <c r="G81" s="3"/>
      <c r="H81" s="3"/>
      <c r="I81" s="3"/>
      <c r="J81" s="4"/>
      <c r="K81" s="4"/>
      <c r="L81" s="4"/>
      <c r="M81" s="4"/>
      <c r="N81" s="4"/>
      <c r="Z81" s="1843"/>
      <c r="AA81" s="1893"/>
      <c r="AG81" s="1057"/>
      <c r="AK81" s="1893"/>
    </row>
    <row r="82" spans="1:37" ht="25.2">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7"/>
      <c r="AK82" s="1893"/>
    </row>
    <row r="83" spans="1:37" ht="39.6">
      <c r="A83" s="1968" t="s">
        <v>2070</v>
      </c>
      <c r="B83" s="1260" t="str">
        <f>估价对象房地状况!G15</f>
        <v>估价对象位于XX开发区，园区建设成熟度XX，产业集聚程度XX</v>
      </c>
      <c r="C83" s="1885" t="s">
        <v>3612</v>
      </c>
      <c r="D83" s="1001">
        <f t="shared" ref="D83:D90" si="22">SUMIF($J$82:$N$82,C83,J83:N83)</f>
        <v>6.4999999999999997E-3</v>
      </c>
      <c r="E83" s="701">
        <f>ROUND(SUM(D83:D90),4)</f>
        <v>2.4E-2</v>
      </c>
      <c r="F83" s="1673">
        <f>IF(E2="工业",SUMIF(L1:L12,G2,N1:N12),"——")</f>
        <v>0.05</v>
      </c>
      <c r="G83" s="999">
        <v>6.4999999999999997E-3</v>
      </c>
      <c r="H83" s="1002">
        <f t="shared" ref="H83:H90" si="23">IFERROR(ROUNDDOWN($F$83*I83/2,4),"——")</f>
        <v>6.4999999999999997E-3</v>
      </c>
      <c r="I83" s="3067">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3"/>
      <c r="AA83" s="1893"/>
      <c r="AG83" s="1057"/>
      <c r="AK83" s="1893"/>
    </row>
    <row r="84" spans="1:37" ht="52.8">
      <c r="A84" s="1968" t="s">
        <v>2053</v>
      </c>
      <c r="B84" s="1260" t="str">
        <f>估价对象房地状况!G16</f>
        <v>估价对象周边道路状况、公共交通通达情况、停车便捷程度，综合评价交通便捷度较好</v>
      </c>
      <c r="C84" s="1885" t="s">
        <v>3612</v>
      </c>
      <c r="D84" s="1001">
        <f t="shared" si="22"/>
        <v>7.4999999999999997E-3</v>
      </c>
      <c r="E84" s="704"/>
      <c r="F84" s="1673"/>
      <c r="G84" s="999">
        <v>7.4999999999999997E-3</v>
      </c>
      <c r="H84" s="1002">
        <f t="shared" si="23"/>
        <v>7.4999999999999997E-3</v>
      </c>
      <c r="I84" s="3067">
        <v>0.3</v>
      </c>
      <c r="J84" s="1000">
        <f t="shared" si="24"/>
        <v>1.4999999999999999E-2</v>
      </c>
      <c r="K84" s="1000">
        <f t="shared" si="25"/>
        <v>7.4999999999999997E-3</v>
      </c>
      <c r="L84" s="1000">
        <v>0</v>
      </c>
      <c r="M84" s="1000">
        <f t="shared" si="26"/>
        <v>-7.4999999999999997E-3</v>
      </c>
      <c r="N84" s="1000">
        <f t="shared" si="26"/>
        <v>-1.4999999999999999E-2</v>
      </c>
      <c r="Z84" s="1843"/>
      <c r="AA84" s="1893"/>
      <c r="AG84" s="1057"/>
      <c r="AK84" s="1893"/>
    </row>
    <row r="85" spans="1:37" ht="48">
      <c r="A85" s="3069" t="s">
        <v>3272</v>
      </c>
      <c r="B85" s="1260">
        <f>估价对象房地状况!G17</f>
        <v>0</v>
      </c>
      <c r="C85" s="1885" t="s">
        <v>3612</v>
      </c>
      <c r="D85" s="1001">
        <f t="shared" si="22"/>
        <v>2.5000000000000001E-3</v>
      </c>
      <c r="E85" s="704"/>
      <c r="F85" s="1673"/>
      <c r="G85" s="999">
        <v>2.5000000000000001E-3</v>
      </c>
      <c r="H85" s="1002">
        <f t="shared" si="23"/>
        <v>2.5000000000000001E-3</v>
      </c>
      <c r="I85" s="3067">
        <v>0.1</v>
      </c>
      <c r="J85" s="1000">
        <f t="shared" si="24"/>
        <v>5.0000000000000001E-3</v>
      </c>
      <c r="K85" s="1000">
        <f t="shared" si="25"/>
        <v>2.5000000000000001E-3</v>
      </c>
      <c r="L85" s="1000">
        <v>0</v>
      </c>
      <c r="M85" s="1000">
        <f t="shared" si="26"/>
        <v>-2.5000000000000001E-3</v>
      </c>
      <c r="N85" s="1000">
        <f t="shared" si="26"/>
        <v>-5.0000000000000001E-3</v>
      </c>
      <c r="Z85" s="1843"/>
      <c r="AA85" s="1893"/>
      <c r="AG85" s="1057"/>
      <c r="AK85" s="1893"/>
    </row>
    <row r="86" spans="1:37" ht="13.8">
      <c r="A86" s="1968" t="s">
        <v>2067</v>
      </c>
      <c r="B86" s="1260">
        <f>估价对象房地状况!G22</f>
        <v>0</v>
      </c>
      <c r="C86" s="1885" t="s">
        <v>3613</v>
      </c>
      <c r="D86" s="1001">
        <f t="shared" si="22"/>
        <v>0</v>
      </c>
      <c r="E86" s="704"/>
      <c r="F86" s="1673"/>
      <c r="G86" s="999">
        <v>1.1999999999999999E-3</v>
      </c>
      <c r="H86" s="1002">
        <f t="shared" si="23"/>
        <v>1.1999999999999999E-3</v>
      </c>
      <c r="I86" s="3067">
        <v>0.05</v>
      </c>
      <c r="J86" s="1000">
        <f t="shared" si="24"/>
        <v>2.3999999999999998E-3</v>
      </c>
      <c r="K86" s="1000">
        <f t="shared" si="25"/>
        <v>1.1999999999999999E-3</v>
      </c>
      <c r="L86" s="1000">
        <v>0</v>
      </c>
      <c r="M86" s="1000">
        <f t="shared" si="26"/>
        <v>-1.1999999999999999E-3</v>
      </c>
      <c r="N86" s="1000">
        <f t="shared" si="26"/>
        <v>-2.3999999999999998E-3</v>
      </c>
      <c r="Z86" s="1843"/>
      <c r="AA86" s="1893"/>
      <c r="AG86" s="1057"/>
      <c r="AK86" s="1893"/>
    </row>
    <row r="87" spans="1:37" ht="26.4">
      <c r="A87" s="1968" t="s">
        <v>2059</v>
      </c>
      <c r="B87" s="1238" t="str">
        <f>估价对象房地状况!G19</f>
        <v>估价对象所在区域公共配套设施齐备情况</v>
      </c>
      <c r="C87" s="1885" t="s">
        <v>3613</v>
      </c>
      <c r="D87" s="1001">
        <f t="shared" si="22"/>
        <v>0</v>
      </c>
      <c r="E87" s="704"/>
      <c r="F87" s="1673"/>
      <c r="G87" s="999">
        <v>1.5E-3</v>
      </c>
      <c r="H87" s="1002">
        <f t="shared" si="23"/>
        <v>1.5E-3</v>
      </c>
      <c r="I87" s="3067">
        <v>0.06</v>
      </c>
      <c r="J87" s="1000">
        <f t="shared" si="24"/>
        <v>3.0000000000000001E-3</v>
      </c>
      <c r="K87" s="1000">
        <f t="shared" si="25"/>
        <v>1.5E-3</v>
      </c>
      <c r="L87" s="1000">
        <v>0</v>
      </c>
      <c r="M87" s="1000">
        <f t="shared" si="26"/>
        <v>-1.5E-3</v>
      </c>
      <c r="N87" s="1000">
        <f t="shared" si="26"/>
        <v>-3.0000000000000001E-3</v>
      </c>
    </row>
    <row r="88" spans="1:37" ht="26.4">
      <c r="A88" s="1968" t="s">
        <v>2060</v>
      </c>
      <c r="B88" s="1238" t="str">
        <f>估价对象房地状况!G20</f>
        <v>估价对象所在区域基础设施水平</v>
      </c>
      <c r="C88" s="1885" t="s">
        <v>3618</v>
      </c>
      <c r="D88" s="1001">
        <f t="shared" si="22"/>
        <v>6.0000000000000001E-3</v>
      </c>
      <c r="E88" s="704"/>
      <c r="F88" s="1673"/>
      <c r="G88" s="999">
        <v>3.0000000000000001E-3</v>
      </c>
      <c r="H88" s="1002">
        <f t="shared" si="23"/>
        <v>3.0000000000000001E-3</v>
      </c>
      <c r="I88" s="3067">
        <v>0.12</v>
      </c>
      <c r="J88" s="1000">
        <f t="shared" si="24"/>
        <v>6.0000000000000001E-3</v>
      </c>
      <c r="K88" s="1000">
        <f t="shared" si="25"/>
        <v>3.0000000000000001E-3</v>
      </c>
      <c r="L88" s="1000">
        <v>0</v>
      </c>
      <c r="M88" s="1000">
        <f t="shared" si="26"/>
        <v>-3.0000000000000001E-3</v>
      </c>
      <c r="N88" s="1000">
        <f t="shared" si="26"/>
        <v>-6.0000000000000001E-3</v>
      </c>
    </row>
    <row r="89" spans="1:37" ht="36">
      <c r="A89" s="1968" t="s">
        <v>2057</v>
      </c>
      <c r="B89" s="1973" t="s">
        <v>2071</v>
      </c>
      <c r="C89" s="1885" t="s">
        <v>3612</v>
      </c>
      <c r="D89" s="1001">
        <f t="shared" si="22"/>
        <v>1.5E-3</v>
      </c>
      <c r="E89" s="704"/>
      <c r="F89" s="1673"/>
      <c r="G89" s="999">
        <v>1.5E-3</v>
      </c>
      <c r="H89" s="1002">
        <f t="shared" si="23"/>
        <v>1.5E-3</v>
      </c>
      <c r="I89" s="3067">
        <v>0.06</v>
      </c>
      <c r="J89" s="1000">
        <f t="shared" si="24"/>
        <v>3.0000000000000001E-3</v>
      </c>
      <c r="K89" s="1000">
        <f t="shared" si="25"/>
        <v>1.5E-3</v>
      </c>
      <c r="L89" s="1000">
        <v>0</v>
      </c>
      <c r="M89" s="1000">
        <f t="shared" si="26"/>
        <v>-1.5E-3</v>
      </c>
      <c r="N89" s="1000">
        <f t="shared" si="26"/>
        <v>-3.0000000000000001E-3</v>
      </c>
    </row>
    <row r="90" spans="1:37" ht="40.200000000000003" thickBot="1">
      <c r="A90" s="1975" t="s">
        <v>2072</v>
      </c>
      <c r="B90" s="1980" t="str">
        <f>估价对象房地状况!G18</f>
        <v>该园区内是否有污染型企业，绿化情况，卫生条件，整体环境状况判断</v>
      </c>
      <c r="C90" s="1885" t="s">
        <v>3613</v>
      </c>
      <c r="D90" s="1001">
        <f t="shared" si="22"/>
        <v>0</v>
      </c>
      <c r="E90" s="705"/>
      <c r="F90" s="1673"/>
      <c r="G90" s="999">
        <v>1.1999999999999999E-3</v>
      </c>
      <c r="H90" s="1002">
        <f t="shared" si="23"/>
        <v>1.1999999999999999E-3</v>
      </c>
      <c r="I90" s="3068">
        <v>0.05</v>
      </c>
      <c r="J90" s="1000">
        <f t="shared" si="24"/>
        <v>2.3999999999999998E-3</v>
      </c>
      <c r="K90" s="1000">
        <f t="shared" si="25"/>
        <v>1.1999999999999999E-3</v>
      </c>
      <c r="L90" s="1000">
        <v>0</v>
      </c>
      <c r="M90" s="1000">
        <f t="shared" si="26"/>
        <v>-1.1999999999999999E-3</v>
      </c>
      <c r="N90" s="1000">
        <f t="shared" si="26"/>
        <v>-2.3999999999999998E-3</v>
      </c>
    </row>
    <row r="91" spans="1:37" ht="13.8">
      <c r="A91" s="3077" t="s">
        <v>2614</v>
      </c>
      <c r="B91" s="3078">
        <f>1+E93</f>
        <v>1</v>
      </c>
      <c r="C91" s="3071"/>
      <c r="D91" s="3072"/>
      <c r="E91" s="1673"/>
      <c r="F91" s="1673"/>
      <c r="G91" s="3073"/>
      <c r="H91" s="3074"/>
      <c r="I91" s="3075"/>
      <c r="J91" s="3076"/>
      <c r="K91" s="3076"/>
      <c r="L91" s="3076"/>
      <c r="M91" s="3076"/>
      <c r="N91" s="3076"/>
    </row>
    <row r="92" spans="1:37" ht="25.2">
      <c r="A92" s="3079" t="s">
        <v>3273</v>
      </c>
      <c r="B92" s="2308"/>
      <c r="C92" s="2308" t="s">
        <v>3282</v>
      </c>
      <c r="D92" s="2308" t="s">
        <v>3283</v>
      </c>
      <c r="E92" s="3051" t="s">
        <v>3284</v>
      </c>
      <c r="F92" s="3081" t="s">
        <v>3285</v>
      </c>
      <c r="G92" s="2308" t="s">
        <v>3286</v>
      </c>
      <c r="H92" s="3088" t="s">
        <v>3289</v>
      </c>
      <c r="I92" s="2308" t="s">
        <v>3290</v>
      </c>
      <c r="J92" s="2148" t="s">
        <v>3291</v>
      </c>
      <c r="K92" s="2148" t="s">
        <v>3292</v>
      </c>
      <c r="L92" s="2148" t="s">
        <v>3293</v>
      </c>
      <c r="M92" s="2148" t="s">
        <v>3294</v>
      </c>
      <c r="N92" s="2148" t="s">
        <v>3295</v>
      </c>
    </row>
    <row r="93" spans="1:37" ht="24">
      <c r="A93" s="3069" t="s">
        <v>3274</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2.8">
      <c r="A94" s="3079" t="s">
        <v>3275</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48">
      <c r="A95" s="3069" t="s">
        <v>3271</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7.200000000000003">
      <c r="A96" s="3079" t="s">
        <v>3276</v>
      </c>
      <c r="B96" s="3085" t="s">
        <v>3287</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3277</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36">
      <c r="A98" s="3079" t="s">
        <v>3278</v>
      </c>
      <c r="B98" s="3086" t="s">
        <v>3288</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6.4">
      <c r="A99" s="3079" t="s">
        <v>3279</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6.4">
      <c r="A100" s="3079" t="s">
        <v>3280</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40.200000000000003" thickBot="1">
      <c r="A101" s="3080" t="s">
        <v>3281</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522" t="s">
        <v>3296</v>
      </c>
      <c r="B103" s="3522"/>
      <c r="C103" s="3522"/>
      <c r="D103" s="3522"/>
      <c r="E103" s="3522"/>
      <c r="F103" s="3522"/>
      <c r="G103" s="3522"/>
      <c r="H103" s="3522"/>
      <c r="I103" s="3522"/>
      <c r="J103" s="3522"/>
      <c r="K103" s="1665"/>
      <c r="L103" s="1665"/>
      <c r="M103" s="1665"/>
      <c r="N103" s="1665"/>
    </row>
    <row r="104" spans="1:14">
      <c r="A104" s="3523" t="s">
        <v>3297</v>
      </c>
      <c r="B104" s="3523" t="s">
        <v>3298</v>
      </c>
      <c r="C104" s="3089" t="s">
        <v>3299</v>
      </c>
      <c r="D104" s="3090"/>
      <c r="E104" s="3090"/>
      <c r="F104" s="3090"/>
      <c r="G104" s="3090"/>
      <c r="H104" s="3090"/>
      <c r="I104" s="3090"/>
      <c r="J104" s="3091"/>
      <c r="K104" s="3092"/>
      <c r="L104" s="3092"/>
      <c r="M104" s="3092"/>
      <c r="N104" s="3092"/>
    </row>
    <row r="105" spans="1:14">
      <c r="A105" s="3523"/>
      <c r="B105" s="3523"/>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509"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1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1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1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1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10"/>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1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12" t="s">
        <v>3313</v>
      </c>
      <c r="B113" s="3512"/>
      <c r="C113" s="3512"/>
      <c r="D113" s="3512"/>
      <c r="E113" s="3512"/>
      <c r="F113" s="3512"/>
      <c r="G113" s="3512"/>
      <c r="H113" s="3512"/>
      <c r="I113" s="3512"/>
      <c r="J113" s="351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8" thickBot="1">
      <c r="A115" s="3096"/>
      <c r="B115" s="3096"/>
      <c r="C115" s="3096"/>
      <c r="D115" s="3096"/>
      <c r="E115" s="3096"/>
      <c r="F115" s="3096"/>
      <c r="G115" s="3096"/>
      <c r="H115" s="3096"/>
      <c r="I115" s="3096"/>
      <c r="J115" s="3096"/>
      <c r="K115" s="1962"/>
      <c r="L115" s="3096"/>
      <c r="M115" s="3096"/>
      <c r="N115" s="3096"/>
    </row>
    <row r="116" spans="1:14" ht="25.8" thickBot="1">
      <c r="A116" s="3097" t="s">
        <v>3314</v>
      </c>
      <c r="B116" s="3113">
        <f>G3</f>
        <v>2</v>
      </c>
      <c r="C116" s="3098" t="s">
        <v>3315</v>
      </c>
      <c r="D116" s="3099">
        <f>SUMPRODUCT((A118:A122=F116)*(B117:M117=H116)*B118:M122)</f>
        <v>0.62519999999999998</v>
      </c>
      <c r="E116" s="161" t="s">
        <v>3316</v>
      </c>
      <c r="F116" s="3100" t="str">
        <f>E2</f>
        <v>工业</v>
      </c>
      <c r="G116" s="161" t="s">
        <v>3317</v>
      </c>
      <c r="H116" s="3100" t="str">
        <f>G2</f>
        <v>七级</v>
      </c>
      <c r="I116" s="161"/>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c r="A119" s="3056" t="s">
        <v>3331</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c r="A120" s="3056" t="s">
        <v>3332</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8" thickBot="1">
      <c r="A121" s="3109" t="s">
        <v>3333</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c r="A122" s="3112" t="s">
        <v>2614</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89"/>
      <c r="B4" s="3205" t="s">
        <v>917</v>
      </c>
      <c r="C4" s="3205"/>
      <c r="D4" s="3205"/>
      <c r="E4" s="1389"/>
    </row>
    <row r="5" spans="1:5" ht="16.2" thickTop="1">
      <c r="B5" s="3203" t="s">
        <v>909</v>
      </c>
      <c r="C5" s="1390" t="s">
        <v>910</v>
      </c>
      <c r="D5" s="796">
        <f ca="1">结果表!H101</f>
        <v>80062</v>
      </c>
    </row>
    <row r="6" spans="1:5" ht="15.6">
      <c r="B6" s="3203"/>
      <c r="C6" s="1390" t="s">
        <v>911</v>
      </c>
      <c r="D6" s="796" t="str">
        <f ca="1">NUMBERSTRING(INT(D5*10000),2)&amp;"元整"</f>
        <v>捌亿零陆拾贰万元整</v>
      </c>
    </row>
    <row r="7" spans="1:5" ht="15.6">
      <c r="B7" s="3208"/>
      <c r="C7" s="1391" t="s">
        <v>912</v>
      </c>
      <c r="D7" s="797">
        <f ca="1">结果表!H102</f>
        <v>16550</v>
      </c>
    </row>
    <row r="8" spans="1:5" ht="15.6">
      <c r="B8" s="3209" t="str">
        <f>结果表!E103</f>
        <v>2.估价师知悉的法定优先受偿款</v>
      </c>
      <c r="C8" s="1392" t="s">
        <v>913</v>
      </c>
      <c r="D8" s="797">
        <f>结果表!H103</f>
        <v>0</v>
      </c>
    </row>
    <row r="9" spans="1:5" ht="15.6">
      <c r="B9" s="3211"/>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02" t="str">
        <f>结果表!E107</f>
        <v>3.房地产抵押价值</v>
      </c>
      <c r="C13" s="1395" t="s">
        <v>910</v>
      </c>
      <c r="D13" s="799">
        <f ca="1">结果表!H107</f>
        <v>80062</v>
      </c>
    </row>
    <row r="14" spans="1:5" ht="15.6">
      <c r="B14" s="3203"/>
      <c r="C14" s="1390" t="s">
        <v>911</v>
      </c>
      <c r="D14" s="796" t="str">
        <f ca="1">NUMBERSTRING(INT(D13*10000),2)&amp;"元整"</f>
        <v>捌亿零陆拾贰万元整</v>
      </c>
    </row>
    <row r="15" spans="1:5" ht="15.6">
      <c r="B15" s="3208"/>
      <c r="C15" s="1391" t="s">
        <v>921</v>
      </c>
      <c r="D15" s="805">
        <f ca="1">结果表!H108</f>
        <v>16550</v>
      </c>
    </row>
    <row r="16" spans="1:5" ht="15.6">
      <c r="B16" s="3209" t="str">
        <f>结果表!E109</f>
        <v>——</v>
      </c>
      <c r="C16" s="1395" t="s">
        <v>922</v>
      </c>
      <c r="D16" s="1396" t="str">
        <f>结果表!H109</f>
        <v>——</v>
      </c>
    </row>
    <row r="17" spans="1:5" ht="15.6">
      <c r="B17" s="3210"/>
      <c r="C17" s="1390" t="s">
        <v>923</v>
      </c>
      <c r="D17" s="796" t="e">
        <f>NUMBERSTRING(INT(D16*10000),2)&amp;"元整"</f>
        <v>#VALUE!</v>
      </c>
    </row>
    <row r="18" spans="1:5" ht="15.6">
      <c r="B18" s="3211"/>
      <c r="C18" s="1391" t="s">
        <v>912</v>
      </c>
      <c r="D18" s="805" t="str">
        <f>结果表!H110</f>
        <v>——</v>
      </c>
    </row>
    <row r="19" spans="1:5" ht="15.6">
      <c r="B19" s="3202" t="str">
        <f>结果表!E111</f>
        <v>——</v>
      </c>
      <c r="C19" s="1395" t="s">
        <v>910</v>
      </c>
      <c r="D19" s="797" t="str">
        <f>结果表!H111</f>
        <v>——</v>
      </c>
    </row>
    <row r="20" spans="1:5" ht="15.6">
      <c r="B20" s="3203"/>
      <c r="C20" s="1390" t="s">
        <v>923</v>
      </c>
      <c r="D20" s="796" t="e">
        <f>NUMBERSTRING(INT(D19*10000),2)&amp;"元整"</f>
        <v>#VALUE!</v>
      </c>
    </row>
    <row r="21" spans="1:5" ht="16.2" thickBot="1">
      <c r="B21" s="3204"/>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1"/>
      <c r="C1" s="1108" t="s">
        <v>3335</v>
      </c>
      <c r="D1" s="1107"/>
      <c r="E1" s="2566"/>
      <c r="F1" s="2566"/>
      <c r="G1" s="2447"/>
      <c r="H1" s="2566"/>
      <c r="I1" s="2566"/>
      <c r="J1" s="2566"/>
      <c r="K1" s="2567">
        <f>MATCH(C1,'数据-取费表'!A6:A16,0)+5</f>
        <v>7</v>
      </c>
    </row>
    <row r="2" spans="1:33" ht="18" customHeight="1">
      <c r="A2" s="192" t="s">
        <v>1462</v>
      </c>
      <c r="B2" s="195" t="e">
        <f ca="1">C32</f>
        <v>#VALUE!</v>
      </c>
      <c r="C2" s="267" t="s">
        <v>1595</v>
      </c>
      <c r="D2" s="267"/>
      <c r="E2" s="2566"/>
      <c r="F2" s="2566"/>
      <c r="G2" s="2566"/>
      <c r="H2" s="2566"/>
      <c r="I2" s="2566"/>
      <c r="J2" s="2566"/>
      <c r="K2" s="2566"/>
    </row>
    <row r="3" spans="1:33" ht="18" customHeight="1" thickBot="1">
      <c r="A3" s="194" t="s">
        <v>1464</v>
      </c>
      <c r="B3" s="195" t="e">
        <f ca="1">ROUND(B2*10000/IF(C1="",'数据-汇总表'!E3,INDIRECT("'数据-取费表'!K"&amp;$K$1)),0)</f>
        <v>#VALUE!</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6" t="s">
        <v>3</v>
      </c>
      <c r="D5" s="1716" t="s">
        <v>3335</v>
      </c>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8">
        <f>SUMIF('数据-汇总表'!$C19:$C33,假设开发法!C5,'数据-汇总表'!$E19:$E33)</f>
        <v>0</v>
      </c>
      <c r="D7" s="268">
        <f>SUMIF('数据-汇总表'!$C19:$C33,假设开发法!D5,'数据-汇总表'!$E19:$E33)</f>
        <v>19473.41</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t="e">
        <f ca="1">IF(C1="",'数据-取费表'!P16,INDIRECT("'数据-取费表'!p"&amp;$K$1)+INDIRECT("'数据-取费表'!ar"&amp;$K$1))</f>
        <v>#VALUE!</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t="e">
        <f ca="1">ROUND(C11*F12,0)</f>
        <v>#VALUE!</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19710.68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t="e">
        <f ca="1">ROUND(C11*F15,0)</f>
        <v>#VALUE!</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t="e">
        <f ca="1">SUM(C11:C15)</f>
        <v>#VALUE!</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19710.68</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t="s">
        <v>3647</v>
      </c>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1627</v>
      </c>
      <c r="C20" s="21">
        <f ca="1">ROUND(D20*E20/10000,0)</f>
        <v>394</v>
      </c>
      <c r="D20" s="795">
        <f ca="1">IF(C1="",'数据-汇总表'!E6,IF(INDIRECT("'数据-取费表'!c"&amp;$K$1)="住宅",INDIRECT("'数据-取费表'!s"&amp;$K$1),INDIRECT("'数据-取费表'!k"&amp;$K$1)+INDIRECT("'数据-取费表'!s"&amp;$K$1)))</f>
        <v>19710.68</v>
      </c>
      <c r="E20" s="21">
        <f>'数据-取费表'!B28</f>
        <v>200</v>
      </c>
      <c r="F20" s="755"/>
      <c r="G20" s="12"/>
      <c r="H20" s="760"/>
      <c r="I20" s="760"/>
      <c r="J20" s="760"/>
      <c r="K20" s="761"/>
    </row>
    <row r="21" spans="1:33" s="754" customFormat="1" ht="13.5" customHeight="1">
      <c r="A21" s="743" t="s">
        <v>357</v>
      </c>
      <c r="B21" s="764" t="s">
        <v>1628</v>
      </c>
      <c r="C21" s="765" t="e">
        <f ca="1">C16+C17+C18</f>
        <v>#VALUE!</v>
      </c>
      <c r="D21" s="766"/>
      <c r="E21" s="272"/>
      <c r="F21" s="272"/>
      <c r="G21" s="123" t="s">
        <v>1629</v>
      </c>
      <c r="H21" s="758"/>
      <c r="I21" s="758"/>
      <c r="J21" s="758"/>
      <c r="K21" s="759"/>
    </row>
    <row r="22" spans="1:33" s="754" customFormat="1" ht="13.5" customHeight="1">
      <c r="A22" s="743" t="s">
        <v>1601</v>
      </c>
      <c r="B22" s="764" t="s">
        <v>1630</v>
      </c>
      <c r="C22" s="765" t="e">
        <f ca="1">ROUND(C21*F22,0)</f>
        <v>#VALUE!</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t="e">
        <f ca="1">C27</f>
        <v>#VALUE!</v>
      </c>
      <c r="D25" s="271">
        <f ca="1">C26</f>
        <v>0</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t="e">
        <f ca="1">C30</f>
        <v>#VALUE!</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3" t="s">
        <v>1644</v>
      </c>
      <c r="H29" s="758"/>
      <c r="I29" s="758"/>
      <c r="J29" s="758"/>
      <c r="K29" s="759"/>
    </row>
    <row r="30" spans="1:33" s="282" customFormat="1" ht="13.5" customHeight="1">
      <c r="A30" s="751" t="s">
        <v>359</v>
      </c>
      <c r="B30" s="772" t="s">
        <v>1645</v>
      </c>
      <c r="C30" s="283" t="e">
        <f ca="1">ROUND((C21+C22+C23)*F28,0)</f>
        <v>#VALUE!</v>
      </c>
      <c r="D30" s="275"/>
      <c r="E30" s="276"/>
      <c r="F30" s="281"/>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44" t="s">
        <v>1770</v>
      </c>
      <c r="D4" s="3445"/>
      <c r="E4" s="3446" t="s">
        <v>1771</v>
      </c>
      <c r="F4" s="3447"/>
      <c r="G4" s="3444" t="s">
        <v>1772</v>
      </c>
      <c r="H4" s="3445"/>
      <c r="I4" s="3444" t="s">
        <v>1773</v>
      </c>
      <c r="J4" s="3445"/>
      <c r="K4" s="536" t="s">
        <v>1774</v>
      </c>
      <c r="L4" s="2485"/>
      <c r="M4" s="2486"/>
      <c r="N4" s="2486"/>
      <c r="O4" s="2486"/>
      <c r="P4" s="3448" t="s">
        <v>1775</v>
      </c>
      <c r="Q4" s="3449"/>
      <c r="R4" s="3431" t="s">
        <v>1771</v>
      </c>
      <c r="S4" s="3432"/>
      <c r="T4" s="3431" t="s">
        <v>1772</v>
      </c>
      <c r="U4" s="3432"/>
      <c r="V4" s="3456" t="s">
        <v>1773</v>
      </c>
      <c r="W4" s="3456"/>
      <c r="X4" s="1263"/>
      <c r="Y4" s="3431" t="s">
        <v>1775</v>
      </c>
      <c r="Z4" s="3432"/>
      <c r="AA4" s="3426" t="s">
        <v>1771</v>
      </c>
      <c r="AB4" s="3427" t="s">
        <v>1772</v>
      </c>
      <c r="AC4" s="3426" t="s">
        <v>1773</v>
      </c>
    </row>
    <row r="5" spans="1:29">
      <c r="A5" s="347"/>
      <c r="B5" s="348"/>
      <c r="C5" s="3437" t="s">
        <v>1673</v>
      </c>
      <c r="D5" s="3438"/>
      <c r="E5" s="3435" t="s">
        <v>1674</v>
      </c>
      <c r="F5" s="3436"/>
      <c r="G5" s="3437" t="s">
        <v>1675</v>
      </c>
      <c r="H5" s="3438"/>
      <c r="I5" s="3437" t="s">
        <v>1676</v>
      </c>
      <c r="J5" s="3438"/>
      <c r="K5" s="536"/>
      <c r="L5" s="2485"/>
      <c r="M5" s="2486"/>
      <c r="N5" s="2486"/>
      <c r="O5" s="2486"/>
      <c r="P5" s="3450"/>
      <c r="Q5" s="3451"/>
      <c r="R5" s="3433"/>
      <c r="S5" s="3434"/>
      <c r="T5" s="3433"/>
      <c r="U5" s="3434"/>
      <c r="V5" s="3456"/>
      <c r="W5" s="3456"/>
      <c r="X5" s="1263"/>
      <c r="Y5" s="3433"/>
      <c r="Z5" s="3434"/>
      <c r="AA5" s="3427"/>
      <c r="AB5" s="3427"/>
      <c r="AC5" s="3427"/>
    </row>
    <row r="6" spans="1:29" ht="15" thickBot="1">
      <c r="A6" s="349"/>
      <c r="B6" s="350"/>
      <c r="C6" s="3528" t="s">
        <v>1919</v>
      </c>
      <c r="D6" s="3529"/>
      <c r="E6" s="3530" t="s">
        <v>1919</v>
      </c>
      <c r="F6" s="3531"/>
      <c r="G6" s="3528" t="s">
        <v>1919</v>
      </c>
      <c r="H6" s="3529"/>
      <c r="I6" s="3528" t="s">
        <v>1919</v>
      </c>
      <c r="J6" s="3529"/>
      <c r="K6" s="536" t="s">
        <v>1678</v>
      </c>
      <c r="L6" s="2485"/>
      <c r="M6" s="2486"/>
      <c r="N6" s="2486"/>
      <c r="O6" s="2486"/>
      <c r="P6" s="3452"/>
      <c r="Q6" s="3453"/>
      <c r="R6" s="3433"/>
      <c r="S6" s="3434"/>
      <c r="T6" s="3454"/>
      <c r="U6" s="3455"/>
      <c r="V6" s="3456"/>
      <c r="W6" s="3456"/>
      <c r="X6" s="1263"/>
      <c r="Y6" s="3454"/>
      <c r="Z6" s="3455"/>
      <c r="AA6" s="3428"/>
      <c r="AB6" s="3428"/>
      <c r="AC6" s="3428"/>
    </row>
    <row r="7" spans="1:29" s="102" customFormat="1" ht="15" thickBot="1">
      <c r="A7" s="351" t="s">
        <v>1679</v>
      </c>
      <c r="B7" s="352"/>
      <c r="C7" s="353">
        <f>'数据-取费表'!B2</f>
        <v>45607</v>
      </c>
      <c r="D7" s="354">
        <v>100</v>
      </c>
      <c r="E7" s="355"/>
      <c r="F7" s="356">
        <f>SUMIF(65:65,YEAR(E7)&amp;"-"&amp;INT((MONTH(E7)+2)/3),66:66)</f>
        <v>0</v>
      </c>
      <c r="G7" s="1820"/>
      <c r="H7" s="354">
        <f>SUMIF(65:65,YEAR(G7)&amp;"-"&amp;INT((MONTH(G7)+2)/3),66:66)</f>
        <v>0</v>
      </c>
      <c r="I7" s="1820"/>
      <c r="J7" s="354">
        <f>SUMIF(65:65,YEAR(I7)&amp;"-"&amp;INT((MONTH(I7)+2)/3),66:66)</f>
        <v>0</v>
      </c>
      <c r="K7" s="38"/>
      <c r="L7" s="2487"/>
      <c r="M7" s="2438"/>
      <c r="N7" s="2438"/>
      <c r="O7" s="2438"/>
      <c r="P7" s="3429" t="s">
        <v>1680</v>
      </c>
      <c r="Q7" s="3457"/>
      <c r="R7" s="663" t="s">
        <v>14</v>
      </c>
      <c r="S7" s="664">
        <f t="shared" ref="S7:S15" si="0">F7</f>
        <v>0</v>
      </c>
      <c r="T7" s="663" t="s">
        <v>14</v>
      </c>
      <c r="U7" s="664">
        <f t="shared" ref="U7:U15" si="1">H7</f>
        <v>0</v>
      </c>
      <c r="V7" s="663" t="s">
        <v>14</v>
      </c>
      <c r="W7" s="664">
        <f t="shared" ref="W7:W15" si="2">J7</f>
        <v>0</v>
      </c>
      <c r="X7" s="665"/>
      <c r="Y7" s="3429" t="s">
        <v>1680</v>
      </c>
      <c r="Z7" s="3430"/>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8"/>
      <c r="N8" s="2438"/>
      <c r="O8" s="2438"/>
      <c r="P8" s="3429" t="s">
        <v>1683</v>
      </c>
      <c r="Q8" s="3430"/>
      <c r="R8" s="663" t="s">
        <v>14</v>
      </c>
      <c r="S8" s="664">
        <f t="shared" si="0"/>
        <v>0</v>
      </c>
      <c r="T8" s="663" t="s">
        <v>14</v>
      </c>
      <c r="U8" s="664">
        <f t="shared" si="1"/>
        <v>0</v>
      </c>
      <c r="V8" s="663" t="s">
        <v>14</v>
      </c>
      <c r="W8" s="664">
        <f t="shared" si="2"/>
        <v>0</v>
      </c>
      <c r="X8" s="665"/>
      <c r="Y8" s="3429" t="s">
        <v>1683</v>
      </c>
      <c r="Z8" s="3430"/>
      <c r="AA8" s="50" t="e">
        <f t="shared" ref="AA8:AA40" si="3">D8/F8</f>
        <v>#DIV/0!</v>
      </c>
      <c r="AB8" s="50" t="e">
        <f t="shared" ref="AB8:AB40" si="4">D8/H8</f>
        <v>#DIV/0!</v>
      </c>
      <c r="AC8" s="50" t="e">
        <f t="shared" ref="AC8:AC40" si="5">D8/J8</f>
        <v>#DIV/0!</v>
      </c>
    </row>
    <row r="9" spans="1:29" s="102" customFormat="1" ht="14.4">
      <c r="A9" s="358"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61" t="s">
        <v>1686</v>
      </c>
      <c r="Q9" s="529" t="str">
        <f t="shared" ref="Q9:Q15" si="6">B9</f>
        <v>用途</v>
      </c>
      <c r="R9" s="663" t="s">
        <v>14</v>
      </c>
      <c r="S9" s="664">
        <f t="shared" si="0"/>
        <v>100</v>
      </c>
      <c r="T9" s="663" t="s">
        <v>14</v>
      </c>
      <c r="U9" s="664">
        <f t="shared" si="1"/>
        <v>100</v>
      </c>
      <c r="V9" s="663" t="s">
        <v>14</v>
      </c>
      <c r="W9" s="664">
        <f t="shared" si="2"/>
        <v>100</v>
      </c>
      <c r="X9" s="665"/>
      <c r="Y9" s="3363"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105</v>
      </c>
      <c r="G10" s="370"/>
      <c r="H10" s="119">
        <f>ROUND(100/'数据-取费表'!G16,0)</f>
        <v>105</v>
      </c>
      <c r="I10" s="370"/>
      <c r="J10" s="119">
        <f>ROUND(100/'数据-取费表'!G16,0)</f>
        <v>105</v>
      </c>
      <c r="K10" s="591"/>
      <c r="L10" s="2488"/>
      <c r="M10" s="2489"/>
      <c r="N10" s="2489"/>
      <c r="O10" s="2540"/>
      <c r="P10" s="3461"/>
      <c r="Q10" s="529" t="str">
        <f t="shared" si="6"/>
        <v>土地使用年限（年）</v>
      </c>
      <c r="R10" s="663" t="s">
        <v>14</v>
      </c>
      <c r="S10" s="664">
        <f t="shared" si="0"/>
        <v>105</v>
      </c>
      <c r="T10" s="663" t="s">
        <v>14</v>
      </c>
      <c r="U10" s="664">
        <f t="shared" si="1"/>
        <v>105</v>
      </c>
      <c r="V10" s="663" t="s">
        <v>14</v>
      </c>
      <c r="W10" s="664">
        <f t="shared" si="2"/>
        <v>105</v>
      </c>
      <c r="X10" s="665"/>
      <c r="Y10" s="3363"/>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90"/>
      <c r="M11" s="2486"/>
      <c r="N11" s="2486"/>
      <c r="O11" s="2541"/>
      <c r="P11" s="3461"/>
      <c r="Q11" s="529" t="str">
        <f t="shared" si="6"/>
        <v>容积率</v>
      </c>
      <c r="R11" s="663" t="s">
        <v>14</v>
      </c>
      <c r="S11" s="664" t="e">
        <f t="shared" si="0"/>
        <v>#N/A</v>
      </c>
      <c r="T11" s="663" t="s">
        <v>14</v>
      </c>
      <c r="U11" s="664" t="e">
        <f t="shared" si="1"/>
        <v>#N/A</v>
      </c>
      <c r="V11" s="663" t="s">
        <v>14</v>
      </c>
      <c r="W11" s="664" t="e">
        <f t="shared" si="2"/>
        <v>#N/A</v>
      </c>
      <c r="X11" s="665"/>
      <c r="Y11" s="336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7"/>
      <c r="M12" s="2438"/>
      <c r="N12" s="2438"/>
      <c r="O12" s="2539"/>
      <c r="P12" s="3461"/>
      <c r="Q12" s="529">
        <f t="shared" si="6"/>
        <v>111</v>
      </c>
      <c r="R12" s="663" t="s">
        <v>14</v>
      </c>
      <c r="S12" s="664">
        <f t="shared" si="0"/>
        <v>100</v>
      </c>
      <c r="T12" s="663" t="s">
        <v>14</v>
      </c>
      <c r="U12" s="664">
        <f t="shared" si="1"/>
        <v>100</v>
      </c>
      <c r="V12" s="663" t="s">
        <v>14</v>
      </c>
      <c r="W12" s="664">
        <f t="shared" si="2"/>
        <v>100</v>
      </c>
      <c r="X12" s="665"/>
      <c r="Y12" s="3363"/>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91"/>
      <c r="M13" s="2486"/>
      <c r="N13" s="2486"/>
      <c r="O13" s="2541"/>
      <c r="P13" s="3461"/>
      <c r="Q13" s="529">
        <f t="shared" si="6"/>
        <v>111</v>
      </c>
      <c r="R13" s="663" t="s">
        <v>14</v>
      </c>
      <c r="S13" s="664">
        <f t="shared" si="0"/>
        <v>100</v>
      </c>
      <c r="T13" s="663" t="s">
        <v>14</v>
      </c>
      <c r="U13" s="664">
        <f t="shared" si="1"/>
        <v>100</v>
      </c>
      <c r="V13" s="663" t="s">
        <v>14</v>
      </c>
      <c r="W13" s="664">
        <f t="shared" si="2"/>
        <v>100</v>
      </c>
      <c r="X13" s="665"/>
      <c r="Y13" s="3363"/>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61"/>
      <c r="Q14" s="529">
        <f t="shared" si="6"/>
        <v>111</v>
      </c>
      <c r="R14" s="663" t="s">
        <v>14</v>
      </c>
      <c r="S14" s="664">
        <f t="shared" si="0"/>
        <v>100</v>
      </c>
      <c r="T14" s="663" t="s">
        <v>14</v>
      </c>
      <c r="U14" s="664">
        <f t="shared" si="1"/>
        <v>100</v>
      </c>
      <c r="V14" s="663" t="s">
        <v>14</v>
      </c>
      <c r="W14" s="664">
        <f t="shared" si="2"/>
        <v>100</v>
      </c>
      <c r="X14" s="665"/>
      <c r="Y14" s="3363"/>
      <c r="Z14" s="50">
        <f t="shared" si="7"/>
        <v>111</v>
      </c>
      <c r="AA14" s="50">
        <f t="shared" si="3"/>
        <v>1</v>
      </c>
      <c r="AB14" s="50">
        <f t="shared" si="4"/>
        <v>1</v>
      </c>
      <c r="AC14" s="50">
        <f t="shared" si="5"/>
        <v>1</v>
      </c>
    </row>
    <row r="15" spans="1:29" ht="69">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62" t="s">
        <v>1691</v>
      </c>
      <c r="Q15" s="1261" t="str">
        <f t="shared" si="6"/>
        <v>产业集聚程度</v>
      </c>
      <c r="R15" s="666" t="s">
        <v>14</v>
      </c>
      <c r="S15" s="667">
        <f t="shared" si="0"/>
        <v>100</v>
      </c>
      <c r="T15" s="666" t="s">
        <v>14</v>
      </c>
      <c r="U15" s="667">
        <f t="shared" si="1"/>
        <v>100</v>
      </c>
      <c r="V15" s="666" t="s">
        <v>14</v>
      </c>
      <c r="W15" s="667">
        <f t="shared" si="2"/>
        <v>100</v>
      </c>
      <c r="X15" s="1263"/>
      <c r="Y15" s="3462"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1"/>
      <c r="M16" s="2486"/>
      <c r="N16" s="2486"/>
      <c r="O16" s="2541"/>
      <c r="P16" s="3463"/>
      <c r="Q16" s="1261"/>
      <c r="R16" s="666"/>
      <c r="S16" s="667"/>
      <c r="T16" s="666"/>
      <c r="U16" s="667"/>
      <c r="V16" s="666"/>
      <c r="W16" s="667"/>
      <c r="X16" s="1263"/>
      <c r="Y16" s="3463"/>
      <c r="Z16" s="1262"/>
      <c r="AA16" s="1262">
        <v>1</v>
      </c>
      <c r="AB16" s="1262">
        <v>1</v>
      </c>
      <c r="AC16" s="1262">
        <v>1</v>
      </c>
    </row>
    <row r="17" spans="1:29" ht="96.6">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63"/>
      <c r="Q17" s="1261" t="str">
        <f>B17</f>
        <v>交通便捷度</v>
      </c>
      <c r="R17" s="666" t="s">
        <v>14</v>
      </c>
      <c r="S17" s="667">
        <f>F17</f>
        <v>100</v>
      </c>
      <c r="T17" s="666" t="s">
        <v>14</v>
      </c>
      <c r="U17" s="667">
        <f>H17</f>
        <v>100</v>
      </c>
      <c r="V17" s="666" t="s">
        <v>14</v>
      </c>
      <c r="W17" s="667">
        <f>J17</f>
        <v>100</v>
      </c>
      <c r="X17" s="1263"/>
      <c r="Y17" s="3463"/>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1"/>
      <c r="M18" s="2486"/>
      <c r="N18" s="2486"/>
      <c r="O18" s="2541"/>
      <c r="P18" s="3463"/>
      <c r="Q18" s="1261"/>
      <c r="R18" s="666"/>
      <c r="S18" s="667"/>
      <c r="T18" s="666"/>
      <c r="U18" s="667"/>
      <c r="V18" s="666"/>
      <c r="W18" s="667"/>
      <c r="X18" s="1263"/>
      <c r="Y18" s="3463"/>
      <c r="Z18" s="1262"/>
      <c r="AA18" s="1262">
        <v>1</v>
      </c>
      <c r="AB18" s="1262">
        <v>1</v>
      </c>
      <c r="AC18" s="1262">
        <v>1</v>
      </c>
    </row>
    <row r="19" spans="1:29" ht="28.8">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63"/>
      <c r="Q19" s="1261" t="str">
        <f t="shared" ref="Q19:Q33" si="8">B19</f>
        <v>区域土地利用方向</v>
      </c>
      <c r="R19" s="666" t="s">
        <v>14</v>
      </c>
      <c r="S19" s="667">
        <f>F19</f>
        <v>100</v>
      </c>
      <c r="T19" s="666" t="s">
        <v>14</v>
      </c>
      <c r="U19" s="667">
        <f>H19</f>
        <v>100</v>
      </c>
      <c r="V19" s="666" t="s">
        <v>14</v>
      </c>
      <c r="W19" s="667">
        <f>J19</f>
        <v>100</v>
      </c>
      <c r="X19" s="1263"/>
      <c r="Y19" s="3463"/>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1"/>
      <c r="M20" s="2486"/>
      <c r="N20" s="2486"/>
      <c r="O20" s="2541"/>
      <c r="P20" s="3463"/>
      <c r="Q20" s="1261"/>
      <c r="R20" s="666"/>
      <c r="S20" s="667"/>
      <c r="T20" s="666"/>
      <c r="U20" s="667"/>
      <c r="V20" s="666"/>
      <c r="W20" s="667"/>
      <c r="X20" s="1263"/>
      <c r="Y20" s="3463"/>
      <c r="Z20" s="1262"/>
      <c r="AA20" s="1262"/>
      <c r="AB20" s="1262"/>
      <c r="AC20" s="1262"/>
    </row>
    <row r="21" spans="1:29" ht="82.8">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63"/>
      <c r="Q21" s="1261" t="str">
        <f t="shared" si="8"/>
        <v>环境状况</v>
      </c>
      <c r="R21" s="666" t="s">
        <v>14</v>
      </c>
      <c r="S21" s="667">
        <f>F21</f>
        <v>100</v>
      </c>
      <c r="T21" s="666" t="s">
        <v>14</v>
      </c>
      <c r="U21" s="667">
        <f>H21</f>
        <v>100</v>
      </c>
      <c r="V21" s="666" t="s">
        <v>14</v>
      </c>
      <c r="W21" s="667">
        <f>J21</f>
        <v>100</v>
      </c>
      <c r="X21" s="1263"/>
      <c r="Y21" s="3463"/>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1"/>
      <c r="M22" s="2486"/>
      <c r="N22" s="2486"/>
      <c r="O22" s="2541"/>
      <c r="P22" s="3463"/>
      <c r="Q22" s="1261"/>
      <c r="R22" s="666"/>
      <c r="S22" s="667"/>
      <c r="T22" s="666"/>
      <c r="U22" s="667"/>
      <c r="V22" s="666"/>
      <c r="W22" s="667"/>
      <c r="X22" s="1263"/>
      <c r="Y22" s="3463"/>
      <c r="Z22" s="1262"/>
      <c r="AA22" s="1262">
        <v>1</v>
      </c>
      <c r="AB22" s="1262">
        <v>1</v>
      </c>
      <c r="AC22" s="1262">
        <v>1</v>
      </c>
    </row>
    <row r="23" spans="1:29" s="102" customFormat="1" ht="41.4">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8"/>
      <c r="N23" s="2438"/>
      <c r="O23" s="2539"/>
      <c r="P23" s="3463"/>
      <c r="Q23" s="529" t="str">
        <f t="shared" si="8"/>
        <v>公共配套设施</v>
      </c>
      <c r="R23" s="663" t="s">
        <v>14</v>
      </c>
      <c r="S23" s="664">
        <f>F23</f>
        <v>100</v>
      </c>
      <c r="T23" s="663" t="s">
        <v>14</v>
      </c>
      <c r="U23" s="664">
        <f>H23</f>
        <v>100</v>
      </c>
      <c r="V23" s="663" t="s">
        <v>14</v>
      </c>
      <c r="W23" s="664">
        <f>J23</f>
        <v>100</v>
      </c>
      <c r="X23" s="665"/>
      <c r="Y23" s="3463"/>
      <c r="Z23" s="50" t="str">
        <f>Q23</f>
        <v>公共配套设施</v>
      </c>
      <c r="AA23" s="1262">
        <f>D23/F23</f>
        <v>1</v>
      </c>
      <c r="AB23" s="1262">
        <f>D23/H23</f>
        <v>1</v>
      </c>
      <c r="AC23" s="1262">
        <f>D23/J23</f>
        <v>1</v>
      </c>
    </row>
    <row r="24" spans="1:29" s="102" customFormat="1" ht="15">
      <c r="A24" s="442"/>
      <c r="B24" s="400"/>
      <c r="C24" s="1824"/>
      <c r="D24" s="386"/>
      <c r="E24" s="1756"/>
      <c r="F24" s="386"/>
      <c r="G24" s="1756"/>
      <c r="H24" s="386"/>
      <c r="I24" s="385"/>
      <c r="J24" s="386"/>
      <c r="K24" s="591"/>
      <c r="L24" s="2487"/>
      <c r="M24" s="2438"/>
      <c r="N24" s="2438"/>
      <c r="O24" s="2539"/>
      <c r="P24" s="3463"/>
      <c r="Q24" s="529"/>
      <c r="R24" s="663"/>
      <c r="S24" s="664"/>
      <c r="T24" s="663"/>
      <c r="U24" s="664"/>
      <c r="V24" s="663"/>
      <c r="W24" s="664"/>
      <c r="X24" s="665"/>
      <c r="Y24" s="3463"/>
      <c r="Z24" s="50"/>
      <c r="AA24" s="50">
        <v>1</v>
      </c>
      <c r="AB24" s="50">
        <v>1</v>
      </c>
      <c r="AC24" s="50">
        <v>1</v>
      </c>
    </row>
    <row r="25" spans="1:29" s="102" customFormat="1" ht="41.4">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8"/>
      <c r="N25" s="2438"/>
      <c r="O25" s="2539"/>
      <c r="P25" s="3463"/>
      <c r="Q25" s="529" t="str">
        <f t="shared" ref="Q25" si="9">B25</f>
        <v>基础设施水平</v>
      </c>
      <c r="R25" s="663" t="s">
        <v>14</v>
      </c>
      <c r="S25" s="664">
        <f>F25</f>
        <v>100</v>
      </c>
      <c r="T25" s="663" t="s">
        <v>14</v>
      </c>
      <c r="U25" s="664">
        <f>H25</f>
        <v>100</v>
      </c>
      <c r="V25" s="663" t="s">
        <v>14</v>
      </c>
      <c r="W25" s="664">
        <f>J25</f>
        <v>100</v>
      </c>
      <c r="X25" s="665"/>
      <c r="Y25" s="3463"/>
      <c r="Z25" s="50" t="str">
        <f>Q25</f>
        <v>基础设施水平</v>
      </c>
      <c r="AA25" s="1262">
        <f>D25/F25</f>
        <v>1</v>
      </c>
      <c r="AB25" s="1262">
        <f>D25/H25</f>
        <v>1</v>
      </c>
      <c r="AC25" s="1262">
        <f>D25/J25</f>
        <v>1</v>
      </c>
    </row>
    <row r="26" spans="1:29" s="102" customFormat="1" ht="15">
      <c r="A26" s="442"/>
      <c r="B26" s="400"/>
      <c r="C26" s="1824"/>
      <c r="D26" s="386"/>
      <c r="E26" s="1825"/>
      <c r="F26" s="386"/>
      <c r="G26" s="1825"/>
      <c r="H26" s="386"/>
      <c r="I26" s="1825"/>
      <c r="J26" s="386"/>
      <c r="K26" s="591"/>
      <c r="L26" s="2487"/>
      <c r="M26" s="2438"/>
      <c r="N26" s="2438"/>
      <c r="O26" s="2539"/>
      <c r="P26" s="3463"/>
      <c r="Q26" s="529"/>
      <c r="R26" s="663"/>
      <c r="S26" s="664"/>
      <c r="T26" s="663"/>
      <c r="U26" s="664"/>
      <c r="V26" s="663"/>
      <c r="W26" s="664"/>
      <c r="X26" s="665"/>
      <c r="Y26" s="346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63"/>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63"/>
      <c r="Z27" s="1262" t="str">
        <f t="shared" ref="Z27:Z40" si="13">Q27</f>
        <v>临街状况</v>
      </c>
      <c r="AA27" s="1262">
        <f t="shared" si="3"/>
        <v>1</v>
      </c>
      <c r="AB27" s="1262">
        <f t="shared" si="4"/>
        <v>1</v>
      </c>
      <c r="AC27" s="1262">
        <f t="shared" si="5"/>
        <v>1</v>
      </c>
    </row>
    <row r="28" spans="1:29" ht="28.8">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63"/>
      <c r="Q28" s="1261" t="str">
        <f t="shared" si="8"/>
        <v>毗邻道路的类型与等级</v>
      </c>
      <c r="R28" s="666" t="s">
        <v>14</v>
      </c>
      <c r="S28" s="667">
        <f t="shared" si="10"/>
        <v>100</v>
      </c>
      <c r="T28" s="666" t="s">
        <v>14</v>
      </c>
      <c r="U28" s="667">
        <f t="shared" si="11"/>
        <v>100</v>
      </c>
      <c r="V28" s="666" t="s">
        <v>14</v>
      </c>
      <c r="W28" s="667">
        <f t="shared" si="12"/>
        <v>100</v>
      </c>
      <c r="X28" s="1263"/>
      <c r="Y28" s="3463"/>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1"/>
      <c r="M29" s="2486"/>
      <c r="N29" s="2486"/>
      <c r="O29" s="2541"/>
      <c r="P29" s="3463"/>
      <c r="Q29" s="1261"/>
      <c r="R29" s="666"/>
      <c r="S29" s="667"/>
      <c r="T29" s="666"/>
      <c r="U29" s="667"/>
      <c r="V29" s="666"/>
      <c r="W29" s="667"/>
      <c r="X29" s="1263"/>
      <c r="Y29" s="3463"/>
      <c r="Z29" s="1262"/>
      <c r="AA29" s="1262">
        <v>1</v>
      </c>
      <c r="AB29" s="1262">
        <v>1</v>
      </c>
      <c r="AC29" s="1262">
        <v>1</v>
      </c>
    </row>
    <row r="30" spans="1:29" ht="15">
      <c r="A30" s="366"/>
      <c r="B30" s="119"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63"/>
      <c r="Q30" s="1261" t="str">
        <f t="shared" si="8"/>
        <v>土地级别</v>
      </c>
      <c r="R30" s="666" t="s">
        <v>14</v>
      </c>
      <c r="S30" s="667">
        <f t="shared" si="10"/>
        <v>100</v>
      </c>
      <c r="T30" s="666" t="s">
        <v>14</v>
      </c>
      <c r="U30" s="667">
        <f t="shared" si="11"/>
        <v>100</v>
      </c>
      <c r="V30" s="666" t="s">
        <v>14</v>
      </c>
      <c r="W30" s="667">
        <f t="shared" si="12"/>
        <v>100</v>
      </c>
      <c r="X30" s="1263"/>
      <c r="Y30" s="3463"/>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63"/>
      <c r="Q31" s="1261">
        <f t="shared" si="8"/>
        <v>111</v>
      </c>
      <c r="R31" s="666" t="s">
        <v>14</v>
      </c>
      <c r="S31" s="667">
        <f t="shared" si="10"/>
        <v>100</v>
      </c>
      <c r="T31" s="666" t="s">
        <v>14</v>
      </c>
      <c r="U31" s="667">
        <f t="shared" si="11"/>
        <v>100</v>
      </c>
      <c r="V31" s="666" t="s">
        <v>14</v>
      </c>
      <c r="W31" s="667">
        <f t="shared" si="12"/>
        <v>100</v>
      </c>
      <c r="X31" s="1263"/>
      <c r="Y31" s="3463"/>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86" t="s">
        <v>1696</v>
      </c>
      <c r="Q32" s="1261">
        <f t="shared" si="8"/>
        <v>111</v>
      </c>
      <c r="R32" s="666" t="s">
        <v>14</v>
      </c>
      <c r="S32" s="667">
        <f t="shared" si="10"/>
        <v>100</v>
      </c>
      <c r="T32" s="666" t="s">
        <v>14</v>
      </c>
      <c r="U32" s="667">
        <f t="shared" si="11"/>
        <v>100</v>
      </c>
      <c r="V32" s="666" t="s">
        <v>14</v>
      </c>
      <c r="W32" s="667">
        <f t="shared" si="12"/>
        <v>100</v>
      </c>
      <c r="X32" s="1263"/>
      <c r="Y32" s="3467" t="s">
        <v>1696</v>
      </c>
      <c r="Z32" s="1262">
        <f t="shared" si="13"/>
        <v>111</v>
      </c>
      <c r="AA32" s="1262">
        <f t="shared" si="3"/>
        <v>1</v>
      </c>
      <c r="AB32" s="1262">
        <f t="shared" si="4"/>
        <v>1</v>
      </c>
      <c r="AC32" s="1262">
        <f t="shared" si="5"/>
        <v>1</v>
      </c>
    </row>
    <row r="33" spans="1:31" s="407" customFormat="1" ht="15.6" thickBot="1">
      <c r="A33" s="595"/>
      <c r="B33" s="1838">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67"/>
      <c r="Q33" s="1261">
        <f t="shared" si="8"/>
        <v>111</v>
      </c>
      <c r="R33" s="668" t="s">
        <v>14</v>
      </c>
      <c r="S33" s="669">
        <f t="shared" si="10"/>
        <v>100</v>
      </c>
      <c r="T33" s="668" t="s">
        <v>14</v>
      </c>
      <c r="U33" s="669">
        <f t="shared" si="11"/>
        <v>100</v>
      </c>
      <c r="V33" s="668" t="s">
        <v>14</v>
      </c>
      <c r="W33" s="669">
        <f t="shared" si="12"/>
        <v>100</v>
      </c>
      <c r="X33" s="670"/>
      <c r="Y33" s="3467"/>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67"/>
      <c r="Q34" s="1261" t="str">
        <f>B34</f>
        <v>宗地面积</v>
      </c>
      <c r="R34" s="666" t="s">
        <v>14</v>
      </c>
      <c r="S34" s="667" t="e">
        <f t="shared" si="10"/>
        <v>#N/A</v>
      </c>
      <c r="T34" s="666" t="s">
        <v>14</v>
      </c>
      <c r="U34" s="667" t="e">
        <f t="shared" si="11"/>
        <v>#N/A</v>
      </c>
      <c r="V34" s="666" t="s">
        <v>14</v>
      </c>
      <c r="W34" s="667" t="e">
        <f t="shared" si="12"/>
        <v>#N/A</v>
      </c>
      <c r="X34" s="1263"/>
      <c r="Y34" s="3467"/>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1"/>
      <c r="M35" s="2486"/>
      <c r="N35" s="2486"/>
      <c r="O35" s="2541"/>
      <c r="P35" s="3467"/>
      <c r="Q35" s="1261" t="str">
        <f t="shared" ref="Q35:Q40" si="14">B35</f>
        <v>宗地形状</v>
      </c>
      <c r="R35" s="666" t="s">
        <v>14</v>
      </c>
      <c r="S35" s="667">
        <f t="shared" si="10"/>
        <v>100</v>
      </c>
      <c r="T35" s="666" t="s">
        <v>14</v>
      </c>
      <c r="U35" s="667">
        <f t="shared" si="11"/>
        <v>100</v>
      </c>
      <c r="V35" s="666" t="s">
        <v>14</v>
      </c>
      <c r="W35" s="667">
        <f t="shared" si="12"/>
        <v>100</v>
      </c>
      <c r="X35" s="1263"/>
      <c r="Y35" s="3467"/>
      <c r="Z35" s="1262" t="str">
        <f t="shared" si="13"/>
        <v>宗地形状</v>
      </c>
      <c r="AA35" s="1262">
        <f t="shared" si="3"/>
        <v>1</v>
      </c>
      <c r="AB35" s="1262">
        <f t="shared" si="4"/>
        <v>1</v>
      </c>
      <c r="AC35" s="1262">
        <f t="shared" si="5"/>
        <v>1</v>
      </c>
    </row>
    <row r="36" spans="1:31" s="102" customFormat="1" ht="15">
      <c r="A36" s="409"/>
      <c r="B36" s="363" t="s">
        <v>1877</v>
      </c>
      <c r="C36" s="1826"/>
      <c r="D36" s="119">
        <v>100</v>
      </c>
      <c r="E36" s="1826"/>
      <c r="F36" s="373">
        <f>SUMIF(112:112,E36,113:113)-SUMIF(112:112,C36,113:113)+100</f>
        <v>100</v>
      </c>
      <c r="G36" s="1826"/>
      <c r="H36" s="373">
        <f>SUMIF(112:112,G36,113:113)-SUMIF(112:112,C36,113:113)+100</f>
        <v>100</v>
      </c>
      <c r="I36" s="1826"/>
      <c r="J36" s="373">
        <f>SUMIF(112:112,I36,113:113)-SUMIF(112:112,C36,113:113)+100</f>
        <v>100</v>
      </c>
      <c r="K36" s="537"/>
      <c r="L36" s="2487"/>
      <c r="M36" s="2438"/>
      <c r="N36" s="2438"/>
      <c r="O36" s="2539"/>
      <c r="P36" s="3467"/>
      <c r="Q36" s="1261" t="str">
        <f t="shared" si="14"/>
        <v>宗地开发程度</v>
      </c>
      <c r="R36" s="663" t="s">
        <v>14</v>
      </c>
      <c r="S36" s="664">
        <f t="shared" si="10"/>
        <v>100</v>
      </c>
      <c r="T36" s="663" t="s">
        <v>14</v>
      </c>
      <c r="U36" s="664">
        <f t="shared" si="11"/>
        <v>100</v>
      </c>
      <c r="V36" s="663" t="s">
        <v>14</v>
      </c>
      <c r="W36" s="664">
        <f t="shared" si="12"/>
        <v>100</v>
      </c>
      <c r="X36" s="665"/>
      <c r="Y36" s="3467"/>
      <c r="Z36" s="50" t="str">
        <f t="shared" si="13"/>
        <v>宗地开发程度</v>
      </c>
      <c r="AA36" s="50">
        <f t="shared" si="3"/>
        <v>1</v>
      </c>
      <c r="AB36" s="50">
        <f t="shared" si="4"/>
        <v>1</v>
      </c>
      <c r="AC36" s="50">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1"/>
      <c r="M37" s="2486"/>
      <c r="N37" s="2486"/>
      <c r="O37" s="2541"/>
      <c r="P37" s="3467" t="s">
        <v>1696</v>
      </c>
      <c r="Q37" s="1261" t="str">
        <f t="shared" si="14"/>
        <v>工程地质条件</v>
      </c>
      <c r="R37" s="666" t="s">
        <v>14</v>
      </c>
      <c r="S37" s="667">
        <f t="shared" si="10"/>
        <v>100</v>
      </c>
      <c r="T37" s="666" t="s">
        <v>14</v>
      </c>
      <c r="U37" s="667">
        <f t="shared" si="11"/>
        <v>100</v>
      </c>
      <c r="V37" s="666" t="s">
        <v>14</v>
      </c>
      <c r="W37" s="667">
        <f t="shared" si="12"/>
        <v>100</v>
      </c>
      <c r="X37" s="1263"/>
      <c r="Y37" s="3467" t="s">
        <v>1696</v>
      </c>
      <c r="Z37" s="1262" t="str">
        <f t="shared" si="13"/>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67"/>
      <c r="Q38" s="1261">
        <f t="shared" si="14"/>
        <v>111</v>
      </c>
      <c r="R38" s="666" t="s">
        <v>14</v>
      </c>
      <c r="S38" s="667">
        <f t="shared" si="10"/>
        <v>100</v>
      </c>
      <c r="T38" s="666" t="s">
        <v>14</v>
      </c>
      <c r="U38" s="667">
        <f t="shared" si="11"/>
        <v>100</v>
      </c>
      <c r="V38" s="666" t="s">
        <v>14</v>
      </c>
      <c r="W38" s="667">
        <f t="shared" si="12"/>
        <v>100</v>
      </c>
      <c r="X38" s="1263"/>
      <c r="Y38" s="3467"/>
      <c r="Z38" s="1262">
        <f t="shared" si="13"/>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67"/>
      <c r="Q39" s="1261">
        <f t="shared" si="14"/>
        <v>111</v>
      </c>
      <c r="R39" s="666" t="s">
        <v>14</v>
      </c>
      <c r="S39" s="667">
        <f t="shared" si="10"/>
        <v>100</v>
      </c>
      <c r="T39" s="666" t="s">
        <v>14</v>
      </c>
      <c r="U39" s="667">
        <f t="shared" si="11"/>
        <v>100</v>
      </c>
      <c r="V39" s="666" t="s">
        <v>14</v>
      </c>
      <c r="W39" s="667">
        <f t="shared" si="12"/>
        <v>100</v>
      </c>
      <c r="X39" s="1263"/>
      <c r="Y39" s="3467"/>
      <c r="Z39" s="1262">
        <f t="shared" si="13"/>
        <v>111</v>
      </c>
      <c r="AA39" s="1262">
        <f t="shared" si="3"/>
        <v>1</v>
      </c>
      <c r="AB39" s="1262">
        <f t="shared" si="4"/>
        <v>1</v>
      </c>
      <c r="AC39" s="1262">
        <f t="shared" si="5"/>
        <v>1</v>
      </c>
    </row>
    <row r="40" spans="1:31" s="407" customFormat="1" ht="15.6" thickBot="1">
      <c r="A40" s="405"/>
      <c r="B40" s="1066">
        <v>111</v>
      </c>
      <c r="C40" s="1827"/>
      <c r="D40" s="120">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67"/>
      <c r="Q40" s="1261">
        <f t="shared" si="14"/>
        <v>111</v>
      </c>
      <c r="R40" s="668" t="s">
        <v>14</v>
      </c>
      <c r="S40" s="669">
        <f t="shared" si="10"/>
        <v>100</v>
      </c>
      <c r="T40" s="668" t="s">
        <v>14</v>
      </c>
      <c r="U40" s="669">
        <f t="shared" si="11"/>
        <v>100</v>
      </c>
      <c r="V40" s="668" t="s">
        <v>14</v>
      </c>
      <c r="W40" s="669">
        <f t="shared" si="12"/>
        <v>100</v>
      </c>
      <c r="X40" s="670"/>
      <c r="Y40" s="3467"/>
      <c r="Z40" s="671">
        <f t="shared" si="13"/>
        <v>111</v>
      </c>
      <c r="AA40" s="1262">
        <f t="shared" si="3"/>
        <v>1</v>
      </c>
      <c r="AB40" s="1262">
        <f t="shared" si="4"/>
        <v>1</v>
      </c>
      <c r="AC40" s="1262">
        <f t="shared" si="5"/>
        <v>1</v>
      </c>
    </row>
    <row r="41" spans="1:31" ht="14.4">
      <c r="A41" s="415" t="s">
        <v>1844</v>
      </c>
      <c r="B41" s="1828" t="s">
        <v>1922</v>
      </c>
      <c r="C41" s="601" t="s">
        <v>0</v>
      </c>
      <c r="D41" s="417"/>
      <c r="E41" s="418"/>
      <c r="F41" s="419"/>
      <c r="G41" s="420"/>
      <c r="H41" s="421"/>
      <c r="I41" s="418"/>
      <c r="J41" s="421"/>
      <c r="K41" s="673"/>
      <c r="L41" s="2493"/>
      <c r="M41" s="2486"/>
      <c r="N41" s="2486"/>
      <c r="O41" s="2486"/>
      <c r="P41" s="3461" t="str">
        <f>A41</f>
        <v>成交单价</v>
      </c>
      <c r="Q41" s="3461"/>
      <c r="R41" s="3456">
        <f>E41</f>
        <v>0</v>
      </c>
      <c r="S41" s="3456"/>
      <c r="T41" s="3456">
        <f>G41</f>
        <v>0</v>
      </c>
      <c r="U41" s="3456"/>
      <c r="V41" s="3456">
        <f>I41</f>
        <v>0</v>
      </c>
      <c r="W41" s="3456"/>
      <c r="X41" s="384"/>
      <c r="Y41" s="672"/>
      <c r="Z41" s="384"/>
      <c r="AA41" s="384"/>
      <c r="AB41" s="384"/>
      <c r="AC41" s="384"/>
    </row>
    <row r="42" spans="1:31" ht="15" thickBot="1">
      <c r="A42" s="422" t="s">
        <v>1793</v>
      </c>
      <c r="B42" s="602"/>
      <c r="C42" s="425" t="e">
        <f>R43</f>
        <v>#DIV/0!</v>
      </c>
      <c r="D42" s="2139" t="s">
        <v>2138</v>
      </c>
      <c r="E42" s="425" t="e">
        <f>R42</f>
        <v>#DIV/0!</v>
      </c>
      <c r="F42" s="2140"/>
      <c r="G42" s="424" t="e">
        <f>T42</f>
        <v>#DIV/0!</v>
      </c>
      <c r="H42" s="2140"/>
      <c r="I42" s="425" t="e">
        <f>V42</f>
        <v>#DIV/0!</v>
      </c>
      <c r="J42" s="2140"/>
      <c r="K42" s="2142">
        <f>F42+H42+J42</f>
        <v>0</v>
      </c>
      <c r="L42" s="2493"/>
      <c r="M42" s="2486"/>
      <c r="N42" s="2486"/>
      <c r="O42" s="2486"/>
      <c r="P42" s="3461" t="str">
        <f>A42</f>
        <v>比较价值（元/平方米）</v>
      </c>
      <c r="Q42" s="3461"/>
      <c r="R42" s="3488" t="e">
        <f>ROUND(PRODUCT(R41,AA7:AA40),0)</f>
        <v>#DIV/0!</v>
      </c>
      <c r="S42" s="3488"/>
      <c r="T42" s="3488" t="e">
        <f>ROUND(PRODUCT(T41,AB7:AB40),0)</f>
        <v>#DIV/0!</v>
      </c>
      <c r="U42" s="3488"/>
      <c r="V42" s="3488" t="e">
        <f>ROUND(PRODUCT(V41,AC7:AC40),0)</f>
        <v>#DIV/0!</v>
      </c>
      <c r="W42" s="3488"/>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3"/>
      <c r="M43" s="2486"/>
      <c r="N43" s="2486"/>
      <c r="O43" s="2486"/>
      <c r="P43" s="3458" t="str">
        <f>A43</f>
        <v>估价对象XX用房的比较价值（楼面单价，元/平方米）</v>
      </c>
      <c r="Q43" s="3459"/>
      <c r="R43" s="3489" t="e">
        <f>ROUND(IF(D42="简单平均",AVERAGE(R42:W42),R42*F42+T42*H42+V42*J42),0)</f>
        <v>#DIV/0!</v>
      </c>
      <c r="S43" s="3489"/>
      <c r="T43" s="3489"/>
      <c r="U43" s="3489"/>
      <c r="V43" s="3489"/>
      <c r="W43" s="3489"/>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29" t="s">
        <v>1883</v>
      </c>
      <c r="D50" s="1830" t="s">
        <v>1884</v>
      </c>
      <c r="E50" s="605" t="s">
        <v>1885</v>
      </c>
      <c r="F50" s="606" t="s">
        <v>1886</v>
      </c>
      <c r="G50" s="3444" t="s">
        <v>1887</v>
      </c>
      <c r="H50" s="3490"/>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28321.48</v>
      </c>
      <c r="F51" s="610" t="e">
        <f t="shared" ref="F51:F60" si="15">ROUND(B51*E51/10000,0)</f>
        <v>#DIV/0!</v>
      </c>
      <c r="G51" s="3443"/>
      <c r="H51" s="3461"/>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7">ROUND($C$43*C53*D53,0)</f>
        <v>#DIV/0!</v>
      </c>
      <c r="C53" s="162">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7"/>
        <v>#DIV/0!</v>
      </c>
      <c r="C54" s="162">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7"/>
        <v>#DIV/0!</v>
      </c>
      <c r="C56" s="162">
        <f t="shared" si="16"/>
        <v>0</v>
      </c>
      <c r="D56" s="890">
        <v>0.25</v>
      </c>
      <c r="E56" s="208">
        <f>'数据-汇总表'!E11</f>
        <v>0</v>
      </c>
      <c r="F56" s="610"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7"/>
        <v>#DIV/0!</v>
      </c>
      <c r="C58" s="162">
        <f t="shared" si="16"/>
        <v>0</v>
      </c>
      <c r="D58" s="890">
        <v>0.25</v>
      </c>
      <c r="E58" s="208">
        <f>'数据-汇总表'!E13</f>
        <v>19473.41</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7"/>
        <v>#DIV/0!</v>
      </c>
      <c r="C59" s="162">
        <f t="shared" si="16"/>
        <v>0</v>
      </c>
      <c r="D59" s="890">
        <v>0.25</v>
      </c>
      <c r="E59" s="208">
        <f>'数据-汇总表'!E14</f>
        <v>0</v>
      </c>
      <c r="F59" s="610"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09" t="e">
        <f t="shared" si="17"/>
        <v>#DIV/0!</v>
      </c>
      <c r="C60" s="162">
        <f t="shared" si="16"/>
        <v>0</v>
      </c>
      <c r="D60" s="890">
        <v>0.25</v>
      </c>
      <c r="E60" s="208">
        <f>'数据-汇总表'!E15</f>
        <v>0</v>
      </c>
      <c r="F60" s="610"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14991.03</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4.4">
      <c r="A65" s="1628" t="s">
        <v>1904</v>
      </c>
      <c r="B65" s="1045"/>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5"/>
      <c r="N66" s="1065"/>
      <c r="O66" s="1097"/>
      <c r="P66" s="2507"/>
      <c r="Q66" s="2438"/>
      <c r="R66" s="2438"/>
      <c r="S66" s="2438"/>
      <c r="T66" s="2438"/>
      <c r="U66" s="2438"/>
      <c r="V66" s="2438"/>
      <c r="W66" s="2438"/>
      <c r="X66" s="2438"/>
      <c r="Y66" s="2438"/>
      <c r="Z66" s="2438"/>
      <c r="AA66" s="2438"/>
      <c r="AB66" s="2438"/>
      <c r="AC66" s="2438"/>
      <c r="AD66" s="2438"/>
      <c r="AE66" s="2438"/>
    </row>
    <row r="67" spans="1:31" s="102" customFormat="1" ht="15" thickBot="1">
      <c r="A67" s="448" t="s">
        <v>1716</v>
      </c>
      <c r="B67" s="449"/>
      <c r="C67" s="450"/>
      <c r="D67" s="451"/>
      <c r="E67" s="451"/>
      <c r="F67" s="451"/>
      <c r="G67" s="451"/>
      <c r="H67" s="451"/>
      <c r="I67" s="451"/>
      <c r="J67" s="451"/>
      <c r="K67" s="451"/>
      <c r="L67" s="451"/>
      <c r="M67" s="452"/>
      <c r="N67" s="452"/>
      <c r="O67" s="453"/>
      <c r="P67" s="2507"/>
      <c r="Q67" s="2507"/>
      <c r="R67" s="2438"/>
      <c r="S67" s="2438"/>
      <c r="T67" s="2438"/>
      <c r="U67" s="2438"/>
      <c r="V67" s="2438"/>
      <c r="W67" s="2438"/>
      <c r="X67" s="2438"/>
      <c r="Y67" s="2438"/>
      <c r="Z67" s="2438"/>
      <c r="AA67" s="2438"/>
      <c r="AB67" s="2438"/>
      <c r="AC67" s="2438"/>
      <c r="AD67" s="2438"/>
      <c r="AE67" s="2438"/>
    </row>
    <row r="68" spans="1:31" s="102" customFormat="1" ht="14.4">
      <c r="A68" s="454" t="s">
        <v>1681</v>
      </c>
      <c r="B68" s="443"/>
      <c r="C68" s="455" t="s">
        <v>1776</v>
      </c>
      <c r="D68" s="31"/>
      <c r="E68" s="31"/>
      <c r="F68" s="31"/>
      <c r="G68" s="31"/>
      <c r="H68" s="31"/>
      <c r="I68" s="31"/>
      <c r="J68" s="31"/>
      <c r="K68" s="31"/>
      <c r="L68" s="456"/>
      <c r="M68" s="457"/>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4"/>
      <c r="B69" s="443"/>
      <c r="C69" s="562">
        <v>100</v>
      </c>
      <c r="D69" s="445"/>
      <c r="E69" s="445"/>
      <c r="F69" s="445"/>
      <c r="G69" s="445"/>
      <c r="H69" s="445"/>
      <c r="I69" s="445"/>
      <c r="J69" s="445"/>
      <c r="K69" s="445"/>
      <c r="L69" s="445"/>
      <c r="M69" s="447"/>
      <c r="N69" s="2519"/>
      <c r="O69" s="2519"/>
      <c r="P69" s="2507"/>
      <c r="Q69" s="2507"/>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4"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4"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4"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4"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4"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4"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ht="14.4">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4"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4"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4"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4"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1955-924E-4483-A486-89858E164931}">
  <sheetPr>
    <tabColor rgb="FF7030A0"/>
  </sheetPr>
  <dimension ref="A1:Z74"/>
  <sheetViews>
    <sheetView tabSelected="1" topLeftCell="A37" workbookViewId="0">
      <selection activeCell="N2" sqref="N2"/>
    </sheetView>
  </sheetViews>
  <sheetFormatPr defaultRowHeight="14.4"/>
  <cols>
    <col min="1" max="1" width="21.6640625" customWidth="1"/>
    <col min="2" max="2" width="19.5546875" customWidth="1"/>
    <col min="3" max="3" width="11.77734375" customWidth="1"/>
    <col min="4" max="4" width="24.33203125" customWidth="1"/>
    <col min="5" max="5" width="13.5546875" customWidth="1"/>
    <col min="7" max="7" width="12.21875" customWidth="1"/>
    <col min="8" max="8" width="11.6640625" customWidth="1"/>
    <col min="9" max="9" width="10.5546875" bestFit="1" customWidth="1"/>
    <col min="10" max="10" width="15.109375" customWidth="1"/>
    <col min="11" max="11" width="11.6640625" bestFit="1" customWidth="1"/>
    <col min="12" max="12" width="9.5546875" bestFit="1" customWidth="1"/>
    <col min="14" max="14" width="13.44140625" customWidth="1"/>
    <col min="15" max="15" width="15.5546875" customWidth="1"/>
    <col min="16" max="16" width="13.5546875" bestFit="1" customWidth="1"/>
    <col min="20" max="20" width="9.5546875" bestFit="1" customWidth="1"/>
    <col min="21" max="21" width="8.21875" customWidth="1"/>
  </cols>
  <sheetData>
    <row r="1" spans="1:26">
      <c r="A1" s="3152" t="s">
        <v>3412</v>
      </c>
    </row>
    <row r="2" spans="1:26" s="3143" customFormat="1">
      <c r="A2" s="3144" t="s">
        <v>3413</v>
      </c>
      <c r="B2" s="3144" t="s">
        <v>3414</v>
      </c>
      <c r="C2" s="3144" t="s">
        <v>3415</v>
      </c>
      <c r="D2" s="3144" t="s">
        <v>3424</v>
      </c>
      <c r="E2" s="3144" t="s">
        <v>3416</v>
      </c>
      <c r="F2" s="3144" t="s">
        <v>3417</v>
      </c>
      <c r="G2" s="3144" t="s">
        <v>2545</v>
      </c>
      <c r="H2" s="3144" t="s">
        <v>3418</v>
      </c>
      <c r="I2" s="3389" t="s">
        <v>3419</v>
      </c>
      <c r="J2" s="3389"/>
      <c r="M2" s="3151" t="s">
        <v>3642</v>
      </c>
      <c r="N2" s="3180">
        <f>N3+N4</f>
        <v>55436400</v>
      </c>
    </row>
    <row r="3" spans="1:26" s="3143" customFormat="1" ht="28.8">
      <c r="A3" s="3144" t="s">
        <v>3420</v>
      </c>
      <c r="B3" s="3144" t="s">
        <v>3421</v>
      </c>
      <c r="C3" s="3144" t="s">
        <v>3422</v>
      </c>
      <c r="D3" s="3144" t="s">
        <v>3423</v>
      </c>
      <c r="E3" s="3144" t="s">
        <v>3426</v>
      </c>
      <c r="F3" s="3144" t="s">
        <v>3425</v>
      </c>
      <c r="G3" s="3144" t="s">
        <v>3427</v>
      </c>
      <c r="H3" s="3145">
        <v>31860</v>
      </c>
      <c r="I3" s="3146">
        <v>42453</v>
      </c>
      <c r="J3" s="3146">
        <v>60714</v>
      </c>
      <c r="M3" s="3163" t="s">
        <v>3643</v>
      </c>
      <c r="N3" s="3143">
        <v>8315460</v>
      </c>
    </row>
    <row r="4" spans="1:26" s="3143" customFormat="1">
      <c r="M4" s="3163" t="s">
        <v>3644</v>
      </c>
      <c r="N4" s="3143">
        <v>47120940</v>
      </c>
    </row>
    <row r="5" spans="1:26" s="3143" customFormat="1">
      <c r="M5" s="3163"/>
    </row>
    <row r="6" spans="1:26" s="3143" customFormat="1">
      <c r="M6" s="3163"/>
    </row>
    <row r="7" spans="1:26">
      <c r="A7" s="3151" t="s">
        <v>3439</v>
      </c>
    </row>
    <row r="8" spans="1:26" ht="28.8">
      <c r="A8" s="3144" t="s">
        <v>3413</v>
      </c>
      <c r="B8" s="3144" t="s">
        <v>3414</v>
      </c>
      <c r="C8" s="3144" t="s">
        <v>3415</v>
      </c>
      <c r="D8" s="3144" t="s">
        <v>3424</v>
      </c>
      <c r="E8" s="3144" t="s">
        <v>3416</v>
      </c>
      <c r="F8" s="3144" t="s">
        <v>3417</v>
      </c>
      <c r="G8" s="3144" t="s">
        <v>2545</v>
      </c>
      <c r="H8" s="3144" t="s">
        <v>3418</v>
      </c>
      <c r="I8" s="3389" t="s">
        <v>3419</v>
      </c>
      <c r="J8" s="3389"/>
      <c r="K8" s="3144" t="s">
        <v>3433</v>
      </c>
      <c r="L8" s="3144" t="s">
        <v>3435</v>
      </c>
      <c r="M8" s="3144" t="s">
        <v>3436</v>
      </c>
      <c r="N8" s="3144" t="s">
        <v>3437</v>
      </c>
      <c r="O8" s="3153" t="s">
        <v>3443</v>
      </c>
    </row>
    <row r="9" spans="1:26" ht="100.8">
      <c r="A9" s="3144" t="s">
        <v>3428</v>
      </c>
      <c r="B9" s="3144" t="s">
        <v>3421</v>
      </c>
      <c r="C9" s="3144" t="s">
        <v>3422</v>
      </c>
      <c r="D9" s="3144" t="s">
        <v>3429</v>
      </c>
      <c r="E9" s="3144" t="s">
        <v>3430</v>
      </c>
      <c r="F9" s="3144" t="s">
        <v>3425</v>
      </c>
      <c r="G9" s="3144" t="s">
        <v>3431</v>
      </c>
      <c r="H9" s="3144" t="s">
        <v>3432</v>
      </c>
      <c r="I9" s="3149">
        <v>42453</v>
      </c>
      <c r="J9" s="3149">
        <v>60714</v>
      </c>
      <c r="K9" s="3144" t="s">
        <v>3434</v>
      </c>
      <c r="L9" s="3148">
        <v>48377.23</v>
      </c>
      <c r="M9" s="3148">
        <v>12</v>
      </c>
      <c r="N9" s="3150" t="s">
        <v>3438</v>
      </c>
      <c r="O9" s="1403" t="s">
        <v>3446</v>
      </c>
    </row>
    <row r="10" spans="1:26">
      <c r="F10" s="3179" t="s">
        <v>3698</v>
      </c>
    </row>
    <row r="11" spans="1:26">
      <c r="A11" s="3244" t="s">
        <v>3449</v>
      </c>
      <c r="B11" s="3243"/>
      <c r="C11" s="3243"/>
      <c r="D11" s="3243"/>
      <c r="E11" s="3243"/>
      <c r="G11" s="3244" t="s">
        <v>3560</v>
      </c>
      <c r="H11" s="3244"/>
      <c r="I11" s="3244"/>
      <c r="J11" s="3244"/>
      <c r="K11" s="3244"/>
    </row>
    <row r="12" spans="1:26" ht="43.2">
      <c r="A12" s="3147" t="s">
        <v>3398</v>
      </c>
      <c r="B12" s="3147" t="s">
        <v>3394</v>
      </c>
      <c r="F12" s="1403" t="s">
        <v>3670</v>
      </c>
      <c r="G12" s="1403" t="s">
        <v>3674</v>
      </c>
      <c r="H12" s="1403" t="s">
        <v>3561</v>
      </c>
      <c r="I12" s="1403" t="s">
        <v>3562</v>
      </c>
      <c r="J12" s="1403"/>
      <c r="K12" s="1403" t="s">
        <v>3564</v>
      </c>
      <c r="L12" s="1403" t="s">
        <v>3566</v>
      </c>
      <c r="N12" s="3155" t="s">
        <v>3495</v>
      </c>
      <c r="O12" s="3187" t="s">
        <v>3565</v>
      </c>
      <c r="P12" s="3154" t="s">
        <v>3620</v>
      </c>
      <c r="Q12" s="3154" t="s">
        <v>3621</v>
      </c>
      <c r="R12" s="3154" t="s">
        <v>3622</v>
      </c>
      <c r="S12" s="3154" t="s">
        <v>3677</v>
      </c>
      <c r="T12" s="3184" t="s">
        <v>3689</v>
      </c>
      <c r="U12" s="3155" t="s">
        <v>3690</v>
      </c>
      <c r="V12" s="3551" t="s">
        <v>3681</v>
      </c>
      <c r="W12" s="3155" t="s">
        <v>3691</v>
      </c>
      <c r="X12" s="3155" t="s">
        <v>3690</v>
      </c>
      <c r="Y12" s="3551" t="s">
        <v>3681</v>
      </c>
      <c r="Z12" s="3155" t="s">
        <v>3692</v>
      </c>
    </row>
    <row r="13" spans="1:26">
      <c r="A13" s="3148">
        <v>-2</v>
      </c>
      <c r="B13" s="3148">
        <v>9724.76</v>
      </c>
      <c r="C13" s="3244" t="s">
        <v>3447</v>
      </c>
      <c r="D13" s="3244"/>
      <c r="F13" s="3187" t="s">
        <v>3663</v>
      </c>
      <c r="G13" s="1403" t="s">
        <v>3551</v>
      </c>
      <c r="H13">
        <f>规划许可证面积表!C11</f>
        <v>3148.33</v>
      </c>
      <c r="J13" t="str">
        <f>规划许可证面积表!E11</f>
        <v>地下2-地上5层</v>
      </c>
      <c r="K13">
        <f>ROUND(H13/5,2)</f>
        <v>629.66999999999996</v>
      </c>
      <c r="L13">
        <f>ROUND(H13/$H$19,2)</f>
        <v>0.11</v>
      </c>
      <c r="M13">
        <f>L13*$D$19</f>
        <v>3179.4202</v>
      </c>
      <c r="N13" s="3177" t="str">
        <f>层高!B5</f>
        <v>1-5层8米</v>
      </c>
      <c r="O13" s="3188">
        <v>5500</v>
      </c>
      <c r="P13">
        <v>4000</v>
      </c>
      <c r="Q13">
        <v>500</v>
      </c>
      <c r="R13">
        <v>1000</v>
      </c>
      <c r="S13">
        <f>ROUND(O13*H13,0)</f>
        <v>17315815</v>
      </c>
      <c r="T13" s="3147" t="s">
        <v>3683</v>
      </c>
      <c r="U13" s="3148">
        <f>H13</f>
        <v>3148.33</v>
      </c>
      <c r="V13" s="3190">
        <v>3</v>
      </c>
      <c r="W13" s="3148"/>
      <c r="X13" s="3148"/>
      <c r="Y13" s="3191"/>
      <c r="Z13" s="3148">
        <f>V13*U13</f>
        <v>9444.99</v>
      </c>
    </row>
    <row r="14" spans="1:26" ht="28.8">
      <c r="A14" s="3148">
        <v>-1</v>
      </c>
      <c r="B14" s="3148">
        <v>9748.65</v>
      </c>
      <c r="C14" s="3189" t="s">
        <v>3395</v>
      </c>
      <c r="D14" s="3188">
        <v>28321.48</v>
      </c>
      <c r="F14" s="3187" t="s">
        <v>3664</v>
      </c>
      <c r="G14" s="1403" t="s">
        <v>3554</v>
      </c>
      <c r="H14">
        <f>规划许可证面积表!C12</f>
        <v>4281.75</v>
      </c>
      <c r="J14" t="str">
        <f>规划许可证面积表!E12</f>
        <v>地下2-地上7层</v>
      </c>
      <c r="K14">
        <f>ROUND(H14/7,2)</f>
        <v>611.67999999999995</v>
      </c>
      <c r="L14">
        <f>ROUND(H14/$H$19,2)</f>
        <v>0.15</v>
      </c>
      <c r="M14">
        <f t="shared" ref="M14:M17" si="0">L14*$D$19</f>
        <v>4335.5729999999994</v>
      </c>
      <c r="N14" s="3177" t="str">
        <f>层高!B6</f>
        <v>1层8米，2-7层6米</v>
      </c>
      <c r="O14" s="3188">
        <v>5500</v>
      </c>
      <c r="P14">
        <v>4000</v>
      </c>
      <c r="Q14">
        <v>500</v>
      </c>
      <c r="R14">
        <v>1000</v>
      </c>
      <c r="S14">
        <f>ROUND(O14*H14,0)</f>
        <v>23549625</v>
      </c>
      <c r="T14" s="3147" t="s">
        <v>3684</v>
      </c>
      <c r="U14" s="3148">
        <f>K14</f>
        <v>611.67999999999995</v>
      </c>
      <c r="V14" s="3190">
        <v>3</v>
      </c>
      <c r="W14" s="3147" t="s">
        <v>3685</v>
      </c>
      <c r="X14" s="3148">
        <f>K14*6</f>
        <v>3670.08</v>
      </c>
      <c r="Y14" s="3191">
        <v>2.7</v>
      </c>
      <c r="Z14" s="3148">
        <f>U14*V14+X14*Y14</f>
        <v>11744.256000000001</v>
      </c>
    </row>
    <row r="15" spans="1:26">
      <c r="A15" s="3148">
        <v>1</v>
      </c>
      <c r="B15" s="3148">
        <v>4679.59</v>
      </c>
      <c r="C15" s="3187" t="s">
        <v>3396</v>
      </c>
      <c r="D15" s="3188">
        <v>19473.41</v>
      </c>
      <c r="F15" s="3187" t="s">
        <v>3673</v>
      </c>
      <c r="G15" s="1403" t="s">
        <v>3552</v>
      </c>
      <c r="H15">
        <f>规划许可证面积表!C10</f>
        <v>3148.33</v>
      </c>
      <c r="J15" t="str">
        <f>规划许可证面积表!E10</f>
        <v>地下2-地上5层</v>
      </c>
      <c r="K15">
        <f>ROUND(H15/5,2)</f>
        <v>629.66999999999996</v>
      </c>
      <c r="L15">
        <f>ROUND(H15/$H$19,2)</f>
        <v>0.11</v>
      </c>
      <c r="M15">
        <f t="shared" si="0"/>
        <v>3179.4202</v>
      </c>
      <c r="N15" s="3177" t="str">
        <f>层高!B4</f>
        <v>1-5层8米</v>
      </c>
      <c r="O15" s="3188">
        <v>5500</v>
      </c>
      <c r="P15">
        <v>4000</v>
      </c>
      <c r="Q15">
        <v>500</v>
      </c>
      <c r="R15">
        <v>1000</v>
      </c>
      <c r="S15">
        <f>ROUND(O15*H15,0)</f>
        <v>17315815</v>
      </c>
      <c r="T15" s="3147" t="s">
        <v>3682</v>
      </c>
      <c r="U15" s="3148">
        <f>H15</f>
        <v>3148.33</v>
      </c>
      <c r="V15" s="3190">
        <v>3</v>
      </c>
      <c r="W15" s="3148"/>
      <c r="X15" s="3148"/>
      <c r="Y15" s="3191"/>
      <c r="Z15" s="3148">
        <f>U15*V15</f>
        <v>9444.99</v>
      </c>
    </row>
    <row r="16" spans="1:26">
      <c r="A16" s="3148">
        <v>2</v>
      </c>
      <c r="B16" s="3148">
        <v>4753.93</v>
      </c>
      <c r="C16" s="1403" t="s">
        <v>3397</v>
      </c>
      <c r="D16">
        <v>582.34</v>
      </c>
      <c r="F16" s="3187" t="s">
        <v>3672</v>
      </c>
      <c r="G16" s="1403" t="s">
        <v>3559</v>
      </c>
      <c r="H16">
        <f>规划许可证面积表!C9</f>
        <v>3705.93</v>
      </c>
      <c r="J16" t="str">
        <f>规划许可证面积表!E9</f>
        <v>地下2-地上3层</v>
      </c>
      <c r="K16">
        <f>ROUND(H16/3,2)</f>
        <v>1235.31</v>
      </c>
      <c r="L16">
        <f>ROUND(H16/$H$19,2)</f>
        <v>0.13</v>
      </c>
      <c r="M16">
        <f t="shared" si="0"/>
        <v>3757.4965999999999</v>
      </c>
      <c r="N16" s="3177" t="str">
        <f>层高!B3</f>
        <v>1-3层7.8米</v>
      </c>
      <c r="O16" s="3188">
        <v>5500</v>
      </c>
      <c r="P16">
        <v>4000</v>
      </c>
      <c r="Q16">
        <v>500</v>
      </c>
      <c r="R16">
        <v>1000</v>
      </c>
      <c r="S16">
        <f>ROUND(O16*H16,0)</f>
        <v>20382615</v>
      </c>
      <c r="T16" s="3147" t="s">
        <v>3686</v>
      </c>
      <c r="U16" s="3148">
        <f>H16</f>
        <v>3705.93</v>
      </c>
      <c r="V16" s="3190">
        <v>3</v>
      </c>
      <c r="W16" s="3148"/>
      <c r="X16" s="3148"/>
      <c r="Y16" s="3191"/>
      <c r="Z16" s="3148">
        <f>U16*V16</f>
        <v>11117.789999999999</v>
      </c>
    </row>
    <row r="17" spans="1:26" ht="28.8">
      <c r="A17" s="3148">
        <v>3</v>
      </c>
      <c r="B17" s="3148">
        <v>4679.59</v>
      </c>
      <c r="C17" s="1403" t="s">
        <v>2594</v>
      </c>
      <c r="D17">
        <f>SUM(D14:D16)</f>
        <v>48377.229999999996</v>
      </c>
      <c r="F17" s="3187" t="s">
        <v>3671</v>
      </c>
      <c r="G17" s="1403" t="s">
        <v>3558</v>
      </c>
      <c r="H17">
        <f>规划许可证面积表!C3</f>
        <v>14587.9</v>
      </c>
      <c r="J17" t="str">
        <f>规划许可证面积表!E3</f>
        <v>地下2-地上10层</v>
      </c>
      <c r="K17">
        <f>ROUND(H17/10,2)</f>
        <v>1458.79</v>
      </c>
      <c r="L17">
        <f>ROUND(H17/$H$19,2)</f>
        <v>0.51</v>
      </c>
      <c r="M17">
        <f t="shared" si="0"/>
        <v>14740.948200000001</v>
      </c>
      <c r="N17" s="3177" t="str">
        <f>层高!B2</f>
        <v>1-2层6米，3-10层4米</v>
      </c>
      <c r="O17" s="3188">
        <v>5000</v>
      </c>
      <c r="P17">
        <v>3500</v>
      </c>
      <c r="Q17">
        <v>500</v>
      </c>
      <c r="R17">
        <v>1000</v>
      </c>
      <c r="S17">
        <f>ROUND(O17*H17,0)</f>
        <v>72939500</v>
      </c>
      <c r="T17" s="3147" t="s">
        <v>3687</v>
      </c>
      <c r="U17" s="3148">
        <f>K17*2</f>
        <v>2917.58</v>
      </c>
      <c r="V17" s="3190">
        <v>2.7</v>
      </c>
      <c r="W17" s="3147" t="s">
        <v>3688</v>
      </c>
      <c r="X17" s="3148">
        <f>K17*8</f>
        <v>11670.32</v>
      </c>
      <c r="Y17" s="3191">
        <v>2.2999999999999998</v>
      </c>
      <c r="Z17" s="3148">
        <f>U17*V17+X17*Y17</f>
        <v>34719.201999999997</v>
      </c>
    </row>
    <row r="18" spans="1:26" ht="28.8">
      <c r="A18" s="3148">
        <v>4</v>
      </c>
      <c r="B18" s="3148">
        <v>3160.69</v>
      </c>
      <c r="G18" s="1403" t="s">
        <v>3516</v>
      </c>
      <c r="I18">
        <f>规划许可证面积表!D3+规划许可证面积表!D13</f>
        <v>19541.66</v>
      </c>
      <c r="L18" s="1403" t="s">
        <v>3541</v>
      </c>
      <c r="N18" s="3189" t="s">
        <v>3679</v>
      </c>
      <c r="O18" s="3188">
        <v>4500</v>
      </c>
      <c r="S18">
        <f>ROUND(O18*I18,0)</f>
        <v>87937470</v>
      </c>
      <c r="T18" s="3148"/>
      <c r="U18" s="3148"/>
      <c r="V18" s="3148"/>
      <c r="W18" s="3148"/>
      <c r="X18" s="3148"/>
      <c r="Y18" s="3144" t="s">
        <v>3697</v>
      </c>
      <c r="Z18" s="3191">
        <f>ROUND((Z13+Z14+Z15+Z16+Z17)/H19,2)</f>
        <v>2.65</v>
      </c>
    </row>
    <row r="19" spans="1:26">
      <c r="A19" s="3148">
        <v>5</v>
      </c>
      <c r="B19" s="3148">
        <v>3160.69</v>
      </c>
      <c r="C19" s="1403" t="s">
        <v>3561</v>
      </c>
      <c r="D19">
        <f>D14+D16</f>
        <v>28903.82</v>
      </c>
      <c r="G19" s="1403" t="s">
        <v>3541</v>
      </c>
      <c r="H19">
        <f>H13+H14+H15+H16+H17</f>
        <v>28872.239999999998</v>
      </c>
      <c r="I19">
        <f>I18</f>
        <v>19541.66</v>
      </c>
      <c r="P19" s="1403"/>
    </row>
    <row r="20" spans="1:26">
      <c r="A20" s="3148">
        <v>6</v>
      </c>
      <c r="B20" s="3148">
        <v>1938.07</v>
      </c>
      <c r="C20" s="1403" t="s">
        <v>3562</v>
      </c>
      <c r="D20">
        <f>D15</f>
        <v>19473.41</v>
      </c>
      <c r="G20" s="1403" t="s">
        <v>3563</v>
      </c>
      <c r="H20">
        <f>H19+I19</f>
        <v>48413.899999999994</v>
      </c>
      <c r="P20" s="3173"/>
    </row>
    <row r="21" spans="1:26">
      <c r="A21" s="3148">
        <v>7</v>
      </c>
      <c r="B21" s="3148">
        <v>1938.07</v>
      </c>
      <c r="C21" s="1403" t="s">
        <v>3541</v>
      </c>
      <c r="D21">
        <f>D19+D20</f>
        <v>48377.229999999996</v>
      </c>
      <c r="O21" s="3152" t="s">
        <v>3678</v>
      </c>
      <c r="P21" s="3181">
        <f>(S13+S14+S15+S16+S17)/H19</f>
        <v>5247.3715236503995</v>
      </c>
    </row>
    <row r="22" spans="1:26">
      <c r="A22" s="3148">
        <v>8</v>
      </c>
      <c r="B22" s="3148">
        <v>1336.95</v>
      </c>
    </row>
    <row r="23" spans="1:26">
      <c r="A23" s="3148">
        <v>9</v>
      </c>
      <c r="B23" s="3148">
        <v>1336.95</v>
      </c>
    </row>
    <row r="24" spans="1:26">
      <c r="A24" s="3148">
        <v>10</v>
      </c>
      <c r="B24" s="3148">
        <v>1336.95</v>
      </c>
    </row>
    <row r="25" spans="1:26">
      <c r="A25" s="3147" t="s">
        <v>3399</v>
      </c>
      <c r="B25" s="3148">
        <v>582.34</v>
      </c>
      <c r="K25" s="1403" t="s">
        <v>3448</v>
      </c>
    </row>
    <row r="26" spans="1:26">
      <c r="A26" s="1403" t="s">
        <v>2594</v>
      </c>
      <c r="B26">
        <f>SUM(B13:B25)</f>
        <v>48377.229999999996</v>
      </c>
      <c r="K26" s="3552">
        <f>B26+B46</f>
        <v>106671.44</v>
      </c>
    </row>
    <row r="30" spans="1:26">
      <c r="A30" s="3244" t="s">
        <v>3440</v>
      </c>
      <c r="B30" s="3244"/>
      <c r="C30" s="3244"/>
      <c r="D30" s="3244"/>
      <c r="E30" s="3244"/>
      <c r="F30" s="3244"/>
    </row>
    <row r="31" spans="1:26" ht="28.8">
      <c r="A31" s="3147"/>
      <c r="B31" s="3392" t="s">
        <v>3450</v>
      </c>
      <c r="C31" s="3395"/>
      <c r="D31" s="3395"/>
      <c r="E31" s="3244" t="s">
        <v>3451</v>
      </c>
      <c r="F31" s="3244"/>
      <c r="G31" s="3244"/>
      <c r="I31" s="3147" t="s">
        <v>3443</v>
      </c>
      <c r="J31" s="3147" t="s">
        <v>3675</v>
      </c>
      <c r="K31" s="1403" t="s">
        <v>3676</v>
      </c>
      <c r="O31" s="3147" t="s">
        <v>3705</v>
      </c>
      <c r="P31" s="3184" t="s">
        <v>3689</v>
      </c>
      <c r="Q31" s="3155" t="s">
        <v>3418</v>
      </c>
      <c r="R31" s="3551" t="s">
        <v>654</v>
      </c>
      <c r="S31" s="3155" t="s">
        <v>3467</v>
      </c>
      <c r="T31" s="3155" t="s">
        <v>3418</v>
      </c>
      <c r="U31" s="3551" t="s">
        <v>654</v>
      </c>
      <c r="V31" s="3155" t="s">
        <v>3692</v>
      </c>
      <c r="W31" s="3550"/>
    </row>
    <row r="32" spans="1:26" ht="28.8">
      <c r="A32" s="3157" t="s">
        <v>3700</v>
      </c>
      <c r="B32" s="3147" t="s">
        <v>3445</v>
      </c>
      <c r="C32" s="3182" t="s">
        <v>3441</v>
      </c>
      <c r="D32" s="3147" t="s">
        <v>3442</v>
      </c>
      <c r="E32" s="1403" t="s">
        <v>3445</v>
      </c>
      <c r="F32" s="1403" t="s">
        <v>3441</v>
      </c>
      <c r="G32" s="1403" t="s">
        <v>3442</v>
      </c>
      <c r="I32" s="3148"/>
      <c r="J32" s="3148"/>
      <c r="M32" s="3189" t="s">
        <v>3680</v>
      </c>
      <c r="N32" s="3188">
        <f>(L33+L34+L38+L39+L40)/C46</f>
        <v>5118.0989997703855</v>
      </c>
      <c r="O32" s="3148"/>
      <c r="P32" s="3148"/>
      <c r="Q32" s="3148"/>
      <c r="R32" s="3191"/>
      <c r="S32" s="3148"/>
      <c r="T32" s="3148"/>
      <c r="U32" s="3191"/>
      <c r="V32" s="3148"/>
      <c r="W32" s="3550"/>
    </row>
    <row r="33" spans="1:23" ht="28.8">
      <c r="A33" s="3190" t="s">
        <v>3400</v>
      </c>
      <c r="B33" s="3191">
        <f>C33</f>
        <v>4281.75</v>
      </c>
      <c r="C33" s="3192">
        <v>4281.75</v>
      </c>
      <c r="D33" s="3191"/>
      <c r="E33">
        <f>F33</f>
        <v>4281.75</v>
      </c>
      <c r="F33">
        <v>4281.75</v>
      </c>
      <c r="I33" s="3147" t="s">
        <v>3665</v>
      </c>
      <c r="J33" s="3145" t="str">
        <f>层高!B7</f>
        <v>1层8.3米，2-7层6米</v>
      </c>
      <c r="K33">
        <v>5500</v>
      </c>
      <c r="L33">
        <f>ROUND(K33*C33,0)</f>
        <v>23549625</v>
      </c>
      <c r="M33" s="3189" t="s">
        <v>3679</v>
      </c>
      <c r="N33" s="3188">
        <v>4500</v>
      </c>
      <c r="O33" s="3148">
        <f>C33/7</f>
        <v>611.67857142857144</v>
      </c>
      <c r="P33" s="3147" t="s">
        <v>3706</v>
      </c>
      <c r="Q33" s="3148">
        <f>O33</f>
        <v>611.67857142857144</v>
      </c>
      <c r="R33" s="3191">
        <v>3</v>
      </c>
      <c r="S33" s="3147" t="s">
        <v>3707</v>
      </c>
      <c r="T33" s="3148">
        <f>O33*6</f>
        <v>3670.0714285714284</v>
      </c>
      <c r="U33" s="3191">
        <v>2.7</v>
      </c>
      <c r="V33" s="3148">
        <f>Q33*R33+T33*U33</f>
        <v>11744.228571428572</v>
      </c>
      <c r="W33" s="3550"/>
    </row>
    <row r="34" spans="1:23" ht="28.8">
      <c r="A34" s="3190" t="s">
        <v>3401</v>
      </c>
      <c r="B34" s="3191">
        <f>C34</f>
        <v>5316.43</v>
      </c>
      <c r="C34" s="3192">
        <v>5316.43</v>
      </c>
      <c r="D34" s="3191"/>
      <c r="E34">
        <f>F34</f>
        <v>5316.91</v>
      </c>
      <c r="F34">
        <v>5316.91</v>
      </c>
      <c r="I34" s="3147" t="s">
        <v>3666</v>
      </c>
      <c r="J34" s="3145" t="str">
        <f>层高!B8</f>
        <v>1-2层6米，3-7层5.8米</v>
      </c>
      <c r="K34">
        <v>5000</v>
      </c>
      <c r="L34">
        <f>ROUND(K34*C34,0)</f>
        <v>26582150</v>
      </c>
      <c r="O34" s="3148">
        <f>C34/7</f>
        <v>759.49</v>
      </c>
      <c r="P34" s="3147" t="s">
        <v>3708</v>
      </c>
      <c r="Q34" s="3148">
        <f>O34*2</f>
        <v>1518.98</v>
      </c>
      <c r="R34" s="3191">
        <v>2.7</v>
      </c>
      <c r="S34" s="3147" t="s">
        <v>3709</v>
      </c>
      <c r="T34" s="3148">
        <f>O34*5</f>
        <v>3797.45</v>
      </c>
      <c r="U34" s="3191">
        <v>2.7</v>
      </c>
      <c r="V34" s="3148">
        <f>Q34*R34+T34*U34</f>
        <v>14354.361000000001</v>
      </c>
      <c r="W34" s="3550"/>
    </row>
    <row r="35" spans="1:23">
      <c r="A35" s="3190" t="s">
        <v>3402</v>
      </c>
      <c r="B35" s="3191">
        <f>D35</f>
        <v>3969.72</v>
      </c>
      <c r="C35" s="3192"/>
      <c r="D35" s="3191">
        <v>3969.72</v>
      </c>
      <c r="E35">
        <f>G35</f>
        <v>4062.98</v>
      </c>
      <c r="G35">
        <v>4062.98</v>
      </c>
      <c r="I35" s="3148"/>
      <c r="J35" s="3145"/>
      <c r="O35" s="3148"/>
      <c r="P35" s="3148"/>
      <c r="Q35" s="3148"/>
      <c r="R35" s="3191"/>
      <c r="S35" s="3148"/>
      <c r="T35" s="3148"/>
      <c r="U35" s="3191"/>
      <c r="V35" s="3148"/>
      <c r="W35" s="3550"/>
    </row>
    <row r="36" spans="1:23">
      <c r="A36" s="3147" t="s">
        <v>2594</v>
      </c>
      <c r="B36" s="3148">
        <f>SUM(B33:B35)</f>
        <v>13567.9</v>
      </c>
      <c r="C36" s="3183">
        <f>C33+C34</f>
        <v>9598.18</v>
      </c>
      <c r="D36" s="3148">
        <f>D35</f>
        <v>3969.72</v>
      </c>
      <c r="E36">
        <f>SUM(E33:E35)</f>
        <v>13661.64</v>
      </c>
      <c r="I36" s="3148"/>
      <c r="J36" s="3145"/>
      <c r="O36" s="3148"/>
      <c r="P36" s="3148"/>
      <c r="Q36" s="3148"/>
      <c r="R36" s="3191"/>
      <c r="S36" s="3148"/>
      <c r="T36" s="3148"/>
      <c r="U36" s="3191"/>
      <c r="V36" s="3148"/>
      <c r="W36" s="3550"/>
    </row>
    <row r="37" spans="1:23">
      <c r="A37" s="3193" t="s">
        <v>3701</v>
      </c>
      <c r="D37" s="3148"/>
      <c r="I37" s="3148"/>
      <c r="J37" s="3145"/>
      <c r="O37" s="3148"/>
      <c r="P37" s="3148"/>
      <c r="Q37" s="3148"/>
      <c r="R37" s="3191"/>
      <c r="S37" s="3148"/>
      <c r="T37" s="3148"/>
      <c r="U37" s="3191"/>
      <c r="V37" s="3148"/>
      <c r="W37" s="3550"/>
    </row>
    <row r="38" spans="1:23" ht="28.8">
      <c r="A38" s="3190" t="s">
        <v>3403</v>
      </c>
      <c r="B38" s="3191">
        <f>C38</f>
        <v>8979.2000000000007</v>
      </c>
      <c r="C38" s="3192">
        <v>8979.2000000000007</v>
      </c>
      <c r="D38" s="3191"/>
      <c r="E38">
        <f>F38</f>
        <v>8979.7000000000007</v>
      </c>
      <c r="F38">
        <v>8979.7000000000007</v>
      </c>
      <c r="I38" s="3147" t="s">
        <v>3667</v>
      </c>
      <c r="J38" s="3145" t="str">
        <f>层高!B9</f>
        <v>1-2层6米，3-7层5.8米</v>
      </c>
      <c r="K38">
        <v>5000</v>
      </c>
      <c r="L38">
        <f>ROUND(K38*C38,0)</f>
        <v>44896000</v>
      </c>
      <c r="O38" s="3148">
        <f>C38/7</f>
        <v>1282.7428571428572</v>
      </c>
      <c r="P38" s="3147" t="s">
        <v>3708</v>
      </c>
      <c r="Q38" s="3148">
        <f>O38*2</f>
        <v>2565.4857142857145</v>
      </c>
      <c r="R38" s="3191">
        <v>2.7</v>
      </c>
      <c r="S38" s="3147" t="s">
        <v>3709</v>
      </c>
      <c r="T38" s="3148">
        <f>O38*5</f>
        <v>6413.7142857142862</v>
      </c>
      <c r="U38" s="3191">
        <v>2.7</v>
      </c>
      <c r="V38" s="3148">
        <f>Q38*R38+T38*U38</f>
        <v>24243.840000000004</v>
      </c>
      <c r="W38" s="3550"/>
    </row>
    <row r="39" spans="1:23" ht="28.8">
      <c r="A39" s="3190" t="s">
        <v>3404</v>
      </c>
      <c r="B39" s="3191">
        <f>C39</f>
        <v>4279.88</v>
      </c>
      <c r="C39" s="3192">
        <v>4279.88</v>
      </c>
      <c r="D39" s="3191"/>
      <c r="E39">
        <f>F39</f>
        <v>4281.75</v>
      </c>
      <c r="F39">
        <v>4281.75</v>
      </c>
      <c r="I39" s="3147" t="s">
        <v>3668</v>
      </c>
      <c r="J39" s="3145" t="str">
        <f>层高!B10</f>
        <v>1层8.3米，2-7层6米</v>
      </c>
      <c r="K39">
        <v>5500</v>
      </c>
      <c r="L39">
        <f t="shared" ref="L39:L40" si="1">ROUND(K39*C39,0)</f>
        <v>23539340</v>
      </c>
      <c r="O39" s="3148">
        <f>C39/7</f>
        <v>611.41142857142859</v>
      </c>
      <c r="P39" s="3147" t="s">
        <v>3706</v>
      </c>
      <c r="Q39" s="3148">
        <f>O39</f>
        <v>611.41142857142859</v>
      </c>
      <c r="R39" s="3191">
        <v>3</v>
      </c>
      <c r="S39" s="3147" t="s">
        <v>3707</v>
      </c>
      <c r="T39" s="3148">
        <f>O39*6</f>
        <v>3668.4685714285715</v>
      </c>
      <c r="U39" s="3191">
        <v>2.7</v>
      </c>
      <c r="V39" s="3148">
        <f>Q39*R39+T39*U39</f>
        <v>11739.09942857143</v>
      </c>
      <c r="W39" s="3550"/>
    </row>
    <row r="40" spans="1:23" ht="28.8">
      <c r="A40" s="3190" t="s">
        <v>3405</v>
      </c>
      <c r="B40" s="3191">
        <f>C40</f>
        <v>11861.48</v>
      </c>
      <c r="C40" s="3192">
        <v>11861.48</v>
      </c>
      <c r="D40" s="3191"/>
      <c r="E40">
        <f>F40</f>
        <v>11862.65</v>
      </c>
      <c r="F40">
        <v>11862.65</v>
      </c>
      <c r="I40" s="3147" t="s">
        <v>3669</v>
      </c>
      <c r="J40" s="3145" t="str">
        <f>层高!B11</f>
        <v>1-2层6米，3-9层4.5米</v>
      </c>
      <c r="K40">
        <v>5000</v>
      </c>
      <c r="L40">
        <f t="shared" si="1"/>
        <v>59307400</v>
      </c>
      <c r="O40" s="3148">
        <f>C40/9</f>
        <v>1317.9422222222222</v>
      </c>
      <c r="P40" s="3147" t="s">
        <v>3708</v>
      </c>
      <c r="Q40" s="3148">
        <f>O40*2</f>
        <v>2635.8844444444444</v>
      </c>
      <c r="R40" s="3191">
        <v>2.7</v>
      </c>
      <c r="S40" s="3147" t="s">
        <v>3710</v>
      </c>
      <c r="T40" s="3148">
        <f>O40*7</f>
        <v>9225.5955555555556</v>
      </c>
      <c r="U40" s="3191">
        <v>2.2999999999999998</v>
      </c>
      <c r="V40" s="3148">
        <f>Q40*R40+T40*U40</f>
        <v>28335.757777777777</v>
      </c>
      <c r="W40" s="3550"/>
    </row>
    <row r="41" spans="1:23">
      <c r="A41" s="3147" t="s">
        <v>3406</v>
      </c>
      <c r="B41" s="3148">
        <f>C41</f>
        <v>35.28</v>
      </c>
      <c r="C41" s="3183">
        <v>35.28</v>
      </c>
      <c r="D41" s="3148"/>
      <c r="E41">
        <f>F41</f>
        <v>90</v>
      </c>
      <c r="F41">
        <v>90</v>
      </c>
      <c r="O41" s="3148"/>
      <c r="P41" s="3148"/>
      <c r="Q41" s="3148"/>
      <c r="R41" s="3148"/>
      <c r="S41" s="3148"/>
      <c r="T41" s="3148"/>
      <c r="U41" s="3147" t="s">
        <v>3609</v>
      </c>
      <c r="V41" s="3191">
        <f>ROUND((V33+V34+V38+V39+V40)/C47,2)</f>
        <v>2.6</v>
      </c>
    </row>
    <row r="42" spans="1:23">
      <c r="A42" s="3190" t="s">
        <v>3407</v>
      </c>
      <c r="B42" s="3191">
        <f>D42</f>
        <v>19570.47</v>
      </c>
      <c r="C42" s="3192"/>
      <c r="D42" s="3191">
        <v>19570.47</v>
      </c>
      <c r="J42" s="1403" t="s">
        <v>3408</v>
      </c>
      <c r="L42" s="1403" t="s">
        <v>3411</v>
      </c>
    </row>
    <row r="43" spans="1:23">
      <c r="A43" s="3178" t="s">
        <v>3444</v>
      </c>
      <c r="B43" s="3148"/>
      <c r="C43" s="3183"/>
      <c r="D43" s="3148">
        <v>3821.47</v>
      </c>
      <c r="E43">
        <f>G43</f>
        <v>19865.36</v>
      </c>
      <c r="G43">
        <v>19865.36</v>
      </c>
      <c r="J43" s="1403" t="s">
        <v>3409</v>
      </c>
      <c r="K43">
        <v>2047.18</v>
      </c>
    </row>
    <row r="44" spans="1:23">
      <c r="A44" s="3147" t="s">
        <v>2594</v>
      </c>
      <c r="B44" s="3148">
        <f>SUM(B38:B43)</f>
        <v>44726.31</v>
      </c>
      <c r="C44" s="3183">
        <f>C38+C39+C40+C41</f>
        <v>25155.84</v>
      </c>
      <c r="D44" s="3148">
        <f>D42</f>
        <v>19570.47</v>
      </c>
      <c r="J44" s="1403" t="s">
        <v>3410</v>
      </c>
      <c r="K44">
        <v>1774.29</v>
      </c>
    </row>
    <row r="45" spans="1:23">
      <c r="E45">
        <f>SUM(E38:E44)</f>
        <v>45079.46</v>
      </c>
    </row>
    <row r="46" spans="1:23">
      <c r="A46" s="3147" t="s">
        <v>3702</v>
      </c>
      <c r="B46" s="3148">
        <f>B36+B44</f>
        <v>58294.21</v>
      </c>
      <c r="C46" s="3148">
        <f>C44+C36</f>
        <v>34754.020000000004</v>
      </c>
      <c r="D46" s="3148">
        <f>D44+D36</f>
        <v>23540.190000000002</v>
      </c>
    </row>
    <row r="47" spans="1:23">
      <c r="A47" s="3148"/>
      <c r="B47" s="3198" t="s">
        <v>3699</v>
      </c>
      <c r="C47" s="3199">
        <f>C46-C41</f>
        <v>34718.740000000005</v>
      </c>
      <c r="D47" s="3199">
        <f>D46-D43</f>
        <v>19718.72</v>
      </c>
      <c r="E47">
        <f>E36+E45</f>
        <v>58741.1</v>
      </c>
    </row>
    <row r="50" spans="1:6">
      <c r="A50" s="1403"/>
    </row>
    <row r="51" spans="1:6">
      <c r="A51" s="3147" t="s">
        <v>3628</v>
      </c>
      <c r="B51" s="3147" t="s">
        <v>3627</v>
      </c>
    </row>
    <row r="52" spans="1:6">
      <c r="A52" s="3148">
        <v>1</v>
      </c>
      <c r="B52" s="3148">
        <v>1</v>
      </c>
    </row>
    <row r="53" spans="1:6">
      <c r="A53" s="3148">
        <v>2</v>
      </c>
      <c r="B53" s="3148">
        <v>1</v>
      </c>
    </row>
    <row r="54" spans="1:6">
      <c r="A54" s="3148">
        <v>3</v>
      </c>
      <c r="B54" s="3148">
        <v>1</v>
      </c>
    </row>
    <row r="55" spans="1:6">
      <c r="A55" s="3148">
        <v>4</v>
      </c>
      <c r="B55" s="3148">
        <v>2</v>
      </c>
    </row>
    <row r="56" spans="1:6">
      <c r="A56" s="3148">
        <v>5</v>
      </c>
      <c r="B56" s="3148">
        <v>4</v>
      </c>
    </row>
    <row r="57" spans="1:6">
      <c r="A57" s="3148">
        <v>6</v>
      </c>
      <c r="B57" s="3148">
        <v>1</v>
      </c>
    </row>
    <row r="58" spans="1:6">
      <c r="A58" s="3148">
        <v>7</v>
      </c>
      <c r="B58" s="3148">
        <v>1</v>
      </c>
    </row>
    <row r="59" spans="1:6">
      <c r="A59" s="3148">
        <v>9</v>
      </c>
      <c r="B59" s="3148"/>
    </row>
    <row r="60" spans="1:6">
      <c r="A60" s="3148">
        <v>10</v>
      </c>
      <c r="B60" s="3148">
        <v>4</v>
      </c>
    </row>
    <row r="61" spans="1:6">
      <c r="A61" s="3148">
        <v>11</v>
      </c>
      <c r="B61" s="3148">
        <v>4</v>
      </c>
    </row>
    <row r="64" spans="1:6">
      <c r="A64" s="3392" t="s">
        <v>3629</v>
      </c>
      <c r="B64" s="3393"/>
      <c r="C64" s="3393"/>
      <c r="D64" s="3393"/>
      <c r="E64" s="3393"/>
      <c r="F64" s="3394"/>
    </row>
    <row r="65" spans="1:6">
      <c r="A65" s="3198" t="s">
        <v>3630</v>
      </c>
      <c r="B65" s="3199">
        <v>315</v>
      </c>
      <c r="C65" s="3148"/>
      <c r="D65" s="3148"/>
      <c r="E65" s="3148"/>
      <c r="F65" s="3148"/>
    </row>
    <row r="66" spans="1:6" ht="28.8">
      <c r="A66" s="3198" t="s">
        <v>3631</v>
      </c>
      <c r="B66" s="3199">
        <v>318</v>
      </c>
      <c r="C66" s="3147" t="s">
        <v>3693</v>
      </c>
      <c r="D66" s="3148">
        <v>59</v>
      </c>
      <c r="E66" s="3200" t="s">
        <v>3704</v>
      </c>
      <c r="F66" s="3199">
        <f>B66-D66</f>
        <v>259</v>
      </c>
    </row>
    <row r="68" spans="1:6">
      <c r="A68" s="3194" t="s">
        <v>3632</v>
      </c>
      <c r="B68" s="3195">
        <v>95580</v>
      </c>
      <c r="C68" s="3195">
        <f>B68/'数据-基础表'!A3</f>
        <v>3</v>
      </c>
    </row>
    <row r="69" spans="1:6">
      <c r="A69" s="3194" t="s">
        <v>3633</v>
      </c>
      <c r="B69" s="3196">
        <v>211518582.00999999</v>
      </c>
      <c r="C69" s="3195"/>
    </row>
    <row r="70" spans="1:6">
      <c r="A70" s="3194" t="s">
        <v>3696</v>
      </c>
      <c r="B70" s="3195">
        <v>199000000</v>
      </c>
      <c r="C70" s="3195"/>
    </row>
    <row r="71" spans="1:6">
      <c r="A71" s="3194" t="s">
        <v>3703</v>
      </c>
      <c r="B71" s="3197">
        <f>B69+B70</f>
        <v>410518582.00999999</v>
      </c>
      <c r="C71" s="3195"/>
    </row>
    <row r="74" spans="1:6">
      <c r="A74" s="3194" t="s">
        <v>3712</v>
      </c>
      <c r="B74" s="3195">
        <v>5000</v>
      </c>
      <c r="C74" s="1403" t="s">
        <v>3713</v>
      </c>
    </row>
  </sheetData>
  <mergeCells count="9">
    <mergeCell ref="A64:F64"/>
    <mergeCell ref="B31:D31"/>
    <mergeCell ref="E31:G31"/>
    <mergeCell ref="I2:J2"/>
    <mergeCell ref="I8:J8"/>
    <mergeCell ref="A30:F30"/>
    <mergeCell ref="C13:D13"/>
    <mergeCell ref="A11:E11"/>
    <mergeCell ref="G11:K1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E79A8-28E3-400A-B19D-D36C258429D0}">
  <sheetPr>
    <tabColor rgb="FF7030A0"/>
  </sheetPr>
  <dimension ref="A1:P40"/>
  <sheetViews>
    <sheetView topLeftCell="A19" workbookViewId="0">
      <selection activeCell="D42" sqref="D42"/>
    </sheetView>
  </sheetViews>
  <sheetFormatPr defaultRowHeight="14.4"/>
  <cols>
    <col min="2" max="2" width="21.21875" customWidth="1"/>
    <col min="3" max="3" width="14.109375" customWidth="1"/>
    <col min="4" max="4" width="12.77734375" customWidth="1"/>
    <col min="5" max="5" width="14.21875" customWidth="1"/>
  </cols>
  <sheetData>
    <row r="1" spans="1:10">
      <c r="A1" s="3157" t="s">
        <v>3546</v>
      </c>
      <c r="B1" s="3158"/>
      <c r="C1" s="3148"/>
      <c r="D1" s="3148"/>
      <c r="E1" s="3148"/>
      <c r="F1" s="3148"/>
      <c r="G1" s="3148"/>
      <c r="H1" s="3148"/>
    </row>
    <row r="2" spans="1:10">
      <c r="A2" s="3147" t="s">
        <v>3463</v>
      </c>
      <c r="B2" s="3147" t="s">
        <v>3464</v>
      </c>
      <c r="C2" s="3147" t="s">
        <v>3465</v>
      </c>
      <c r="D2" s="3147" t="s">
        <v>3466</v>
      </c>
      <c r="E2" s="3147" t="s">
        <v>3467</v>
      </c>
      <c r="F2" s="3147" t="s">
        <v>3468</v>
      </c>
      <c r="G2" s="3147" t="s">
        <v>3469</v>
      </c>
      <c r="H2" s="3147" t="s">
        <v>3493</v>
      </c>
    </row>
    <row r="3" spans="1:10">
      <c r="A3" s="3147" t="s">
        <v>3471</v>
      </c>
      <c r="B3" s="3147" t="s">
        <v>3472</v>
      </c>
      <c r="C3" s="3148">
        <v>14587.9</v>
      </c>
      <c r="D3" s="3148">
        <v>4294.7</v>
      </c>
      <c r="E3" s="3147" t="s">
        <v>3473</v>
      </c>
      <c r="F3" s="3148">
        <v>45</v>
      </c>
      <c r="G3" s="3148"/>
      <c r="H3" s="3148">
        <v>-11.3</v>
      </c>
      <c r="J3" s="3159" t="s">
        <v>3550</v>
      </c>
    </row>
    <row r="7" spans="1:10">
      <c r="A7" s="3157" t="s">
        <v>3452</v>
      </c>
      <c r="B7" s="3158"/>
      <c r="C7" s="3148"/>
      <c r="D7" s="3148"/>
      <c r="E7" s="3148"/>
      <c r="F7" s="3148"/>
      <c r="G7" s="3148"/>
      <c r="H7" s="3148"/>
    </row>
    <row r="8" spans="1:10">
      <c r="A8" s="3147" t="s">
        <v>3463</v>
      </c>
      <c r="B8" s="3147" t="s">
        <v>3464</v>
      </c>
      <c r="C8" s="3147" t="s">
        <v>3465</v>
      </c>
      <c r="D8" s="3147" t="s">
        <v>3466</v>
      </c>
      <c r="E8" s="3147" t="s">
        <v>3467</v>
      </c>
      <c r="F8" s="3147" t="s">
        <v>3468</v>
      </c>
      <c r="G8" s="3147" t="s">
        <v>3469</v>
      </c>
      <c r="H8" s="3147" t="s">
        <v>3493</v>
      </c>
    </row>
    <row r="9" spans="1:10">
      <c r="A9" s="3147" t="s">
        <v>3453</v>
      </c>
      <c r="B9" s="3147" t="s">
        <v>3474</v>
      </c>
      <c r="C9" s="3148">
        <v>3705.93</v>
      </c>
      <c r="D9" s="3148"/>
      <c r="E9" s="3147" t="s">
        <v>3458</v>
      </c>
      <c r="F9" s="3148">
        <v>26</v>
      </c>
      <c r="G9" s="3147" t="s">
        <v>3462</v>
      </c>
      <c r="H9" s="3389" t="s">
        <v>3547</v>
      </c>
      <c r="J9" s="3159" t="s">
        <v>3556</v>
      </c>
    </row>
    <row r="10" spans="1:10">
      <c r="A10" s="3147" t="s">
        <v>3454</v>
      </c>
      <c r="B10" s="3147" t="s">
        <v>3475</v>
      </c>
      <c r="C10" s="3148">
        <v>3148.33</v>
      </c>
      <c r="D10" s="3148"/>
      <c r="E10" s="3147" t="s">
        <v>3461</v>
      </c>
      <c r="F10" s="3148">
        <v>45</v>
      </c>
      <c r="G10" s="3147" t="s">
        <v>3462</v>
      </c>
      <c r="H10" s="3396"/>
      <c r="J10" s="3159" t="s">
        <v>3557</v>
      </c>
    </row>
    <row r="11" spans="1:10">
      <c r="A11" s="3147" t="s">
        <v>3455</v>
      </c>
      <c r="B11" s="3147" t="s">
        <v>3475</v>
      </c>
      <c r="C11" s="3147">
        <v>3148.33</v>
      </c>
      <c r="D11" s="3148"/>
      <c r="E11" s="3147" t="s">
        <v>3461</v>
      </c>
      <c r="F11" s="3148">
        <v>45</v>
      </c>
      <c r="G11" s="3147" t="s">
        <v>3462</v>
      </c>
      <c r="H11" s="3396"/>
      <c r="J11" s="3159" t="s">
        <v>3558</v>
      </c>
    </row>
    <row r="12" spans="1:10">
      <c r="A12" s="3147" t="s">
        <v>3456</v>
      </c>
      <c r="B12" s="3147" t="s">
        <v>3476</v>
      </c>
      <c r="C12" s="3147">
        <v>4281.75</v>
      </c>
      <c r="D12" s="3148"/>
      <c r="E12" s="3147" t="s">
        <v>3460</v>
      </c>
      <c r="F12" s="3148">
        <v>45</v>
      </c>
      <c r="G12" s="3147" t="s">
        <v>3462</v>
      </c>
      <c r="H12" s="3396"/>
      <c r="J12" s="3159" t="s">
        <v>3559</v>
      </c>
    </row>
    <row r="13" spans="1:10">
      <c r="A13" s="3147" t="s">
        <v>3457</v>
      </c>
      <c r="B13" s="3147" t="s">
        <v>3477</v>
      </c>
      <c r="C13" s="3148"/>
      <c r="D13" s="3147">
        <v>15246.96</v>
      </c>
      <c r="E13" s="3147" t="s">
        <v>3459</v>
      </c>
      <c r="F13" s="3148"/>
      <c r="G13" s="3148"/>
      <c r="H13" s="3396"/>
    </row>
    <row r="14" spans="1:10">
      <c r="A14" s="3148"/>
      <c r="B14" s="3147" t="s">
        <v>2594</v>
      </c>
      <c r="C14" s="3148">
        <f>C9+C10+C11+C12</f>
        <v>14284.34</v>
      </c>
      <c r="D14" s="3148">
        <f>D13</f>
        <v>15246.96</v>
      </c>
      <c r="E14" s="3148"/>
      <c r="F14" s="3148"/>
      <c r="G14" s="3148"/>
      <c r="H14" s="3148"/>
    </row>
    <row r="15" spans="1:10">
      <c r="A15" s="1403"/>
      <c r="B15" s="1403"/>
      <c r="C15" s="1403"/>
      <c r="D15" s="1403"/>
      <c r="E15" s="1403"/>
      <c r="F15" s="1403"/>
      <c r="G15" s="1403"/>
      <c r="H15" s="1403"/>
    </row>
    <row r="16" spans="1:10">
      <c r="A16" s="3157" t="s">
        <v>3478</v>
      </c>
      <c r="B16" s="3158"/>
      <c r="C16" s="3148"/>
      <c r="D16" s="3148"/>
      <c r="E16" s="3148"/>
      <c r="F16" s="3148"/>
      <c r="G16" s="3148"/>
      <c r="H16" s="3148"/>
      <c r="I16" s="3148"/>
    </row>
    <row r="17" spans="1:16">
      <c r="A17" s="3147" t="s">
        <v>3463</v>
      </c>
      <c r="B17" s="3147" t="s">
        <v>3464</v>
      </c>
      <c r="C17" s="3147" t="s">
        <v>3465</v>
      </c>
      <c r="D17" s="3147" t="s">
        <v>3466</v>
      </c>
      <c r="E17" s="3147" t="s">
        <v>3467</v>
      </c>
      <c r="F17" s="3147" t="s">
        <v>3468</v>
      </c>
      <c r="G17" s="3147" t="s">
        <v>3469</v>
      </c>
      <c r="H17" s="3147" t="s">
        <v>3493</v>
      </c>
      <c r="I17" s="3148"/>
    </row>
    <row r="18" spans="1:16">
      <c r="A18" s="3147" t="s">
        <v>3479</v>
      </c>
      <c r="B18" s="3147" t="s">
        <v>3484</v>
      </c>
      <c r="C18" s="3148">
        <v>8979.7000000000007</v>
      </c>
      <c r="D18" s="3148"/>
      <c r="E18" s="3147" t="s">
        <v>3460</v>
      </c>
      <c r="F18" s="3148">
        <v>45</v>
      </c>
      <c r="G18" s="3147" t="s">
        <v>3462</v>
      </c>
      <c r="H18" s="3391">
        <v>-11.2</v>
      </c>
      <c r="I18" s="3147" t="s">
        <v>3548</v>
      </c>
      <c r="K18" s="3159" t="s">
        <v>3554</v>
      </c>
    </row>
    <row r="19" spans="1:16">
      <c r="A19" s="3147" t="s">
        <v>3480</v>
      </c>
      <c r="B19" s="3147" t="s">
        <v>3475</v>
      </c>
      <c r="C19" s="3148">
        <v>4281.75</v>
      </c>
      <c r="D19" s="3148"/>
      <c r="E19" s="3147" t="s">
        <v>3460</v>
      </c>
      <c r="F19" s="3148">
        <v>45</v>
      </c>
      <c r="G19" s="3147" t="s">
        <v>3462</v>
      </c>
      <c r="H19" s="3391"/>
      <c r="I19" s="3148"/>
      <c r="K19" s="3159" t="s">
        <v>3555</v>
      </c>
    </row>
    <row r="20" spans="1:16">
      <c r="A20" s="3147" t="s">
        <v>3481</v>
      </c>
      <c r="B20" s="3147" t="s">
        <v>3485</v>
      </c>
      <c r="C20" s="3148">
        <v>11862.65</v>
      </c>
      <c r="D20" s="3148"/>
      <c r="E20" s="3147" t="s">
        <v>3487</v>
      </c>
      <c r="F20" s="3148">
        <v>45</v>
      </c>
      <c r="G20" s="3147" t="s">
        <v>3462</v>
      </c>
      <c r="H20" s="3391"/>
      <c r="I20" s="3148"/>
      <c r="K20" s="3159" t="s">
        <v>3553</v>
      </c>
    </row>
    <row r="21" spans="1:16">
      <c r="A21" s="3147" t="s">
        <v>3482</v>
      </c>
      <c r="B21" s="3147" t="s">
        <v>3406</v>
      </c>
      <c r="C21" s="3148">
        <v>90</v>
      </c>
      <c r="D21" s="3148"/>
      <c r="E21" s="3147" t="s">
        <v>3488</v>
      </c>
      <c r="F21" s="3148">
        <v>3.9</v>
      </c>
      <c r="G21" s="3148"/>
      <c r="H21" s="3391"/>
      <c r="I21" s="3148"/>
    </row>
    <row r="22" spans="1:16">
      <c r="A22" s="3147" t="s">
        <v>3457</v>
      </c>
      <c r="B22" s="3147" t="s">
        <v>3483</v>
      </c>
      <c r="C22" s="3148"/>
      <c r="D22" s="3148">
        <v>19865.36</v>
      </c>
      <c r="E22" s="3147" t="s">
        <v>3459</v>
      </c>
      <c r="F22" s="3148"/>
      <c r="G22" s="3148"/>
      <c r="H22" s="3391"/>
      <c r="I22" s="3148"/>
    </row>
    <row r="23" spans="1:16">
      <c r="A23" s="3148"/>
      <c r="B23" s="3147" t="s">
        <v>2594</v>
      </c>
      <c r="C23" s="3148">
        <f>C18+C19+C20+C21</f>
        <v>25214.1</v>
      </c>
      <c r="D23" s="3148">
        <f>D22</f>
        <v>19865.36</v>
      </c>
      <c r="E23" s="3148"/>
      <c r="F23" s="3148"/>
      <c r="G23" s="3148"/>
      <c r="H23" s="3148"/>
      <c r="I23" s="3148"/>
    </row>
    <row r="24" spans="1:16">
      <c r="B24" s="1403"/>
    </row>
    <row r="25" spans="1:16">
      <c r="A25" s="3147" t="s">
        <v>3519</v>
      </c>
      <c r="B25" s="3147"/>
      <c r="C25" s="3148"/>
      <c r="D25" s="3148"/>
      <c r="E25" s="3148"/>
      <c r="F25" s="3148"/>
      <c r="G25" s="3147"/>
      <c r="H25" s="3148"/>
      <c r="I25" s="3148"/>
      <c r="J25" s="3148"/>
      <c r="K25" s="3148"/>
      <c r="L25" s="3148"/>
      <c r="N25">
        <f>D23-H33</f>
        <v>16115.060000000001</v>
      </c>
    </row>
    <row r="26" spans="1:16">
      <c r="A26" s="3147" t="s">
        <v>3520</v>
      </c>
      <c r="B26" s="3147" t="s">
        <v>3522</v>
      </c>
      <c r="C26" s="3147" t="s">
        <v>3525</v>
      </c>
      <c r="D26" s="3147" t="s">
        <v>3526</v>
      </c>
      <c r="E26" s="3147" t="s">
        <v>3527</v>
      </c>
      <c r="F26" s="3147" t="s">
        <v>3528</v>
      </c>
      <c r="G26" s="3147" t="s">
        <v>3529</v>
      </c>
      <c r="H26" s="3147" t="s">
        <v>3530</v>
      </c>
      <c r="I26" s="3147" t="s">
        <v>3531</v>
      </c>
      <c r="J26" s="3148"/>
      <c r="K26" s="3147" t="s">
        <v>3534</v>
      </c>
      <c r="L26" s="3148"/>
      <c r="N26">
        <f>N25/D23</f>
        <v>0.81121409327593363</v>
      </c>
    </row>
    <row r="27" spans="1:16">
      <c r="A27" s="3148"/>
      <c r="B27" s="3148"/>
      <c r="C27" s="3148"/>
      <c r="D27" s="3148"/>
      <c r="E27" s="3148"/>
      <c r="F27" s="3148"/>
      <c r="G27" s="3147"/>
      <c r="H27" s="3148"/>
      <c r="I27" s="3147" t="s">
        <v>3532</v>
      </c>
      <c r="J27" s="3147" t="s">
        <v>3533</v>
      </c>
      <c r="K27" s="3147" t="s">
        <v>3535</v>
      </c>
      <c r="L27" s="3147" t="s">
        <v>3536</v>
      </c>
      <c r="N27">
        <f>N26*面积清单!B66</f>
        <v>257.9660816617469</v>
      </c>
      <c r="O27" s="1403" t="s">
        <v>3649</v>
      </c>
      <c r="P27" s="1403" t="s">
        <v>3650</v>
      </c>
    </row>
    <row r="28" spans="1:16">
      <c r="A28" s="3147" t="s">
        <v>3521</v>
      </c>
      <c r="B28" s="3147" t="s">
        <v>3523</v>
      </c>
      <c r="C28" s="3148">
        <v>1</v>
      </c>
      <c r="D28" s="3148">
        <v>1</v>
      </c>
      <c r="E28" s="3147" t="s">
        <v>3537</v>
      </c>
      <c r="F28" s="3147" t="s">
        <v>3538</v>
      </c>
      <c r="G28" s="3147" t="s">
        <v>3539</v>
      </c>
      <c r="H28" s="3148">
        <v>1883.37</v>
      </c>
      <c r="I28" s="3391">
        <v>5.29</v>
      </c>
      <c r="J28" s="3391"/>
      <c r="K28" s="3391">
        <f>K29+L29</f>
        <v>1878.08</v>
      </c>
      <c r="L28" s="3391"/>
    </row>
    <row r="29" spans="1:16">
      <c r="A29" s="3148"/>
      <c r="B29" s="3148"/>
      <c r="C29" s="3148"/>
      <c r="D29" s="3148"/>
      <c r="E29" s="3148"/>
      <c r="F29" s="3148"/>
      <c r="G29" s="3148"/>
      <c r="H29" s="3148"/>
      <c r="I29" s="3147" t="s">
        <v>3540</v>
      </c>
      <c r="J29" s="3148">
        <f>I28</f>
        <v>5.29</v>
      </c>
      <c r="K29" s="3148">
        <v>1867.5</v>
      </c>
      <c r="L29" s="3148">
        <v>10.58</v>
      </c>
    </row>
    <row r="30" spans="1:16">
      <c r="A30" s="3147" t="s">
        <v>3521</v>
      </c>
      <c r="B30" s="3147" t="s">
        <v>3524</v>
      </c>
      <c r="C30" s="3148">
        <v>2</v>
      </c>
      <c r="D30" s="3148">
        <v>1</v>
      </c>
      <c r="E30" s="3147" t="s">
        <v>3537</v>
      </c>
      <c r="F30" s="3147" t="s">
        <v>3538</v>
      </c>
      <c r="G30" s="3147" t="s">
        <v>3539</v>
      </c>
      <c r="H30" s="3148">
        <v>1866.93</v>
      </c>
      <c r="I30" s="3391">
        <v>70.81</v>
      </c>
      <c r="J30" s="3391"/>
      <c r="K30" s="3391">
        <f>K31+L31</f>
        <v>1796.12</v>
      </c>
      <c r="L30" s="3391"/>
    </row>
    <row r="31" spans="1:16">
      <c r="A31" s="3147"/>
      <c r="B31" s="3147"/>
      <c r="C31" s="3148"/>
      <c r="D31" s="3148"/>
      <c r="E31" s="3148"/>
      <c r="F31" s="3148"/>
      <c r="G31" s="3147"/>
      <c r="H31" s="3148"/>
      <c r="I31" s="3147" t="s">
        <v>3540</v>
      </c>
      <c r="J31" s="3148">
        <f>I30</f>
        <v>70.81</v>
      </c>
      <c r="K31" s="3148">
        <v>1747.36</v>
      </c>
      <c r="L31" s="3148">
        <v>48.76</v>
      </c>
    </row>
    <row r="32" spans="1:16">
      <c r="A32" s="3147"/>
      <c r="B32" s="3147"/>
      <c r="C32" s="3148"/>
      <c r="D32" s="3148"/>
      <c r="E32" s="3148"/>
      <c r="F32" s="3148"/>
      <c r="G32" s="3147"/>
      <c r="H32" s="3148"/>
      <c r="I32" s="3391">
        <f>I28+I30</f>
        <v>76.100000000000009</v>
      </c>
      <c r="J32" s="3391"/>
      <c r="K32" s="3391">
        <f>K28+K30</f>
        <v>3674.2</v>
      </c>
      <c r="L32" s="3391"/>
    </row>
    <row r="33" spans="1:12">
      <c r="A33" s="3147"/>
      <c r="B33" s="3147"/>
      <c r="C33" s="3148"/>
      <c r="D33" s="3148"/>
      <c r="E33" s="3148"/>
      <c r="F33" s="3148"/>
      <c r="G33" s="3147" t="s">
        <v>2594</v>
      </c>
      <c r="H33" s="3148">
        <f>H28+H30</f>
        <v>3750.3</v>
      </c>
      <c r="I33" s="3155"/>
      <c r="J33" s="3155">
        <f>I32</f>
        <v>76.100000000000009</v>
      </c>
      <c r="K33" s="3155">
        <f>K29+K31</f>
        <v>3614.8599999999997</v>
      </c>
      <c r="L33" s="3155">
        <f>L29+L31</f>
        <v>59.339999999999996</v>
      </c>
    </row>
    <row r="34" spans="1:12">
      <c r="A34" s="1403"/>
      <c r="B34" s="1403"/>
      <c r="G34" s="1403"/>
      <c r="I34" s="3154"/>
      <c r="J34" s="3154"/>
      <c r="K34" s="3154"/>
      <c r="L34" s="3154"/>
    </row>
    <row r="35" spans="1:12">
      <c r="A35" s="3157" t="s">
        <v>3549</v>
      </c>
      <c r="B35" s="3157"/>
      <c r="C35" s="3148"/>
      <c r="D35" s="3148"/>
      <c r="E35" s="3148"/>
      <c r="F35" s="3148"/>
      <c r="G35" s="3147"/>
      <c r="H35" s="3148"/>
      <c r="I35" s="3154"/>
      <c r="J35" s="3154"/>
      <c r="K35" s="3154"/>
      <c r="L35" s="3154"/>
    </row>
    <row r="36" spans="1:12">
      <c r="A36" s="3147" t="s">
        <v>3463</v>
      </c>
      <c r="B36" s="3147" t="s">
        <v>3464</v>
      </c>
      <c r="C36" s="3147" t="s">
        <v>3465</v>
      </c>
      <c r="D36" s="3147" t="s">
        <v>3466</v>
      </c>
      <c r="E36" s="3147" t="s">
        <v>3467</v>
      </c>
      <c r="F36" s="3147" t="s">
        <v>3468</v>
      </c>
      <c r="G36" s="3147" t="s">
        <v>3469</v>
      </c>
      <c r="H36" s="3148"/>
    </row>
    <row r="37" spans="1:12">
      <c r="A37" s="3147" t="s">
        <v>3490</v>
      </c>
      <c r="B37" s="3147" t="s">
        <v>3475</v>
      </c>
      <c r="C37" s="3148">
        <v>4281.75</v>
      </c>
      <c r="D37" s="3148"/>
      <c r="E37" s="3147" t="s">
        <v>3460</v>
      </c>
      <c r="F37" s="3148">
        <v>45</v>
      </c>
      <c r="G37" s="3147" t="s">
        <v>3462</v>
      </c>
      <c r="H37" s="3148">
        <v>-11.2</v>
      </c>
      <c r="J37" s="3159" t="s">
        <v>3552</v>
      </c>
    </row>
    <row r="38" spans="1:12">
      <c r="A38" s="3147" t="s">
        <v>3491</v>
      </c>
      <c r="B38" s="3147" t="s">
        <v>3492</v>
      </c>
      <c r="C38" s="3148">
        <v>5316.91</v>
      </c>
      <c r="D38" s="3148"/>
      <c r="E38" s="3147" t="s">
        <v>3460</v>
      </c>
      <c r="F38" s="3148">
        <v>45</v>
      </c>
      <c r="G38" s="3147" t="s">
        <v>3462</v>
      </c>
      <c r="H38" s="3148">
        <v>-11.2</v>
      </c>
      <c r="J38" s="3159" t="s">
        <v>3551</v>
      </c>
    </row>
    <row r="39" spans="1:12">
      <c r="A39" s="3147" t="s">
        <v>3457</v>
      </c>
      <c r="B39" s="3147" t="s">
        <v>3402</v>
      </c>
      <c r="C39" s="3148"/>
      <c r="D39" s="3148">
        <v>4062.98</v>
      </c>
      <c r="E39" s="3147" t="s">
        <v>3459</v>
      </c>
      <c r="F39" s="3148"/>
      <c r="G39" s="3148"/>
      <c r="H39" s="3148"/>
    </row>
    <row r="40" spans="1:12">
      <c r="A40" s="3148"/>
      <c r="B40" s="3147" t="s">
        <v>2594</v>
      </c>
      <c r="C40" s="3148">
        <f>C37+C38</f>
        <v>9598.66</v>
      </c>
      <c r="D40" s="3148">
        <f>D39</f>
        <v>4062.98</v>
      </c>
      <c r="E40" s="3148"/>
      <c r="F40" s="3148"/>
      <c r="G40" s="3148"/>
      <c r="H40" s="3148"/>
    </row>
  </sheetData>
  <mergeCells count="8">
    <mergeCell ref="I30:J30"/>
    <mergeCell ref="K30:L30"/>
    <mergeCell ref="I32:J32"/>
    <mergeCell ref="K32:L32"/>
    <mergeCell ref="H9:H13"/>
    <mergeCell ref="H18:H22"/>
    <mergeCell ref="I28:J28"/>
    <mergeCell ref="K28:L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D2D08-CC3D-478A-950B-D01622A7E742}">
  <sheetPr>
    <tabColor rgb="FF7030A0"/>
  </sheetPr>
  <dimension ref="A1:G11"/>
  <sheetViews>
    <sheetView workbookViewId="0">
      <selection activeCell="B3" sqref="B3"/>
    </sheetView>
  </sheetViews>
  <sheetFormatPr defaultRowHeight="14.4"/>
  <cols>
    <col min="2" max="2" width="27.5546875" customWidth="1"/>
  </cols>
  <sheetData>
    <row r="1" spans="1:7">
      <c r="A1" s="3155" t="s">
        <v>3494</v>
      </c>
      <c r="B1" s="3155" t="s">
        <v>3495</v>
      </c>
      <c r="C1" s="1403" t="s">
        <v>3651</v>
      </c>
      <c r="G1" s="1403"/>
    </row>
    <row r="2" spans="1:7">
      <c r="A2" s="3155" t="s">
        <v>3496</v>
      </c>
      <c r="B2" s="3155" t="s">
        <v>3497</v>
      </c>
      <c r="C2" s="1403" t="s">
        <v>3660</v>
      </c>
      <c r="E2" s="3154"/>
    </row>
    <row r="3" spans="1:7">
      <c r="A3" s="3155" t="s">
        <v>3498</v>
      </c>
      <c r="B3" s="3155" t="s">
        <v>3499</v>
      </c>
      <c r="C3" s="1403" t="s">
        <v>3661</v>
      </c>
      <c r="E3" s="3154"/>
    </row>
    <row r="4" spans="1:7">
      <c r="A4" s="3155" t="s">
        <v>3500</v>
      </c>
      <c r="B4" s="3155" t="s">
        <v>3501</v>
      </c>
      <c r="C4" s="1403" t="s">
        <v>3662</v>
      </c>
      <c r="E4" s="3154"/>
    </row>
    <row r="5" spans="1:7">
      <c r="A5" s="3155" t="s">
        <v>3502</v>
      </c>
      <c r="B5" s="3155" t="s">
        <v>3501</v>
      </c>
      <c r="C5" s="1403" t="s">
        <v>3663</v>
      </c>
      <c r="E5" s="3154"/>
    </row>
    <row r="6" spans="1:7">
      <c r="A6" s="3155" t="s">
        <v>3503</v>
      </c>
      <c r="B6" s="3155" t="s">
        <v>3504</v>
      </c>
      <c r="C6" s="1403" t="s">
        <v>3664</v>
      </c>
      <c r="E6" s="3154"/>
    </row>
    <row r="7" spans="1:7">
      <c r="A7" s="3155" t="s">
        <v>3505</v>
      </c>
      <c r="B7" s="3155" t="s">
        <v>3506</v>
      </c>
      <c r="C7" s="1403" t="s">
        <v>3665</v>
      </c>
      <c r="E7" s="3154"/>
    </row>
    <row r="8" spans="1:7">
      <c r="A8" s="3155" t="s">
        <v>3507</v>
      </c>
      <c r="B8" s="3155" t="s">
        <v>3508</v>
      </c>
      <c r="C8" s="1403" t="s">
        <v>3666</v>
      </c>
      <c r="E8" s="3154"/>
    </row>
    <row r="9" spans="1:7">
      <c r="A9" s="3155" t="s">
        <v>3509</v>
      </c>
      <c r="B9" s="3155" t="s">
        <v>3508</v>
      </c>
      <c r="C9" s="1403" t="s">
        <v>3667</v>
      </c>
      <c r="E9" s="3154"/>
    </row>
    <row r="10" spans="1:7">
      <c r="A10" s="3155" t="s">
        <v>3510</v>
      </c>
      <c r="B10" s="3155" t="s">
        <v>3506</v>
      </c>
      <c r="C10" s="1403" t="s">
        <v>3668</v>
      </c>
      <c r="E10" s="1446"/>
    </row>
    <row r="11" spans="1:7">
      <c r="A11" s="3155" t="s">
        <v>3511</v>
      </c>
      <c r="B11" s="3155" t="s">
        <v>3512</v>
      </c>
      <c r="C11" s="1403" t="s">
        <v>3669</v>
      </c>
      <c r="E11" s="1446"/>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2A4C5-1A1C-42E8-B151-8397EC691153}">
  <sheetPr>
    <tabColor rgb="FF7030A0"/>
  </sheetPr>
  <dimension ref="A1:L27"/>
  <sheetViews>
    <sheetView topLeftCell="A10" workbookViewId="0">
      <selection activeCell="G24" sqref="G24"/>
    </sheetView>
  </sheetViews>
  <sheetFormatPr defaultRowHeight="14.4"/>
  <cols>
    <col min="1" max="1" width="12.88671875" customWidth="1"/>
    <col min="2" max="2" width="12.21875" customWidth="1"/>
    <col min="3" max="3" width="25.77734375" customWidth="1"/>
    <col min="5" max="5" width="12.109375" customWidth="1"/>
    <col min="8" max="8" width="23.6640625" customWidth="1"/>
    <col min="10" max="11" width="11.6640625" bestFit="1" customWidth="1"/>
    <col min="12" max="12" width="9.5546875" style="3167" bestFit="1" customWidth="1"/>
  </cols>
  <sheetData>
    <row r="1" spans="1:12">
      <c r="A1" s="1403" t="s">
        <v>3579</v>
      </c>
      <c r="B1" s="1403" t="s">
        <v>3421</v>
      </c>
    </row>
    <row r="2" spans="1:12">
      <c r="A2" s="1403" t="s">
        <v>3580</v>
      </c>
      <c r="B2" s="1403" t="s">
        <v>3581</v>
      </c>
    </row>
    <row r="3" spans="1:12">
      <c r="B3" s="1403" t="s">
        <v>3582</v>
      </c>
      <c r="C3">
        <v>21579.49</v>
      </c>
    </row>
    <row r="4" spans="1:12">
      <c r="B4" s="1403" t="s">
        <v>3588</v>
      </c>
      <c r="C4" s="1403" t="s">
        <v>3589</v>
      </c>
    </row>
    <row r="5" spans="1:12">
      <c r="B5" s="1403"/>
    </row>
    <row r="6" spans="1:12">
      <c r="B6" s="1403"/>
    </row>
    <row r="7" spans="1:12">
      <c r="H7" s="1403" t="s">
        <v>3610</v>
      </c>
      <c r="I7" s="1403" t="s">
        <v>3600</v>
      </c>
      <c r="K7" s="1403" t="s">
        <v>3608</v>
      </c>
      <c r="L7" s="3169" t="s">
        <v>3609</v>
      </c>
    </row>
    <row r="8" spans="1:12" s="3143" customFormat="1" ht="43.2">
      <c r="A8" s="3144" t="s">
        <v>3583</v>
      </c>
      <c r="B8" s="3144" t="s">
        <v>3584</v>
      </c>
      <c r="C8" s="3387" t="s">
        <v>3585</v>
      </c>
      <c r="D8" s="3388"/>
      <c r="E8" s="3144" t="s">
        <v>3586</v>
      </c>
      <c r="H8" s="3163" t="s">
        <v>3590</v>
      </c>
      <c r="I8" s="3163">
        <v>1</v>
      </c>
      <c r="J8" s="3164">
        <v>9063390.7699999996</v>
      </c>
      <c r="L8" s="3168">
        <f>J8/(C13+C14)/365</f>
        <v>2.543586906853839</v>
      </c>
    </row>
    <row r="9" spans="1:12">
      <c r="A9" s="3390" t="s">
        <v>3559</v>
      </c>
      <c r="B9" s="3148">
        <v>6</v>
      </c>
      <c r="C9" s="3391">
        <v>3924.25</v>
      </c>
      <c r="D9" s="3391"/>
      <c r="E9" s="3148">
        <v>3.5</v>
      </c>
      <c r="F9">
        <f>E9*C9</f>
        <v>13734.875</v>
      </c>
      <c r="H9" s="1403" t="s">
        <v>3591</v>
      </c>
      <c r="I9" s="1403">
        <v>2</v>
      </c>
      <c r="J9" s="3165" t="s">
        <v>3601</v>
      </c>
      <c r="K9" s="3166"/>
      <c r="L9" s="3167">
        <f>ROUND(J9/$C$15/365,2)</f>
        <v>3.23</v>
      </c>
    </row>
    <row r="10" spans="1:12">
      <c r="A10" s="3390"/>
      <c r="B10" s="3148">
        <v>8</v>
      </c>
      <c r="C10" s="3391">
        <v>637.61</v>
      </c>
      <c r="D10" s="3391"/>
      <c r="E10" s="3148">
        <v>3.95</v>
      </c>
      <c r="F10">
        <f t="shared" ref="F10:F14" si="0">E10*C10</f>
        <v>2518.5595000000003</v>
      </c>
      <c r="H10" s="1403" t="s">
        <v>3592</v>
      </c>
      <c r="I10" s="1403">
        <v>3</v>
      </c>
      <c r="J10" s="3165" t="s">
        <v>3602</v>
      </c>
      <c r="K10" s="3166">
        <f>(J10-J9)/J9</f>
        <v>5.000000013749055E-2</v>
      </c>
      <c r="L10" s="3167">
        <f t="shared" ref="L10:L14" si="1">ROUND(J10/$C$15/365,2)</f>
        <v>3.39</v>
      </c>
    </row>
    <row r="11" spans="1:12">
      <c r="A11" s="3147" t="s">
        <v>3557</v>
      </c>
      <c r="B11" s="3148">
        <v>8</v>
      </c>
      <c r="C11" s="3391">
        <v>3337.78</v>
      </c>
      <c r="D11" s="3391"/>
      <c r="E11" s="3148">
        <v>3.95</v>
      </c>
      <c r="F11">
        <f t="shared" si="0"/>
        <v>13184.231000000002</v>
      </c>
      <c r="H11" s="1403" t="s">
        <v>3593</v>
      </c>
      <c r="I11" s="1403">
        <v>4</v>
      </c>
      <c r="J11" s="3165" t="s">
        <v>3603</v>
      </c>
      <c r="K11" s="3166">
        <f>(J11-J10)/J10</f>
        <v>4.9999999850350439E-2</v>
      </c>
      <c r="L11" s="3167">
        <f t="shared" si="1"/>
        <v>3.56</v>
      </c>
    </row>
    <row r="12" spans="1:12">
      <c r="A12" s="3147" t="s">
        <v>3556</v>
      </c>
      <c r="B12" s="3148">
        <v>7.8</v>
      </c>
      <c r="C12" s="3391">
        <v>3917.57</v>
      </c>
      <c r="D12" s="3391"/>
      <c r="E12" s="3148">
        <v>3.95</v>
      </c>
      <c r="F12">
        <f t="shared" si="0"/>
        <v>15474.401500000002</v>
      </c>
      <c r="H12" s="3159" t="s">
        <v>3594</v>
      </c>
      <c r="I12" s="3159">
        <v>5</v>
      </c>
      <c r="J12" s="3170" t="s">
        <v>3604</v>
      </c>
      <c r="K12" s="3171">
        <f>(J12-J11)/J11</f>
        <v>5.0000000071261763E-2</v>
      </c>
      <c r="L12" s="3172">
        <f t="shared" si="1"/>
        <v>3.74</v>
      </c>
    </row>
    <row r="13" spans="1:12">
      <c r="A13" s="3390" t="s">
        <v>3550</v>
      </c>
      <c r="B13" s="3148">
        <v>4</v>
      </c>
      <c r="C13" s="3148">
        <v>7780.64</v>
      </c>
      <c r="D13" s="3389" t="s">
        <v>3587</v>
      </c>
      <c r="E13" s="3148">
        <v>2.2999999999999998</v>
      </c>
      <c r="F13">
        <f t="shared" si="0"/>
        <v>17895.471999999998</v>
      </c>
      <c r="H13" s="1403" t="s">
        <v>3596</v>
      </c>
      <c r="I13" s="1403">
        <v>6</v>
      </c>
      <c r="J13" s="3165" t="s">
        <v>3605</v>
      </c>
      <c r="K13" s="3166">
        <f>(J13-J12)/J12</f>
        <v>4.9999999966065786E-2</v>
      </c>
      <c r="L13" s="3167">
        <f t="shared" si="1"/>
        <v>3.93</v>
      </c>
    </row>
    <row r="14" spans="1:12">
      <c r="A14" s="3391"/>
      <c r="B14" s="3148">
        <v>6</v>
      </c>
      <c r="C14" s="3148">
        <v>1981.64</v>
      </c>
      <c r="D14" s="3389"/>
      <c r="E14" s="3148">
        <v>3.5</v>
      </c>
      <c r="F14">
        <f t="shared" si="0"/>
        <v>6935.7400000000007</v>
      </c>
      <c r="H14" s="1403" t="s">
        <v>3595</v>
      </c>
      <c r="I14" s="1403">
        <v>7</v>
      </c>
      <c r="J14" s="3165" t="s">
        <v>3606</v>
      </c>
      <c r="K14" s="3166">
        <f>(J14-J13)/J13</f>
        <v>4.999999969297677E-2</v>
      </c>
      <c r="L14" s="3167">
        <f t="shared" si="1"/>
        <v>4.12</v>
      </c>
    </row>
    <row r="15" spans="1:12">
      <c r="A15" s="3148"/>
      <c r="B15" s="3147" t="s">
        <v>2594</v>
      </c>
      <c r="C15" s="3148">
        <f>SUM(C9:C14)</f>
        <v>21579.489999999998</v>
      </c>
      <c r="D15" s="3148"/>
      <c r="E15" s="3148"/>
      <c r="F15" s="1403">
        <f>SUM(F9:F14)</f>
        <v>69743.27900000001</v>
      </c>
      <c r="H15" s="1403" t="s">
        <v>3597</v>
      </c>
      <c r="I15" s="1403">
        <v>8</v>
      </c>
      <c r="J15" s="3166"/>
      <c r="K15" s="1403" t="s">
        <v>3607</v>
      </c>
    </row>
    <row r="16" spans="1:12">
      <c r="H16" s="1403" t="s">
        <v>3598</v>
      </c>
      <c r="I16" s="1403">
        <v>9</v>
      </c>
      <c r="J16" s="3166"/>
    </row>
    <row r="17" spans="5:10">
      <c r="E17">
        <f>(E9*C9+E10*C10+E11*C11+E12*C12+E13*C13+E14*C14)/C15</f>
        <v>3.2319243411220571</v>
      </c>
      <c r="H17" s="1403" t="s">
        <v>3599</v>
      </c>
      <c r="I17" s="1403">
        <v>10</v>
      </c>
      <c r="J17" s="3166"/>
    </row>
    <row r="18" spans="5:10">
      <c r="I18" s="3163">
        <v>11</v>
      </c>
      <c r="J18" s="3166"/>
    </row>
    <row r="19" spans="5:10">
      <c r="I19" s="1403">
        <v>12</v>
      </c>
      <c r="J19" s="3166"/>
    </row>
    <row r="20" spans="5:10">
      <c r="I20" s="1403">
        <v>13</v>
      </c>
      <c r="J20" s="3166"/>
    </row>
    <row r="21" spans="5:10">
      <c r="I21" s="1403">
        <v>14</v>
      </c>
      <c r="J21" s="3166"/>
    </row>
    <row r="22" spans="5:10">
      <c r="I22" s="1403">
        <v>15</v>
      </c>
      <c r="J22" s="3166"/>
    </row>
    <row r="23" spans="5:10">
      <c r="I23" s="1403">
        <v>16</v>
      </c>
      <c r="J23" s="3166"/>
    </row>
    <row r="24" spans="5:10">
      <c r="I24" s="1403">
        <v>17</v>
      </c>
      <c r="J24" s="3166"/>
    </row>
    <row r="25" spans="5:10">
      <c r="I25" s="1403">
        <v>18</v>
      </c>
      <c r="J25" s="3166"/>
    </row>
    <row r="26" spans="5:10">
      <c r="I26" s="1403">
        <v>19</v>
      </c>
      <c r="J26" s="3166"/>
    </row>
    <row r="27" spans="5:10">
      <c r="I27" s="1403">
        <v>20</v>
      </c>
      <c r="J27" s="3166"/>
    </row>
  </sheetData>
  <mergeCells count="8">
    <mergeCell ref="C8:D8"/>
    <mergeCell ref="D13:D14"/>
    <mergeCell ref="A9:A10"/>
    <mergeCell ref="A13:A14"/>
    <mergeCell ref="C9:D9"/>
    <mergeCell ref="C10:D10"/>
    <mergeCell ref="C11:D11"/>
    <mergeCell ref="C12:D12"/>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6D2E-ECA0-4799-A40A-26E15043D255}">
  <sheetPr>
    <tabColor rgb="FF7030A0"/>
  </sheetPr>
  <dimension ref="A1"/>
  <sheetViews>
    <sheetView workbookViewId="0">
      <selection activeCell="K77" sqref="K77"/>
    </sheetView>
  </sheetViews>
  <sheetFormatPr defaultRowHeight="14.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34" t="s">
        <v>2841</v>
      </c>
      <c r="B1" s="3534"/>
      <c r="C1" s="3534"/>
      <c r="D1" s="3534"/>
      <c r="E1" s="3534"/>
      <c r="F1" s="3534"/>
      <c r="G1" s="3535"/>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532"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533"/>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36" t="s">
        <v>3183</v>
      </c>
      <c r="B1" s="3536"/>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537" t="s">
        <v>3234</v>
      </c>
      <c r="B1" s="3537"/>
      <c r="C1" s="3537"/>
      <c r="D1" s="3537"/>
      <c r="E1" s="3537"/>
      <c r="F1" s="3538"/>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800" t="s">
        <v>925</v>
      </c>
      <c r="E3" s="800" t="s">
        <v>931</v>
      </c>
      <c r="F3" s="800" t="s">
        <v>925</v>
      </c>
      <c r="G3" s="800" t="s">
        <v>926</v>
      </c>
      <c r="H3" s="800" t="s">
        <v>925</v>
      </c>
      <c r="I3" s="800" t="s">
        <v>926</v>
      </c>
    </row>
    <row r="4" spans="1:9" ht="15">
      <c r="A4" s="1401" t="str">
        <f>项目基本情况!S2</f>
        <v>北京市房地产</v>
      </c>
      <c r="B4" s="800">
        <f>项目基本情况!C17</f>
        <v>48377.229999999996</v>
      </c>
      <c r="C4" s="800">
        <f>项目基本情况!C18</f>
        <v>14991.03</v>
      </c>
      <c r="D4" s="800">
        <f ca="1">结果表!D118</f>
        <v>16173</v>
      </c>
      <c r="E4" s="800">
        <f ca="1">结果表!E118</f>
        <v>3344</v>
      </c>
      <c r="F4" s="800">
        <f ca="1">结果表!F118</f>
        <v>63889</v>
      </c>
      <c r="G4" s="800">
        <f ca="1">结果表!G118</f>
        <v>13206</v>
      </c>
      <c r="H4" s="800">
        <f ca="1">结果表!H118</f>
        <v>80062</v>
      </c>
      <c r="I4" s="800">
        <f ca="1">结果表!I118</f>
        <v>16550</v>
      </c>
    </row>
    <row r="5" spans="1:9" ht="30" customHeight="1">
      <c r="A5" s="3214" t="s">
        <v>927</v>
      </c>
      <c r="B5" s="3214"/>
      <c r="C5" s="3214"/>
      <c r="D5" s="3214" t="str">
        <f ca="1">结果表!D119</f>
        <v>壹亿陆仟壹佰柒拾叁万元整</v>
      </c>
      <c r="E5" s="3214"/>
      <c r="F5" s="3214" t="str">
        <f ca="1">结果表!F119</f>
        <v>陆亿叁仟捌佰捌拾玖万元整</v>
      </c>
      <c r="G5" s="3214"/>
      <c r="H5" s="3214" t="str">
        <f ca="1">结果表!H119</f>
        <v>捌亿零陆拾贰万元整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6">
      <c r="A8" s="3215" t="str">
        <f>结果表!A122</f>
        <v>房地产抵押价值</v>
      </c>
      <c r="B8" s="3215"/>
      <c r="C8" s="3215"/>
      <c r="D8" s="3215">
        <f ca="1">结果表!D122</f>
        <v>80062</v>
      </c>
      <c r="E8" s="3215"/>
      <c r="F8" s="3215"/>
      <c r="G8" s="3215"/>
      <c r="H8" s="3215"/>
      <c r="I8" s="3215"/>
    </row>
    <row r="9" spans="1:9" ht="15">
      <c r="A9" s="3214" t="s">
        <v>927</v>
      </c>
      <c r="B9" s="3214"/>
      <c r="C9" s="3214"/>
      <c r="D9" s="3214" t="str">
        <f ca="1">结果表!D123</f>
        <v>捌亿零陆拾贰万元整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6">
      <c r="A12" s="3215" t="str">
        <f>结果表!A126</f>
        <v/>
      </c>
      <c r="B12" s="3215"/>
      <c r="C12" s="3215"/>
      <c r="D12" s="3215" t="str">
        <f>结果表!D126</f>
        <v>——</v>
      </c>
      <c r="E12" s="3215"/>
      <c r="F12" s="3215"/>
      <c r="G12" s="3215"/>
      <c r="H12" s="3215"/>
      <c r="I12" s="3215"/>
    </row>
    <row r="13" spans="1:9" ht="15.6" thickBot="1">
      <c r="A13" s="3219" t="s">
        <v>927</v>
      </c>
      <c r="B13" s="3219"/>
      <c r="C13" s="3219"/>
      <c r="D13" s="3219" t="e">
        <f>结果表!D127</f>
        <v>#VALUE!</v>
      </c>
      <c r="E13" s="3219"/>
      <c r="F13" s="3219"/>
      <c r="G13" s="3219"/>
      <c r="H13" s="3219"/>
      <c r="I13" s="3219"/>
    </row>
    <row r="14" spans="1:9" ht="14.4" thickTop="1">
      <c r="A14" s="3220" t="s">
        <v>932</v>
      </c>
      <c r="B14" s="3220"/>
      <c r="C14" s="3220"/>
      <c r="D14" s="3220"/>
      <c r="E14" s="3220"/>
      <c r="F14" s="3220"/>
      <c r="G14" s="3220"/>
      <c r="H14" s="3220"/>
      <c r="I14" s="3220"/>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45607</v>
      </c>
      <c r="B1" s="2928" t="s">
        <v>3384</v>
      </c>
      <c r="C1" s="2929"/>
      <c r="D1" s="2929"/>
      <c r="E1" s="2929"/>
      <c r="F1" s="2929"/>
      <c r="G1" s="2929"/>
      <c r="H1" s="2929"/>
      <c r="I1" s="2929"/>
      <c r="J1" s="2895"/>
      <c r="K1" s="2929" t="s">
        <v>454</v>
      </c>
      <c r="L1" s="2929"/>
      <c r="M1" s="2929"/>
      <c r="N1" s="2929"/>
      <c r="O1" s="2929"/>
      <c r="P1" s="2929"/>
      <c r="Q1" s="2895"/>
      <c r="R1" s="3539" t="s">
        <v>456</v>
      </c>
      <c r="S1" s="3540"/>
      <c r="T1" s="3540"/>
      <c r="U1" s="3540"/>
      <c r="V1" s="3540"/>
      <c r="W1" s="3540"/>
      <c r="X1" s="2895"/>
      <c r="Y1" s="3539" t="s">
        <v>457</v>
      </c>
      <c r="Z1" s="3540"/>
      <c r="AA1" s="3540"/>
      <c r="AB1" s="3540"/>
      <c r="AC1" s="3540"/>
      <c r="AD1" s="3540"/>
    </row>
    <row r="2" spans="1:30" s="2008" customFormat="1" ht="15" thickBot="1">
      <c r="B2" s="2880"/>
      <c r="C2" s="2881"/>
      <c r="D2" s="2009" t="s">
        <v>2812</v>
      </c>
      <c r="E2" s="2010" t="s">
        <v>2813</v>
      </c>
      <c r="F2" s="2010" t="s">
        <v>2814</v>
      </c>
      <c r="G2" s="2010" t="s">
        <v>2815</v>
      </c>
      <c r="H2" s="2010" t="s">
        <v>2816</v>
      </c>
      <c r="I2" s="2010" t="s">
        <v>2633</v>
      </c>
      <c r="J2" s="2882"/>
      <c r="K2" s="2009" t="s">
        <v>2812</v>
      </c>
      <c r="L2" s="2010" t="s">
        <v>2813</v>
      </c>
      <c r="M2" s="2010" t="s">
        <v>2814</v>
      </c>
      <c r="N2" s="2010" t="s">
        <v>2815</v>
      </c>
      <c r="O2" s="2010" t="s">
        <v>2817</v>
      </c>
      <c r="P2" s="2010" t="s">
        <v>2633</v>
      </c>
      <c r="Q2" s="2882"/>
      <c r="R2" s="2009" t="s">
        <v>2812</v>
      </c>
      <c r="S2" s="2010" t="s">
        <v>2813</v>
      </c>
      <c r="T2" s="2010" t="s">
        <v>2814</v>
      </c>
      <c r="U2" s="2010" t="s">
        <v>2818</v>
      </c>
      <c r="V2" s="2010" t="s">
        <v>2819</v>
      </c>
      <c r="W2" s="2010" t="s">
        <v>2633</v>
      </c>
      <c r="X2" s="2882"/>
      <c r="Y2" s="2009" t="s">
        <v>2812</v>
      </c>
      <c r="Z2" s="2010" t="s">
        <v>2813</v>
      </c>
      <c r="AA2" s="2010" t="s">
        <v>2814</v>
      </c>
      <c r="AB2" s="2010" t="s">
        <v>2820</v>
      </c>
      <c r="AC2" s="2010" t="s">
        <v>2819</v>
      </c>
      <c r="AD2" s="2010"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3.2">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3.2">
      <c r="A5" s="2038" t="s">
        <v>3380</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3.2">
      <c r="A6" s="2906" t="s">
        <v>3389</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3" customFormat="1" ht="13.2">
      <c r="A7" s="2038" t="s">
        <v>3388</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4" t="s">
        <v>3381</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4" t="s">
        <v>3377</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3.2">
      <c r="A10" s="2904" t="s">
        <v>3373</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3.2">
      <c r="A11" s="2904" t="s">
        <v>3372</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3.2">
      <c r="A12" s="2904" t="s">
        <v>3370</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3.2">
      <c r="A13" s="2904" t="s">
        <v>3369</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3.2">
      <c r="A14" s="2904" t="s">
        <v>3368</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4" t="s">
        <v>3366</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4" t="s">
        <v>3357</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4" t="s">
        <v>2822</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4" t="s">
        <v>2823</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4" t="s">
        <v>2824</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4" t="s">
        <v>2825</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3387</v>
      </c>
    </row>
    <row r="24" spans="1:30">
      <c r="I24" s="1403" t="s">
        <v>2827</v>
      </c>
    </row>
    <row r="26" spans="1:30" s="2007" customFormat="1" ht="13.2">
      <c r="B26" s="2928" t="s">
        <v>3385</v>
      </c>
      <c r="C26" s="2929"/>
      <c r="D26" s="2929"/>
      <c r="E26" s="2929"/>
      <c r="F26" s="2929"/>
      <c r="G26" s="2929"/>
      <c r="H26" s="2929"/>
      <c r="I26" s="2929"/>
      <c r="J26" s="2895"/>
      <c r="K26" s="2929" t="s">
        <v>2828</v>
      </c>
      <c r="L26" s="2929"/>
      <c r="M26" s="2929"/>
      <c r="N26" s="2929"/>
      <c r="O26" s="2929"/>
      <c r="P26" s="2929"/>
      <c r="Q26" s="2895"/>
      <c r="R26" s="3539" t="s">
        <v>2829</v>
      </c>
      <c r="S26" s="3540"/>
      <c r="T26" s="3540"/>
      <c r="U26" s="3540"/>
      <c r="V26" s="3540"/>
      <c r="W26" s="3540"/>
      <c r="X26" s="2895"/>
      <c r="Y26" s="3539" t="s">
        <v>2830</v>
      </c>
      <c r="Z26" s="3540"/>
      <c r="AA26" s="3540"/>
      <c r="AB26" s="3540"/>
      <c r="AC26" s="3540"/>
      <c r="AD26" s="3540"/>
    </row>
    <row r="27" spans="1:30" s="2008" customFormat="1" ht="15" thickBot="1">
      <c r="B27" s="2880"/>
      <c r="C27" s="2881"/>
      <c r="D27" s="2009" t="s">
        <v>2831</v>
      </c>
      <c r="E27" s="2010" t="s">
        <v>2832</v>
      </c>
      <c r="F27" s="2010" t="s">
        <v>2833</v>
      </c>
      <c r="G27" s="2010" t="s">
        <v>2834</v>
      </c>
      <c r="H27" s="2010"/>
      <c r="I27" s="2010" t="s">
        <v>2835</v>
      </c>
      <c r="J27" s="2882"/>
      <c r="K27" s="2009" t="s">
        <v>2831</v>
      </c>
      <c r="L27" s="2010" t="s">
        <v>2832</v>
      </c>
      <c r="M27" s="2010" t="s">
        <v>2833</v>
      </c>
      <c r="N27" s="2010" t="s">
        <v>2834</v>
      </c>
      <c r="O27" s="2010"/>
      <c r="P27" s="2010" t="s">
        <v>2835</v>
      </c>
      <c r="Q27" s="2882"/>
      <c r="R27" s="2009" t="s">
        <v>2831</v>
      </c>
      <c r="S27" s="2010" t="s">
        <v>2832</v>
      </c>
      <c r="T27" s="2010" t="s">
        <v>2833</v>
      </c>
      <c r="U27" s="2010" t="s">
        <v>2834</v>
      </c>
      <c r="V27" s="2010"/>
      <c r="W27" s="2010" t="s">
        <v>2835</v>
      </c>
      <c r="X27" s="2882"/>
      <c r="Y27" s="2009" t="s">
        <v>2831</v>
      </c>
      <c r="Z27" s="2010" t="s">
        <v>2832</v>
      </c>
      <c r="AA27" s="2010" t="s">
        <v>2833</v>
      </c>
      <c r="AB27" s="2010" t="s">
        <v>2834</v>
      </c>
      <c r="AC27" s="2010"/>
      <c r="AD27" s="2010"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7" customFormat="1" ht="13.2">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3.2">
      <c r="A30" s="2038" t="s">
        <v>3380</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3.2">
      <c r="A31" s="2906" t="s">
        <v>3382</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3" customFormat="1" ht="13.2">
      <c r="A32" s="2038" t="s">
        <v>3375</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3.2">
      <c r="A33" s="2904" t="s">
        <v>3383</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3.2">
      <c r="A34" s="2904" t="s">
        <v>3376</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3.2">
      <c r="A35" s="2904" t="s">
        <v>3374</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3.2">
      <c r="A36" s="2904" t="s">
        <v>3372</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3.2">
      <c r="A37" s="2904" t="s">
        <v>3371</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3.2">
      <c r="A38" s="2904" t="s">
        <v>3369</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3.2">
      <c r="A39" s="2904" t="s">
        <v>3368</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3.2">
      <c r="A40" s="2904" t="s">
        <v>3367</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3.2">
      <c r="A41" s="2904" t="s">
        <v>3357</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3.2">
      <c r="A42" s="2904" t="s">
        <v>2837</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3.2">
      <c r="A43" s="2904" t="s">
        <v>2838</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3.2">
      <c r="A44" s="2904" t="s">
        <v>2839</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3.2">
      <c r="A45" s="2904" t="s">
        <v>2840</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44" t="s">
        <v>452</v>
      </c>
      <c r="C1" s="3544"/>
      <c r="D1" s="3544"/>
      <c r="E1" s="3544"/>
      <c r="F1" s="3544"/>
      <c r="G1" s="3540" t="s">
        <v>453</v>
      </c>
      <c r="H1" s="3540"/>
      <c r="I1" s="3540"/>
      <c r="J1" s="3540"/>
      <c r="K1" s="3540"/>
      <c r="L1" s="3540"/>
      <c r="N1" s="3540" t="s">
        <v>454</v>
      </c>
      <c r="O1" s="3540"/>
      <c r="P1" s="3540"/>
      <c r="Q1" s="3540"/>
      <c r="S1" s="3540" t="s">
        <v>455</v>
      </c>
      <c r="T1" s="3540"/>
      <c r="U1" s="3540"/>
      <c r="V1" s="3540"/>
      <c r="X1" s="3539" t="s">
        <v>456</v>
      </c>
      <c r="Y1" s="3540"/>
      <c r="Z1" s="3540"/>
      <c r="AA1" s="3540"/>
      <c r="AB1" s="3540"/>
      <c r="AD1" s="3539" t="s">
        <v>457</v>
      </c>
      <c r="AE1" s="3540"/>
      <c r="AF1" s="3540"/>
      <c r="AG1" s="3540"/>
      <c r="AH1" s="3540"/>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42">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42"/>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42"/>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49"/>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45">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42"/>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42"/>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49"/>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45">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42"/>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42"/>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43"/>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41">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42"/>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42"/>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43"/>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41">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42"/>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42"/>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43"/>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46">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47"/>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47"/>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48"/>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41">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42"/>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42"/>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43"/>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41">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42">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42">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43">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41">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42">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42">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43">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41">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42">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42">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43">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41">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42">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42">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43">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41">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42">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42">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43">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41">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42">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42">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43">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41">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42">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42">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43">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41">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42">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42">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43">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41">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42">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42">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43">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41">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42">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42">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43">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45607</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4">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5"/>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2311</v>
      </c>
      <c r="C26" s="1205">
        <v>43697</v>
      </c>
      <c r="D26" s="2573">
        <v>4.25</v>
      </c>
      <c r="E26" s="2573">
        <v>4.25</v>
      </c>
      <c r="F26" s="2573">
        <v>4.25</v>
      </c>
      <c r="G26" s="2573">
        <v>4.25</v>
      </c>
      <c r="H26" s="2573">
        <v>4.8499999999999996</v>
      </c>
      <c r="I26" s="2573"/>
      <c r="J26" s="257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6"/>
      <c r="C27" s="2577">
        <v>42301</v>
      </c>
      <c r="D27" s="2578">
        <v>4.3499999999999996</v>
      </c>
      <c r="E27" s="2578">
        <v>4.3499999999999996</v>
      </c>
      <c r="F27" s="2578">
        <v>4.75</v>
      </c>
      <c r="G27" s="2578">
        <v>4.75</v>
      </c>
      <c r="H27" s="2578">
        <v>4.9000000000000004</v>
      </c>
      <c r="I27" s="2578"/>
      <c r="J27" s="2578"/>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21" t="s">
        <v>949</v>
      </c>
      <c r="B1" s="3221"/>
      <c r="C1" s="3221"/>
      <c r="D1" s="3221"/>
    </row>
    <row r="2" spans="1:4" ht="17.399999999999999">
      <c r="A2" s="3222" t="s">
        <v>933</v>
      </c>
      <c r="B2" s="3222"/>
      <c r="C2" s="3222"/>
      <c r="D2" s="3222"/>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222" t="s">
        <v>939</v>
      </c>
      <c r="B6" s="3222"/>
      <c r="C6" s="3222"/>
      <c r="D6" s="3222"/>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3" t="s">
        <v>942</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5" t="s">
        <v>956</v>
      </c>
      <c r="B15" s="3230" t="s">
        <v>109</v>
      </c>
      <c r="C15" s="3231"/>
    </row>
    <row r="16" spans="1:7" ht="14.4">
      <c r="A16" s="3236"/>
      <c r="B16" s="3230" t="s">
        <v>42</v>
      </c>
      <c r="C16" s="3231"/>
    </row>
    <row r="17" spans="1:3" ht="14.4">
      <c r="A17" s="3236"/>
      <c r="B17" s="3233" t="s">
        <v>957</v>
      </c>
      <c r="C17" s="1427" t="s">
        <v>956</v>
      </c>
    </row>
    <row r="18" spans="1:3" ht="14.4">
      <c r="A18" s="3236"/>
      <c r="B18" s="3233"/>
      <c r="C18" s="1427" t="s">
        <v>958</v>
      </c>
    </row>
    <row r="19" spans="1:3" ht="14.4">
      <c r="A19" s="3236"/>
      <c r="B19" s="3233"/>
      <c r="C19" s="1427" t="s">
        <v>959</v>
      </c>
    </row>
    <row r="20" spans="1:3" ht="14.4">
      <c r="A20" s="3237"/>
      <c r="B20" s="3232" t="s">
        <v>960</v>
      </c>
      <c r="C20" s="3231"/>
    </row>
    <row r="21" spans="1:3" ht="14.4">
      <c r="A21" s="1428" t="s">
        <v>961</v>
      </c>
      <c r="B21" s="1429"/>
      <c r="C21" s="1430"/>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7" t="s">
        <v>967</v>
      </c>
    </row>
    <row r="26" spans="1:3" ht="14.4">
      <c r="A26" s="3234"/>
      <c r="B26" s="3233"/>
      <c r="C26" s="1427" t="s">
        <v>968</v>
      </c>
    </row>
    <row r="27" spans="1:3" ht="14.4">
      <c r="A27" s="3234"/>
      <c r="B27" s="3233"/>
      <c r="C27" s="1427" t="s">
        <v>969</v>
      </c>
    </row>
    <row r="28" spans="1:3" ht="14.4">
      <c r="A28" s="3234"/>
      <c r="B28" s="3233"/>
      <c r="C28" s="1427" t="s">
        <v>970</v>
      </c>
    </row>
    <row r="29" spans="1:3" ht="14.4">
      <c r="A29" s="3234"/>
      <c r="B29" s="3233"/>
      <c r="C29" s="1427" t="s">
        <v>971</v>
      </c>
    </row>
    <row r="30" spans="1:3" ht="14.4">
      <c r="A30" s="3234"/>
      <c r="B30" s="3233"/>
      <c r="C30" s="1427" t="s">
        <v>972</v>
      </c>
    </row>
    <row r="31" spans="1:3" ht="14.4">
      <c r="A31" s="3234"/>
      <c r="B31" s="3233"/>
      <c r="C31" s="1427" t="s">
        <v>973</v>
      </c>
    </row>
    <row r="32" spans="1:3" ht="14.4">
      <c r="A32" s="3234"/>
      <c r="B32" s="3233"/>
      <c r="C32" s="1427" t="s">
        <v>974</v>
      </c>
    </row>
    <row r="33" spans="1:3" ht="14.4">
      <c r="A33" s="3234"/>
      <c r="B33" s="3233"/>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45616</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2439</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8"/>
      <c r="E18" s="3240" t="s">
        <v>2162</v>
      </c>
      <c r="F18" s="3239"/>
      <c r="G18" s="3239"/>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vt:lpstr>
      <vt:lpstr>收益法 (元)</vt:lpstr>
      <vt:lpstr>收益法-酒店模型</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2024-11-20T02:49:29Z</dcterms:modified>
</cp:coreProperties>
</file>