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45" yWindow="30" windowWidth="10620" windowHeight="11910" tabRatio="892" firstSheet="12"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弃用" sheetId="80" state="hidden"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收益法" sheetId="15" r:id="rId22"/>
    <sheet name="收益法 (元)" sheetId="67" state="hidden" r:id="rId23"/>
    <sheet name="收益法-酒店模型" sheetId="77" state="hidden" r:id="rId24"/>
    <sheet name="收益法 车库" sheetId="85" r:id="rId25"/>
    <sheet name="收益法（汇总）" sheetId="70"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基准地价修正" sheetId="43" r:id="rId39"/>
    <sheet name="假设开发法" sheetId="12" state="hidden" r:id="rId40"/>
    <sheet name="土地比较法-工业" sheetId="40" state="hidden" r:id="rId41"/>
    <sheet name="面积清单" sheetId="81" r:id="rId42"/>
    <sheet name="规划许可证面积表" sheetId="83" r:id="rId43"/>
    <sheet name="层高" sheetId="82" r:id="rId44"/>
    <sheet name="租赁合同" sheetId="84" r:id="rId45"/>
    <sheet name="案例" sheetId="86" r:id="rId46"/>
    <sheet name="区片价" sheetId="44" r:id="rId47"/>
    <sheet name="因素修正幅度" sheetId="65" state="hidden" r:id="rId48"/>
    <sheet name="区片价（范围）" sheetId="75" state="hidden" r:id="rId49"/>
    <sheet name="地价-分区" sheetId="79" r:id="rId50"/>
    <sheet name="地价" sheetId="71" r:id="rId51"/>
    <sheet name="存贷款利率" sheetId="73" r:id="rId52"/>
  </sheets>
  <externalReferences>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8">基准地价修正!$A$1:$J$44,基准地价修正!$A$47:$H$101,基准地价修正!$R$1:$V$16</definedName>
    <definedName name="_xlnm.Print_Area" localSheetId="39">假设开发法!$A$1:$K$32</definedName>
    <definedName name="_xlnm.Print_Area" localSheetId="18">结果表!$A$1:$I$127</definedName>
    <definedName name="_xlnm.Print_Area" localSheetId="21">收益法!$A$1:$F$43,收益法!$A$46:$F$71,收益法!$I$46:$N$65</definedName>
    <definedName name="_xlnm.Print_Area" localSheetId="22">'收益法 (元)'!$A$1:$F$43,'收益法 (元)'!$H$3:$M$29,'收益法 (元)'!$A$45:$F$71,'收益法 (元)'!$I$46:$N$65</definedName>
    <definedName name="_xlnm.Print_Area" localSheetId="24">'收益法 车库'!$A$1:$F$43,'收益法 车库'!$A$46:$F$71,'收益法 车库'!$I$46:$N$65</definedName>
    <definedName name="_xlnm.Print_Area" localSheetId="25">'收益法（汇总）'!$A$1:$F$13</definedName>
    <definedName name="_xlnm.Print_Area" localSheetId="14">'数据-汇总表'!$A$1:$P$32</definedName>
    <definedName name="_xlnm.Print_Area" localSheetId="40">'土地比较法-工业'!$A$1:$K$61,'土地比较法-工业'!$A$64:$M$121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74" l="1"/>
  <c r="C14" i="74"/>
  <c r="B15" i="74"/>
  <c r="B71" i="81"/>
  <c r="D15" i="74" l="1"/>
  <c r="G15" i="74" s="1"/>
  <c r="Z15" i="81" l="1"/>
  <c r="Z17" i="81"/>
  <c r="Z14" i="81"/>
  <c r="U14" i="81"/>
  <c r="X14" i="81"/>
  <c r="Z13" i="81"/>
  <c r="U6" i="1"/>
  <c r="N19" i="1"/>
  <c r="P21" i="81"/>
  <c r="S18" i="81"/>
  <c r="S13" i="81"/>
  <c r="N13" i="81"/>
  <c r="H19" i="81"/>
  <c r="B44" i="81"/>
  <c r="B36" i="81"/>
  <c r="AT14" i="3"/>
  <c r="I14" i="3"/>
  <c r="K14" i="3"/>
  <c r="D47" i="81"/>
  <c r="C47" i="81"/>
  <c r="B46" i="81"/>
  <c r="D44" i="81"/>
  <c r="C44" i="81"/>
  <c r="D36" i="81"/>
  <c r="H13" i="81"/>
  <c r="I13" i="3"/>
  <c r="I91" i="9" l="1"/>
  <c r="Q40" i="81"/>
  <c r="O40" i="81"/>
  <c r="T40" i="81" s="1"/>
  <c r="Q39" i="81"/>
  <c r="O39" i="81"/>
  <c r="T39" i="81" s="1"/>
  <c r="Q38" i="81"/>
  <c r="O38" i="81"/>
  <c r="T38" i="81" s="1"/>
  <c r="Q34" i="81"/>
  <c r="O34" i="81"/>
  <c r="T34" i="81" s="1"/>
  <c r="Q33" i="81"/>
  <c r="O33" i="81"/>
  <c r="T33" i="81" s="1"/>
  <c r="V34" i="81" l="1"/>
  <c r="V39" i="81"/>
  <c r="V33" i="81"/>
  <c r="V38" i="81"/>
  <c r="V40" i="81"/>
  <c r="V41" i="81" l="1"/>
  <c r="F66" i="81" l="1"/>
  <c r="AL13" i="3"/>
  <c r="K13" i="3"/>
  <c r="Z16" i="81"/>
  <c r="X17" i="81"/>
  <c r="U17" i="81"/>
  <c r="U16" i="81"/>
  <c r="U15" i="81"/>
  <c r="U13" i="81"/>
  <c r="L39" i="81"/>
  <c r="L40" i="81"/>
  <c r="L38" i="81"/>
  <c r="L34" i="81"/>
  <c r="L33" i="81"/>
  <c r="K14" i="81"/>
  <c r="S14" i="81"/>
  <c r="S15" i="81"/>
  <c r="S16" i="81"/>
  <c r="S17" i="81"/>
  <c r="J40" i="81"/>
  <c r="J39" i="81"/>
  <c r="J38" i="81"/>
  <c r="J34" i="81"/>
  <c r="J33" i="81"/>
  <c r="N17" i="81"/>
  <c r="N16" i="81"/>
  <c r="N15" i="81"/>
  <c r="N14" i="81"/>
  <c r="J13" i="81"/>
  <c r="J15" i="81"/>
  <c r="J16" i="81"/>
  <c r="J17" i="81"/>
  <c r="J14" i="81"/>
  <c r="D46" i="81" l="1"/>
  <c r="C46" i="81"/>
  <c r="C36" i="81"/>
  <c r="N27" i="83"/>
  <c r="N26" i="83"/>
  <c r="N25" i="83"/>
  <c r="N32" i="81" l="1"/>
  <c r="C88" i="9"/>
  <c r="N2" i="81"/>
  <c r="Y7" i="1"/>
  <c r="W7" i="1"/>
  <c r="J7" i="1"/>
  <c r="I7" i="1"/>
  <c r="H7" i="1"/>
  <c r="N7" i="1"/>
  <c r="Q72" i="85" l="1"/>
  <c r="Q59" i="85"/>
  <c r="K59" i="85"/>
  <c r="P74" i="85" s="1"/>
  <c r="F59" i="85"/>
  <c r="Q58" i="85"/>
  <c r="Q51" i="85"/>
  <c r="J50" i="85"/>
  <c r="J51" i="85" s="1"/>
  <c r="J49" i="85"/>
  <c r="M47" i="85"/>
  <c r="D46" i="85"/>
  <c r="F34" i="85"/>
  <c r="F62" i="85" s="1"/>
  <c r="F33" i="85"/>
  <c r="F61" i="85" s="1"/>
  <c r="F31" i="85"/>
  <c r="F23" i="85"/>
  <c r="D24" i="85" s="1"/>
  <c r="D23" i="85"/>
  <c r="D22" i="85"/>
  <c r="F21" i="85"/>
  <c r="M20" i="85"/>
  <c r="F20" i="85"/>
  <c r="M19" i="85"/>
  <c r="F18" i="85"/>
  <c r="M17" i="85"/>
  <c r="F17" i="85"/>
  <c r="F15" i="85"/>
  <c r="AM7" i="1"/>
  <c r="AL7" i="1"/>
  <c r="B59" i="1"/>
  <c r="J49" i="15"/>
  <c r="G44" i="43"/>
  <c r="L8" i="84"/>
  <c r="Y6" i="1"/>
  <c r="E17" i="84"/>
  <c r="L10" i="84"/>
  <c r="L11" i="84"/>
  <c r="L12" i="84"/>
  <c r="L13" i="84"/>
  <c r="L14" i="84"/>
  <c r="L9" i="84"/>
  <c r="K14" i="84"/>
  <c r="K13" i="84"/>
  <c r="K12" i="84"/>
  <c r="K11" i="84"/>
  <c r="K10" i="84"/>
  <c r="F10" i="84"/>
  <c r="F11" i="84"/>
  <c r="F12" i="84"/>
  <c r="F13" i="84"/>
  <c r="F15" i="84" s="1"/>
  <c r="F14" i="84"/>
  <c r="F9" i="84"/>
  <c r="C15" i="84"/>
  <c r="N6" i="1"/>
  <c r="A3" i="3"/>
  <c r="C68" i="81" l="1"/>
  <c r="P61" i="85"/>
  <c r="H14" i="81"/>
  <c r="D20" i="81"/>
  <c r="D19" i="81"/>
  <c r="F19" i="6" s="1"/>
  <c r="I18" i="81"/>
  <c r="I19" i="81" s="1"/>
  <c r="H17" i="81"/>
  <c r="H16" i="81"/>
  <c r="H15" i="81"/>
  <c r="K15" i="81" s="1"/>
  <c r="D14" i="83"/>
  <c r="C14" i="83"/>
  <c r="L33" i="83"/>
  <c r="K33" i="83"/>
  <c r="J33" i="83"/>
  <c r="K32" i="83"/>
  <c r="K30" i="83"/>
  <c r="K28" i="83"/>
  <c r="I32" i="83"/>
  <c r="J31" i="83"/>
  <c r="J29" i="83"/>
  <c r="H33" i="83"/>
  <c r="D40" i="83"/>
  <c r="C40" i="83"/>
  <c r="D23" i="83"/>
  <c r="C23" i="83"/>
  <c r="H26" i="80"/>
  <c r="L15" i="81" l="1"/>
  <c r="M15" i="81" s="1"/>
  <c r="Z18" i="81"/>
  <c r="L14" i="81"/>
  <c r="M14" i="81" s="1"/>
  <c r="L16" i="81"/>
  <c r="M16" i="81" s="1"/>
  <c r="L17" i="81"/>
  <c r="M17" i="81" s="1"/>
  <c r="D33" i="43"/>
  <c r="AH6" i="1"/>
  <c r="K13" i="81"/>
  <c r="K16" i="81"/>
  <c r="K17" i="81"/>
  <c r="G20" i="6"/>
  <c r="D21" i="81"/>
  <c r="L13" i="81"/>
  <c r="M13" i="81" s="1"/>
  <c r="H20" i="81"/>
  <c r="D16" i="80"/>
  <c r="C16" i="80"/>
  <c r="I65" i="80"/>
  <c r="H65" i="80"/>
  <c r="C64" i="80"/>
  <c r="B64" i="80"/>
  <c r="D64" i="80" s="1"/>
  <c r="E43" i="81"/>
  <c r="E41" i="81"/>
  <c r="E40" i="81"/>
  <c r="E39" i="81"/>
  <c r="E45" i="81" s="1"/>
  <c r="E38" i="81"/>
  <c r="E35" i="81"/>
  <c r="E34" i="81"/>
  <c r="E33" i="81"/>
  <c r="E36" i="81" s="1"/>
  <c r="E47" i="81" s="1"/>
  <c r="D17" i="81"/>
  <c r="B42" i="81"/>
  <c r="B41" i="81"/>
  <c r="B40" i="81"/>
  <c r="B39" i="81"/>
  <c r="B38" i="81"/>
  <c r="B35" i="81"/>
  <c r="B34" i="81"/>
  <c r="B33" i="81"/>
  <c r="B26" i="81"/>
  <c r="D3" i="4"/>
  <c r="G14" i="73"/>
  <c r="F14" i="73"/>
  <c r="E14" i="73"/>
  <c r="K26" i="81" l="1"/>
  <c r="H66"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S80" i="71" s="1"/>
  <c r="Q79" i="71"/>
  <c r="P79" i="71"/>
  <c r="O79" i="71"/>
  <c r="N79" i="71"/>
  <c r="Q78" i="71"/>
  <c r="P78" i="71"/>
  <c r="O78" i="71"/>
  <c r="N78" i="71"/>
  <c r="Q77" i="71"/>
  <c r="P77" i="71"/>
  <c r="O77" i="71"/>
  <c r="N77" i="71"/>
  <c r="D77" i="71"/>
  <c r="Q76" i="71"/>
  <c r="P76" i="71"/>
  <c r="O76" i="71"/>
  <c r="N76" i="71"/>
  <c r="F76" i="71"/>
  <c r="V76" i="71" s="1"/>
  <c r="E76" i="71"/>
  <c r="U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P68" i="71" s="1"/>
  <c r="C68" i="71"/>
  <c r="C67" i="71" s="1"/>
  <c r="B68" i="71"/>
  <c r="S68" i="71" s="1"/>
  <c r="F67" i="71"/>
  <c r="F66" i="71" s="1"/>
  <c r="B67" i="71"/>
  <c r="N67" i="71" s="1"/>
  <c r="D65" i="71"/>
  <c r="Q64" i="71"/>
  <c r="P64" i="71"/>
  <c r="O64" i="71"/>
  <c r="N64" i="71"/>
  <c r="Q63" i="71"/>
  <c r="P63" i="71"/>
  <c r="O63" i="71"/>
  <c r="N63" i="71"/>
  <c r="Q62" i="71"/>
  <c r="P62" i="71"/>
  <c r="O62" i="71"/>
  <c r="C63" i="71" s="1"/>
  <c r="N62" i="71"/>
  <c r="Q61" i="71"/>
  <c r="F62" i="71"/>
  <c r="F63" i="7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c r="O39" i="71"/>
  <c r="C40" i="71" s="1"/>
  <c r="N39" i="71"/>
  <c r="X39" i="71" s="1"/>
  <c r="Q38" i="71"/>
  <c r="AB38" i="71" s="1"/>
  <c r="P38" i="71"/>
  <c r="AA30" i="71" s="1"/>
  <c r="O38" i="71"/>
  <c r="N38" i="71"/>
  <c r="Q37" i="71"/>
  <c r="AB37" i="71" s="1"/>
  <c r="P37" i="71"/>
  <c r="O37" i="71"/>
  <c r="N37" i="71"/>
  <c r="B38" i="71" s="1"/>
  <c r="B39" i="71" s="1"/>
  <c r="B40" i="71" s="1"/>
  <c r="S40" i="71" s="1"/>
  <c r="D37" i="71"/>
  <c r="Q36" i="71"/>
  <c r="P36" i="71"/>
  <c r="O36" i="71"/>
  <c r="N36" i="71"/>
  <c r="X36" i="71" s="1"/>
  <c r="Q35" i="71"/>
  <c r="AB35" i="71" s="1"/>
  <c r="P35" i="71"/>
  <c r="O35" i="71"/>
  <c r="Y35" i="71" s="1"/>
  <c r="Z35" i="71" s="1"/>
  <c r="N35" i="71"/>
  <c r="Q34" i="71"/>
  <c r="AB34" i="71" s="1"/>
  <c r="P34" i="71"/>
  <c r="O34" i="71"/>
  <c r="N34" i="71"/>
  <c r="X33" i="71" s="1"/>
  <c r="Q33" i="71"/>
  <c r="F34" i="71" s="1"/>
  <c r="P33" i="71"/>
  <c r="O33" i="71"/>
  <c r="Y30" i="71" s="1"/>
  <c r="Z30" i="71" s="1"/>
  <c r="N33" i="71"/>
  <c r="D33" i="71"/>
  <c r="Q32" i="71"/>
  <c r="AB32" i="71"/>
  <c r="P32" i="71"/>
  <c r="O32" i="71"/>
  <c r="N32" i="71"/>
  <c r="Q31" i="71"/>
  <c r="P31" i="71"/>
  <c r="O31" i="71"/>
  <c r="N31" i="71"/>
  <c r="Q30" i="71"/>
  <c r="P30" i="71"/>
  <c r="E31" i="71" s="1"/>
  <c r="E32" i="71" s="1"/>
  <c r="U32" i="71" s="1"/>
  <c r="O30" i="71"/>
  <c r="N30" i="71"/>
  <c r="Q29" i="71"/>
  <c r="F30" i="71" s="1"/>
  <c r="P29" i="71"/>
  <c r="O29" i="71"/>
  <c r="N29" i="71"/>
  <c r="D29" i="71"/>
  <c r="O28" i="71"/>
  <c r="N28" i="71"/>
  <c r="B30" i="71"/>
  <c r="B31" i="71" s="1"/>
  <c r="B32" i="71" s="1"/>
  <c r="S32" i="71" s="1"/>
  <c r="E30" i="71"/>
  <c r="B34" i="71"/>
  <c r="B35" i="71" s="1"/>
  <c r="B36" i="71" s="1"/>
  <c r="S36" i="71" s="1"/>
  <c r="E38" i="71"/>
  <c r="E39" i="71" s="1"/>
  <c r="E40" i="71" s="1"/>
  <c r="U40" i="71" s="1"/>
  <c r="N68" i="71"/>
  <c r="E34" i="71"/>
  <c r="E35" i="71" s="1"/>
  <c r="E36" i="71" s="1"/>
  <c r="U36" i="71" s="1"/>
  <c r="C30" i="71"/>
  <c r="D30" i="71" s="1"/>
  <c r="Y29" i="71"/>
  <c r="Z29" i="71" s="1"/>
  <c r="AA35" i="71"/>
  <c r="C38" i="71"/>
  <c r="D38" i="71" s="1"/>
  <c r="X38" i="71"/>
  <c r="C28" i="71"/>
  <c r="C27" i="71" s="1"/>
  <c r="Y25" i="71"/>
  <c r="Z25" i="71" s="1"/>
  <c r="B28" i="71"/>
  <c r="B27" i="71" s="1"/>
  <c r="B26" i="71" s="1"/>
  <c r="X26" i="71"/>
  <c r="C31" i="71"/>
  <c r="C39" i="71"/>
  <c r="D39" i="71" s="1"/>
  <c r="C43" i="71"/>
  <c r="C44" i="71" s="1"/>
  <c r="P28" i="71"/>
  <c r="E28" i="71" s="1"/>
  <c r="E55" i="71"/>
  <c r="E56" i="71" s="1"/>
  <c r="U56" i="71"/>
  <c r="E67" i="71"/>
  <c r="Q28" i="71"/>
  <c r="AB25" i="71" s="1"/>
  <c r="C59" i="71"/>
  <c r="D58" i="71"/>
  <c r="B66" i="71"/>
  <c r="N65" i="71" s="1"/>
  <c r="Q67" i="71"/>
  <c r="D68" i="71"/>
  <c r="Q68" i="71"/>
  <c r="C71" i="71"/>
  <c r="E71" i="71"/>
  <c r="E70" i="71" s="1"/>
  <c r="D72" i="71"/>
  <c r="E75" i="71"/>
  <c r="E74" i="71" s="1"/>
  <c r="C79" i="71"/>
  <c r="D79" i="71" s="1"/>
  <c r="E79" i="71"/>
  <c r="E78" i="71" s="1"/>
  <c r="D80" i="71"/>
  <c r="C83" i="71"/>
  <c r="D83" i="71" s="1"/>
  <c r="C87" i="71"/>
  <c r="C86" i="71" s="1"/>
  <c r="D86" i="71" s="1"/>
  <c r="T28" i="71"/>
  <c r="F28" i="71"/>
  <c r="F27" i="71" s="1"/>
  <c r="F26" i="71" s="1"/>
  <c r="AB27" i="71"/>
  <c r="AA28" i="71"/>
  <c r="D28" i="71"/>
  <c r="U28" i="71" s="1"/>
  <c r="C82" i="71"/>
  <c r="D82" i="71"/>
  <c r="N66" i="71"/>
  <c r="C78" i="71"/>
  <c r="D78" i="71" s="1"/>
  <c r="D71" i="71"/>
  <c r="C70" i="71"/>
  <c r="D70" i="71" s="1"/>
  <c r="C60" i="71"/>
  <c r="D59" i="71"/>
  <c r="P67" i="71"/>
  <c r="E66" i="71"/>
  <c r="P65" i="71" s="1"/>
  <c r="D43" i="71"/>
  <c r="C32" i="71"/>
  <c r="T32" i="71" s="1"/>
  <c r="D31"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D42" i="43" s="1"/>
  <c r="D1" i="43"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F40" i="37" s="1"/>
  <c r="AA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F35" i="35" s="1"/>
  <c r="B97" i="35"/>
  <c r="B77" i="35"/>
  <c r="B75" i="35"/>
  <c r="J24" i="35" s="1"/>
  <c r="AC24" i="35"/>
  <c r="B73" i="35"/>
  <c r="J23" i="35" s="1"/>
  <c r="AC23" i="35" s="1"/>
  <c r="B57" i="35"/>
  <c r="J11" i="35" s="1"/>
  <c r="W11" i="35" s="1"/>
  <c r="B61" i="35"/>
  <c r="B59" i="35"/>
  <c r="F12" i="35" s="1"/>
  <c r="B131" i="34"/>
  <c r="B129" i="34"/>
  <c r="B127" i="34"/>
  <c r="F45" i="34" s="1"/>
  <c r="S45" i="34" s="1"/>
  <c r="B99" i="34"/>
  <c r="H32" i="34" s="1"/>
  <c r="B97" i="34"/>
  <c r="B95" i="34"/>
  <c r="H30" i="34" s="1"/>
  <c r="B93" i="34"/>
  <c r="J29" i="34" s="1"/>
  <c r="B75" i="34"/>
  <c r="J14" i="34" s="1"/>
  <c r="W14" i="34" s="1"/>
  <c r="B73" i="34"/>
  <c r="B71" i="34"/>
  <c r="B130" i="33"/>
  <c r="B128" i="33"/>
  <c r="B126" i="33"/>
  <c r="B98" i="33"/>
  <c r="B96" i="33"/>
  <c r="B94" i="33"/>
  <c r="H29" i="33" s="1"/>
  <c r="B74" i="33"/>
  <c r="B72" i="33"/>
  <c r="H13" i="33" s="1"/>
  <c r="U13" i="33" s="1"/>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H12" i="34"/>
  <c r="Q11" i="34"/>
  <c r="Z11" i="34" s="1"/>
  <c r="Q10" i="34"/>
  <c r="Z10" i="34"/>
  <c r="F10" i="34"/>
  <c r="AA10" i="34" s="1"/>
  <c r="Q9" i="34"/>
  <c r="Z9" i="34"/>
  <c r="J9" i="34"/>
  <c r="AC9" i="34" s="1"/>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H46" i="21" s="1"/>
  <c r="B128" i="21"/>
  <c r="B126" i="21"/>
  <c r="J44" i="21" s="1"/>
  <c r="AC44" i="21" s="1"/>
  <c r="B98" i="21"/>
  <c r="H31" i="21" s="1"/>
  <c r="B96" i="21"/>
  <c r="B94" i="21"/>
  <c r="J29" i="21"/>
  <c r="AC29" i="21" s="1"/>
  <c r="B92" i="21"/>
  <c r="B90" i="21"/>
  <c r="H27" i="21" s="1"/>
  <c r="J27" i="21"/>
  <c r="W27" i="21" s="1"/>
  <c r="B74" i="21"/>
  <c r="B72" i="21"/>
  <c r="H13" i="2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H36" i="39"/>
  <c r="AB36" i="39"/>
  <c r="J35" i="39"/>
  <c r="AC35" i="39" s="1"/>
  <c r="F35" i="39"/>
  <c r="AA35" i="39"/>
  <c r="J36" i="39"/>
  <c r="AC36" i="39" s="1"/>
  <c r="U9" i="39"/>
  <c r="W25" i="37"/>
  <c r="U30" i="37"/>
  <c r="W31" i="37"/>
  <c r="F39" i="37"/>
  <c r="S39" i="37" s="1"/>
  <c r="F29" i="36"/>
  <c r="AA29" i="36" s="1"/>
  <c r="F16" i="36"/>
  <c r="AA16" i="36" s="1"/>
  <c r="W28" i="36"/>
  <c r="U31" i="36"/>
  <c r="J33" i="36"/>
  <c r="AC33" i="36" s="1"/>
  <c r="H22" i="35"/>
  <c r="AB22" i="35"/>
  <c r="AC27" i="35"/>
  <c r="W28" i="35"/>
  <c r="W22" i="35"/>
  <c r="S31" i="35"/>
  <c r="U34" i="35"/>
  <c r="F36" i="34"/>
  <c r="J35" i="34"/>
  <c r="H39" i="33"/>
  <c r="AB39" i="33"/>
  <c r="F26" i="33"/>
  <c r="AA26" i="33" s="1"/>
  <c r="U35" i="33"/>
  <c r="S40" i="33"/>
  <c r="W33" i="33"/>
  <c r="W39" i="33"/>
  <c r="H39" i="37"/>
  <c r="AB39" i="37"/>
  <c r="S27" i="35"/>
  <c r="F11" i="40"/>
  <c r="AA11" i="40"/>
  <c r="H11" i="40"/>
  <c r="AB11" i="40" s="1"/>
  <c r="AA9" i="40"/>
  <c r="U9" i="40"/>
  <c r="U38"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B12" i="36"/>
  <c r="S44" i="39"/>
  <c r="J34" i="36"/>
  <c r="W34" i="36" s="1"/>
  <c r="U30" i="36"/>
  <c r="J30" i="35"/>
  <c r="W30" i="35" s="1"/>
  <c r="H30" i="35"/>
  <c r="AB30" i="35" s="1"/>
  <c r="F22" i="35"/>
  <c r="AA22" i="35" s="1"/>
  <c r="H10" i="35"/>
  <c r="U10" i="35" s="1"/>
  <c r="AA33" i="36"/>
  <c r="W30" i="36"/>
  <c r="H16" i="36"/>
  <c r="AB16" i="36" s="1"/>
  <c r="J29" i="36"/>
  <c r="AC29" i="36" s="1"/>
  <c r="F12" i="36"/>
  <c r="S12" i="36" s="1"/>
  <c r="F24" i="36"/>
  <c r="AA24" i="36"/>
  <c r="F34" i="36"/>
  <c r="S34" i="36" s="1"/>
  <c r="F14" i="35"/>
  <c r="AA14" i="35" s="1"/>
  <c r="F23" i="35"/>
  <c r="AA23"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W28" i="34"/>
  <c r="F41" i="33"/>
  <c r="AA41" i="33" s="1"/>
  <c r="S38" i="33"/>
  <c r="E113" i="33"/>
  <c r="F32" i="33"/>
  <c r="AA32" i="33" s="1"/>
  <c r="J19" i="33"/>
  <c r="AC19" i="33"/>
  <c r="J15" i="33"/>
  <c r="AC15" i="33" s="1"/>
  <c r="F11" i="33"/>
  <c r="AA11" i="33" s="1"/>
  <c r="S26" i="33"/>
  <c r="U40" i="33"/>
  <c r="F37" i="40"/>
  <c r="AA37" i="40"/>
  <c r="F36" i="40"/>
  <c r="AA36" i="40" s="1"/>
  <c r="H28" i="40"/>
  <c r="U28" i="40" s="1"/>
  <c r="F23" i="40"/>
  <c r="AA23" i="40" s="1"/>
  <c r="F17" i="40"/>
  <c r="AA17" i="40" s="1"/>
  <c r="J17" i="40"/>
  <c r="W17" i="40" s="1"/>
  <c r="F15" i="40"/>
  <c r="S15" i="40" s="1"/>
  <c r="H15" i="40"/>
  <c r="AB15" i="40"/>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S41" i="33"/>
  <c r="F113" i="33"/>
  <c r="G113" i="33"/>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M123" i="21"/>
  <c r="J42" i="21"/>
  <c r="AC42" i="2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c r="H44" i="21"/>
  <c r="U44" i="21"/>
  <c r="F44" i="21"/>
  <c r="AA44" i="21" s="1"/>
  <c r="U46" i="21"/>
  <c r="J46" i="21"/>
  <c r="F46" i="21"/>
  <c r="AA46" i="21" s="1"/>
  <c r="E119" i="21"/>
  <c r="F119" i="21" s="1"/>
  <c r="G119" i="21" s="1"/>
  <c r="H119" i="21" s="1"/>
  <c r="I119" i="21" s="1"/>
  <c r="J119" i="21" s="1"/>
  <c r="K119" i="21" s="1"/>
  <c r="L119" i="21" s="1"/>
  <c r="M119" i="21" s="1"/>
  <c r="H26" i="33"/>
  <c r="U26" i="33" s="1"/>
  <c r="F28" i="33"/>
  <c r="AA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31" i="21"/>
  <c r="S31" i="21" s="1"/>
  <c r="F27" i="33"/>
  <c r="AA27" i="33" s="1"/>
  <c r="J13" i="33"/>
  <c r="F13" i="33"/>
  <c r="S13" i="33"/>
  <c r="J29" i="33"/>
  <c r="U29" i="33"/>
  <c r="F29" i="33"/>
  <c r="S29" i="33" s="1"/>
  <c r="J31" i="33"/>
  <c r="W31" i="33" s="1"/>
  <c r="H31" i="33"/>
  <c r="F31" i="33"/>
  <c r="H45" i="33"/>
  <c r="U45" i="33" s="1"/>
  <c r="J45" i="33"/>
  <c r="W45" i="33" s="1"/>
  <c r="F45" i="33"/>
  <c r="AA45" i="33"/>
  <c r="F14" i="34"/>
  <c r="S14" i="34"/>
  <c r="H14" i="34"/>
  <c r="F30" i="34"/>
  <c r="S30" i="34" s="1"/>
  <c r="J30" i="34"/>
  <c r="F32" i="34"/>
  <c r="J32" i="34"/>
  <c r="W32" i="34" s="1"/>
  <c r="H46" i="34"/>
  <c r="U46" i="34" s="1"/>
  <c r="F46" i="34"/>
  <c r="J46" i="34"/>
  <c r="H11" i="35"/>
  <c r="AB11" i="35" s="1"/>
  <c r="AC11" i="35"/>
  <c r="F11" i="35"/>
  <c r="S11" i="35" s="1"/>
  <c r="J26" i="36"/>
  <c r="W26" i="36" s="1"/>
  <c r="H28" i="36"/>
  <c r="U28" i="36" s="1"/>
  <c r="H32" i="36"/>
  <c r="AB32" i="36" s="1"/>
  <c r="J32" i="36"/>
  <c r="W32" i="36" s="1"/>
  <c r="H11" i="36"/>
  <c r="U11" i="36" s="1"/>
  <c r="F11" i="36"/>
  <c r="AA11" i="36" s="1"/>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F29" i="34"/>
  <c r="S29" i="34"/>
  <c r="H29" i="34"/>
  <c r="AB29" i="34" s="1"/>
  <c r="J31" i="34"/>
  <c r="AC31" i="34"/>
  <c r="H31" i="34"/>
  <c r="F31" i="34"/>
  <c r="S31" i="34" s="1"/>
  <c r="H45" i="34"/>
  <c r="U45" i="34" s="1"/>
  <c r="J45" i="34"/>
  <c r="W45" i="34"/>
  <c r="H47" i="34"/>
  <c r="U47" i="34"/>
  <c r="F47" i="34"/>
  <c r="S47" i="34" s="1"/>
  <c r="J47" i="34"/>
  <c r="AC47" i="34"/>
  <c r="F13" i="35"/>
  <c r="J13" i="35"/>
  <c r="AC13" i="35" s="1"/>
  <c r="H13" i="35"/>
  <c r="U13" i="35" s="1"/>
  <c r="J25" i="35"/>
  <c r="W25" i="35"/>
  <c r="F25" i="35"/>
  <c r="S25" i="35" s="1"/>
  <c r="H25" i="35"/>
  <c r="AB25" i="35" s="1"/>
  <c r="J35" i="35"/>
  <c r="AC35" i="35" s="1"/>
  <c r="AA35" i="35"/>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U46" i="33"/>
  <c r="AA14" i="33"/>
  <c r="J36" i="37"/>
  <c r="AC36" i="37"/>
  <c r="J10" i="36"/>
  <c r="AC10" i="36" s="1"/>
  <c r="AB26" i="33"/>
  <c r="AB30" i="21"/>
  <c r="AA14" i="37"/>
  <c r="W31" i="34"/>
  <c r="AB46" i="34"/>
  <c r="AA14" i="34"/>
  <c r="S45" i="33"/>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AZ530" i="3" s="1"/>
  <c r="BA528" i="3"/>
  <c r="BA526" i="3"/>
  <c r="BA524" i="3"/>
  <c r="BA522" i="3"/>
  <c r="AZ522" i="3" s="1"/>
  <c r="BA520" i="3"/>
  <c r="BA518" i="3"/>
  <c r="AZ518" i="3" s="1"/>
  <c r="BA516" i="3"/>
  <c r="BA514" i="3"/>
  <c r="AZ514" i="3" s="1"/>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494"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BL128" i="3"/>
  <c r="AZ128" i="3" s="1"/>
  <c r="G129" i="3"/>
  <c r="BA131" i="3"/>
  <c r="BL132" i="3"/>
  <c r="AZ132" i="3"/>
  <c r="G133" i="3"/>
  <c r="BA135" i="3"/>
  <c r="AZ135" i="3" s="1"/>
  <c r="BL136" i="3"/>
  <c r="G137" i="3"/>
  <c r="BA139" i="3"/>
  <c r="BL140" i="3"/>
  <c r="G141" i="3"/>
  <c r="BA143" i="3"/>
  <c r="BL144" i="3"/>
  <c r="G145" i="3"/>
  <c r="BA147" i="3"/>
  <c r="BL148" i="3"/>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55"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22"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AZ257" i="3"/>
  <c r="AZ269" i="3"/>
  <c r="BA379" i="3"/>
  <c r="AZ379" i="3" s="1"/>
  <c r="BL380" i="3"/>
  <c r="G381" i="3"/>
  <c r="BA383" i="3"/>
  <c r="AZ383" i="3" s="1"/>
  <c r="BL384" i="3"/>
  <c r="AZ384" i="3" s="1"/>
  <c r="G385" i="3"/>
  <c r="BA387" i="3"/>
  <c r="BL388" i="3"/>
  <c r="G389" i="3"/>
  <c r="BA391" i="3"/>
  <c r="AZ391" i="3" s="1"/>
  <c r="BL392" i="3"/>
  <c r="G393" i="3"/>
  <c r="BO5" i="3"/>
  <c r="BM5" i="3"/>
  <c r="BJ5" i="3"/>
  <c r="BH5" i="3"/>
  <c r="BF5" i="3"/>
  <c r="BD5" i="3"/>
  <c r="AZ341" i="3"/>
  <c r="AC5" i="3"/>
  <c r="AZ496" i="3"/>
  <c r="G548" i="3"/>
  <c r="G538" i="3"/>
  <c r="G520" i="3"/>
  <c r="G502" i="3"/>
  <c r="BS5" i="3"/>
  <c r="BP5" i="3"/>
  <c r="BN5" i="3"/>
  <c r="BK5" i="3"/>
  <c r="BI5" i="3"/>
  <c r="BG5" i="3"/>
  <c r="BE5" i="3"/>
  <c r="G17" i="3"/>
  <c r="BA17" i="3"/>
  <c r="BT5" i="3"/>
  <c r="BA15" i="3"/>
  <c r="BR5" i="3"/>
  <c r="AZ380" i="3"/>
  <c r="AZ392" i="3"/>
  <c r="AZ509" i="3"/>
  <c r="G509" i="3"/>
  <c r="BL493" i="3"/>
  <c r="AZ493" i="3"/>
  <c r="U36" i="40"/>
  <c r="F83" i="43"/>
  <c r="H85" i="43" s="1"/>
  <c r="F50" i="43"/>
  <c r="H54" i="43" s="1"/>
  <c r="F72" i="43"/>
  <c r="H75" i="43" s="1"/>
  <c r="U17" i="39"/>
  <c r="S14" i="35"/>
  <c r="U43" i="21"/>
  <c r="U35" i="21"/>
  <c r="AC35" i="21"/>
  <c r="G10" i="1"/>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74"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Z412" i="3"/>
  <c r="AZ433" i="3"/>
  <c r="W12" i="33"/>
  <c r="AC12" i="33"/>
  <c r="AA32" i="36"/>
  <c r="S32" i="36"/>
  <c r="AZ437" i="3"/>
  <c r="BL14" i="3"/>
  <c r="U30" i="33"/>
  <c r="AC13" i="34"/>
  <c r="AA47" i="34"/>
  <c r="W28" i="37"/>
  <c r="S19" i="39"/>
  <c r="F12" i="33"/>
  <c r="H12" i="39"/>
  <c r="AB12" i="39" s="1"/>
  <c r="F39" i="40"/>
  <c r="AA39" i="40" s="1"/>
  <c r="AZ224" i="3"/>
  <c r="AZ286" i="3"/>
  <c r="AZ173" i="3"/>
  <c r="AZ181" i="3"/>
  <c r="B12" i="1"/>
  <c r="E12" i="1" s="1"/>
  <c r="B10" i="1"/>
  <c r="E10" i="1" s="1"/>
  <c r="K12" i="1"/>
  <c r="M12" i="1" s="1"/>
  <c r="S13" i="1"/>
  <c r="AR13" i="1" s="1"/>
  <c r="R13" i="1"/>
  <c r="J51" i="67"/>
  <c r="C42" i="1"/>
  <c r="C24" i="12" s="1"/>
  <c r="AC34" i="33"/>
  <c r="AA34" i="33"/>
  <c r="B41" i="1"/>
  <c r="AB37" i="40"/>
  <c r="S35" i="40"/>
  <c r="U35" i="40"/>
  <c r="AC36" i="40"/>
  <c r="W38" i="40"/>
  <c r="AA32" i="40"/>
  <c r="S17" i="40"/>
  <c r="S23" i="40"/>
  <c r="AC17" i="40"/>
  <c r="AC15" i="40"/>
  <c r="AB27" i="40"/>
  <c r="S30" i="40"/>
  <c r="AA19" i="40"/>
  <c r="S28" i="40"/>
  <c r="AA27" i="40"/>
  <c r="U21"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C29" i="37"/>
  <c r="U29" i="37"/>
  <c r="S32" i="37"/>
  <c r="AB31" i="37"/>
  <c r="W30" i="37"/>
  <c r="S36" i="37"/>
  <c r="AA38" i="37"/>
  <c r="W38" i="37"/>
  <c r="AC35" i="37"/>
  <c r="W39" i="37"/>
  <c r="S30" i="37"/>
  <c r="S37" i="37"/>
  <c r="J17" i="37"/>
  <c r="W17" i="37" s="1"/>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J23" i="33"/>
  <c r="AC23"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BA13" i="3"/>
  <c r="BL17" i="3"/>
  <c r="AZ17" i="3"/>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K11" i="1"/>
  <c r="M11" i="1" s="1"/>
  <c r="O11" i="1" s="1"/>
  <c r="B9" i="1"/>
  <c r="E9" i="1" s="1"/>
  <c r="K7" i="1"/>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F33" i="21"/>
  <c r="AA33" i="21" s="1"/>
  <c r="J33" i="21"/>
  <c r="AC33" i="21" s="1"/>
  <c r="H33" i="21"/>
  <c r="AB33" i="21" s="1"/>
  <c r="F37" i="21"/>
  <c r="AA37" i="21" s="1"/>
  <c r="AA26" i="21"/>
  <c r="AB14" i="21"/>
  <c r="AB46" i="21"/>
  <c r="U40"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H32" i="39"/>
  <c r="AB32" i="39" s="1"/>
  <c r="AA32" i="39"/>
  <c r="S32" i="39"/>
  <c r="AB21" i="39"/>
  <c r="U21" i="39"/>
  <c r="AA21" i="39"/>
  <c r="S21" i="39"/>
  <c r="S17" i="37"/>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AA19" i="33"/>
  <c r="H19" i="33"/>
  <c r="G81" i="33"/>
  <c r="H17" i="33"/>
  <c r="U17" i="33" s="1"/>
  <c r="F17" i="33"/>
  <c r="S17" i="33" s="1"/>
  <c r="W17" i="33"/>
  <c r="AC17" i="33"/>
  <c r="S37" i="21"/>
  <c r="AA23" i="21"/>
  <c r="AB15" i="21"/>
  <c r="J23" i="21"/>
  <c r="AC23" i="21" s="1"/>
  <c r="F85" i="21"/>
  <c r="G85" i="21" s="1"/>
  <c r="H23" i="21"/>
  <c r="AB23" i="21" s="1"/>
  <c r="AP7" i="1"/>
  <c r="AB45" i="21"/>
  <c r="AB9" i="21"/>
  <c r="U9" i="21"/>
  <c r="AA32" i="21"/>
  <c r="S32" i="21"/>
  <c r="AB32" i="21"/>
  <c r="U32" i="21"/>
  <c r="U32" i="39"/>
  <c r="AC32" i="39"/>
  <c r="W32" i="39"/>
  <c r="AC23" i="37"/>
  <c r="J63" i="37"/>
  <c r="K63" i="37" s="1"/>
  <c r="L63" i="37" s="1"/>
  <c r="M63" i="37" s="1"/>
  <c r="J11" i="37"/>
  <c r="AC11" i="37" s="1"/>
  <c r="J11" i="34"/>
  <c r="W11" i="34" s="1"/>
  <c r="AB36" i="33"/>
  <c r="AC27" i="33"/>
  <c r="W25" i="33"/>
  <c r="AC25" i="33"/>
  <c r="AB19" i="33"/>
  <c r="U19" i="33"/>
  <c r="W23" i="21"/>
  <c r="H109" i="9"/>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2" i="76"/>
  <c r="E11" i="76"/>
  <c r="E12" i="76"/>
  <c r="E10" i="76"/>
  <c r="F38" i="67"/>
  <c r="F8" i="67"/>
  <c r="M26" i="67"/>
  <c r="M29" i="67"/>
  <c r="F5" i="73"/>
  <c r="F40" i="67"/>
  <c r="B9" i="76"/>
  <c r="M9" i="67"/>
  <c r="L47" i="67"/>
  <c r="B11" i="76"/>
  <c r="E7" i="76"/>
  <c r="F3" i="73"/>
  <c r="F20" i="31"/>
  <c r="F37" i="67"/>
  <c r="F6" i="73"/>
  <c r="E13" i="76"/>
  <c r="F13" i="67"/>
  <c r="F36" i="67"/>
  <c r="F6" i="67"/>
  <c r="J15" i="67"/>
  <c r="M8" i="67"/>
  <c r="B8" i="76"/>
  <c r="E2" i="68"/>
  <c r="M23" i="67"/>
  <c r="M24" i="67"/>
  <c r="E9" i="76"/>
  <c r="M6" i="67"/>
  <c r="F7" i="67"/>
  <c r="E8" i="76"/>
  <c r="B13" i="76"/>
  <c r="M22" i="67"/>
  <c r="F4" i="73"/>
  <c r="AO13" i="1"/>
  <c r="F7" i="73"/>
  <c r="M28" i="67"/>
  <c r="B10" i="76"/>
  <c r="E2" i="69"/>
  <c r="D6" i="73"/>
  <c r="F26" i="67"/>
  <c r="L48" i="67"/>
  <c r="B7" i="76"/>
  <c r="F42" i="67"/>
  <c r="F9" i="67"/>
  <c r="C76" i="67"/>
  <c r="F16" i="67"/>
  <c r="F43" i="67"/>
  <c r="BA19" i="3" l="1"/>
  <c r="G13" i="3"/>
  <c r="H5" i="3"/>
  <c r="BB5" i="3"/>
  <c r="F3" i="35"/>
  <c r="G1" i="85"/>
  <c r="G1" i="69"/>
  <c r="G1" i="68"/>
  <c r="G1" i="15"/>
  <c r="B6" i="1"/>
  <c r="E6" i="1" s="1"/>
  <c r="K6" i="1"/>
  <c r="AP6" i="1" s="1"/>
  <c r="C36" i="69" s="1"/>
  <c r="M7" i="1"/>
  <c r="H42" i="43"/>
  <c r="F48" i="9"/>
  <c r="O52" i="9" s="1"/>
  <c r="F32" i="85"/>
  <c r="F28" i="85"/>
  <c r="C28" i="85" s="1"/>
  <c r="M18" i="85"/>
  <c r="BC5" i="3"/>
  <c r="F34" i="15"/>
  <c r="F62" i="15" s="1"/>
  <c r="M20" i="67"/>
  <c r="C21" i="68"/>
  <c r="C40" i="68"/>
  <c r="BA14" i="3"/>
  <c r="AZ14" i="3" s="1"/>
  <c r="G29" i="6"/>
  <c r="U25" i="37"/>
  <c r="AB25" i="37"/>
  <c r="AC9" i="35"/>
  <c r="W9" i="35"/>
  <c r="AB31" i="21"/>
  <c r="U31" i="21"/>
  <c r="AZ124" i="3"/>
  <c r="S29" i="35"/>
  <c r="AA29" i="35"/>
  <c r="BL585" i="3"/>
  <c r="AB33" i="33"/>
  <c r="U33" i="33"/>
  <c r="AC40" i="33"/>
  <c r="W40" i="33"/>
  <c r="J37" i="39"/>
  <c r="F37" i="39"/>
  <c r="AA38" i="34"/>
  <c r="S38" i="34"/>
  <c r="BA551" i="3"/>
  <c r="AZ551" i="3" s="1"/>
  <c r="BA550" i="3"/>
  <c r="BL548" i="3"/>
  <c r="U23" i="21"/>
  <c r="AC15" i="37"/>
  <c r="AC11" i="39"/>
  <c r="AZ345" i="3"/>
  <c r="AZ372" i="3"/>
  <c r="AZ337" i="3"/>
  <c r="AZ192" i="3"/>
  <c r="AZ376" i="3"/>
  <c r="AZ324" i="3"/>
  <c r="AZ309" i="3"/>
  <c r="AZ549" i="3"/>
  <c r="AC12" i="37"/>
  <c r="U14" i="40"/>
  <c r="AZ515" i="3"/>
  <c r="AZ569" i="3"/>
  <c r="AZ571" i="3"/>
  <c r="AZ579" i="3"/>
  <c r="AZ516" i="3"/>
  <c r="AZ524" i="3"/>
  <c r="AA35" i="34"/>
  <c r="S35" i="34"/>
  <c r="H23" i="36"/>
  <c r="J23" i="36"/>
  <c r="H31" i="39"/>
  <c r="J31" i="39"/>
  <c r="AC9" i="21"/>
  <c r="D6" i="52"/>
  <c r="AB27" i="33"/>
  <c r="AA23" i="37"/>
  <c r="AZ387" i="3"/>
  <c r="AZ366" i="3"/>
  <c r="AZ338" i="3"/>
  <c r="AZ371" i="3"/>
  <c r="AZ305" i="3"/>
  <c r="AZ155" i="3"/>
  <c r="AZ360" i="3"/>
  <c r="W40" i="37"/>
  <c r="AZ505" i="3"/>
  <c r="AZ525" i="3"/>
  <c r="AZ529" i="3"/>
  <c r="AZ537" i="3"/>
  <c r="AZ526" i="3"/>
  <c r="AZ564" i="3"/>
  <c r="AZ580" i="3"/>
  <c r="AZ585" i="3"/>
  <c r="S11" i="36"/>
  <c r="W32" i="40"/>
  <c r="U34" i="34"/>
  <c r="G585" i="3"/>
  <c r="BL587" i="3"/>
  <c r="AZ587" i="3" s="1"/>
  <c r="BL586" i="3"/>
  <c r="AZ586" i="3" s="1"/>
  <c r="J45" i="21"/>
  <c r="F45" i="21"/>
  <c r="H28" i="33"/>
  <c r="J28" i="33"/>
  <c r="F9" i="34"/>
  <c r="AA9" i="34" s="1"/>
  <c r="H9" i="34"/>
  <c r="U12" i="35"/>
  <c r="AB12" i="35"/>
  <c r="F23" i="36"/>
  <c r="F25" i="37"/>
  <c r="AC40" i="39"/>
  <c r="W40" i="39"/>
  <c r="S34" i="40"/>
  <c r="AA34" i="40"/>
  <c r="G566" i="3"/>
  <c r="G558" i="3"/>
  <c r="AC15" i="21"/>
  <c r="AA17" i="33"/>
  <c r="W27" i="40"/>
  <c r="S13" i="21"/>
  <c r="AC17" i="37"/>
  <c r="W30" i="40"/>
  <c r="U32" i="37"/>
  <c r="S15" i="37"/>
  <c r="AZ15" i="3"/>
  <c r="F29" i="6"/>
  <c r="AZ318" i="3"/>
  <c r="AZ364" i="3"/>
  <c r="AZ329" i="3"/>
  <c r="AZ304" i="3"/>
  <c r="AZ203" i="3"/>
  <c r="AZ306" i="3"/>
  <c r="AZ577" i="3"/>
  <c r="AZ513" i="3"/>
  <c r="AZ575" i="3"/>
  <c r="AZ528" i="3"/>
  <c r="AZ548" i="3"/>
  <c r="AZ566" i="3"/>
  <c r="AZ574" i="3"/>
  <c r="AZ582" i="3"/>
  <c r="AZ540" i="3"/>
  <c r="AZ502" i="3"/>
  <c r="S28" i="34"/>
  <c r="U17" i="34"/>
  <c r="AB17" i="34"/>
  <c r="W9" i="34"/>
  <c r="B101" i="43"/>
  <c r="B79" i="43"/>
  <c r="AC8" i="34"/>
  <c r="W8" i="34"/>
  <c r="J12" i="34"/>
  <c r="F12" i="34"/>
  <c r="S12" i="34" s="1"/>
  <c r="J39" i="40"/>
  <c r="H39" i="40"/>
  <c r="BL15" i="3"/>
  <c r="AZ418" i="3"/>
  <c r="BL16" i="3"/>
  <c r="AZ16" i="3" s="1"/>
  <c r="AZ402" i="3"/>
  <c r="BL404" i="3"/>
  <c r="BL405" i="3"/>
  <c r="AZ414" i="3"/>
  <c r="AZ415" i="3"/>
  <c r="AZ270" i="3"/>
  <c r="AZ400" i="3"/>
  <c r="BL401" i="3"/>
  <c r="BA407" i="3"/>
  <c r="AZ407" i="3" s="1"/>
  <c r="AZ413" i="3"/>
  <c r="AZ444" i="3"/>
  <c r="AZ462" i="3"/>
  <c r="AZ125" i="3"/>
  <c r="W8" i="40"/>
  <c r="H23" i="35"/>
  <c r="G551" i="3"/>
  <c r="BL550" i="3"/>
  <c r="G542" i="3"/>
  <c r="BL398" i="3"/>
  <c r="AZ398" i="3" s="1"/>
  <c r="BL406" i="3"/>
  <c r="AZ406" i="3" s="1"/>
  <c r="G421" i="3"/>
  <c r="G440" i="3"/>
  <c r="BL441" i="3"/>
  <c r="BL442" i="3"/>
  <c r="BL444" i="3"/>
  <c r="G447" i="3"/>
  <c r="BL448" i="3"/>
  <c r="AZ448" i="3" s="1"/>
  <c r="G451" i="3"/>
  <c r="BA454" i="3"/>
  <c r="BA457" i="3"/>
  <c r="AZ457" i="3" s="1"/>
  <c r="BA459" i="3"/>
  <c r="AZ459" i="3" s="1"/>
  <c r="BA460" i="3"/>
  <c r="AZ460" i="3" s="1"/>
  <c r="BA461" i="3"/>
  <c r="AZ461" i="3" s="1"/>
  <c r="BL464" i="3"/>
  <c r="BL466" i="3"/>
  <c r="AZ466" i="3" s="1"/>
  <c r="G469" i="3"/>
  <c r="BL476" i="3"/>
  <c r="AZ476" i="3" s="1"/>
  <c r="BL477" i="3"/>
  <c r="BL478" i="3"/>
  <c r="BL480" i="3"/>
  <c r="AZ480" i="3" s="1"/>
  <c r="BA483" i="3"/>
  <c r="BL483" i="3"/>
  <c r="AZ483" i="3" s="1"/>
  <c r="BA486" i="3"/>
  <c r="BL489" i="3"/>
  <c r="BL491" i="3"/>
  <c r="BL492" i="3"/>
  <c r="BA315" i="3"/>
  <c r="AZ315" i="3" s="1"/>
  <c r="BA333" i="3"/>
  <c r="BL346" i="3"/>
  <c r="AZ346" i="3" s="1"/>
  <c r="AZ217" i="3"/>
  <c r="AZ228" i="3"/>
  <c r="BL265" i="3"/>
  <c r="AZ265" i="3" s="1"/>
  <c r="BA273" i="3"/>
  <c r="BA278" i="3"/>
  <c r="AZ278" i="3" s="1"/>
  <c r="BA280" i="3"/>
  <c r="AZ280" i="3" s="1"/>
  <c r="BL283" i="3"/>
  <c r="AZ283" i="3" s="1"/>
  <c r="BL284" i="3"/>
  <c r="G288" i="3"/>
  <c r="BL292" i="3"/>
  <c r="BA294" i="3"/>
  <c r="BL295" i="3"/>
  <c r="BA298" i="3"/>
  <c r="AZ298" i="3" s="1"/>
  <c r="BL301" i="3"/>
  <c r="AZ301" i="3" s="1"/>
  <c r="BL302" i="3"/>
  <c r="BA114" i="3"/>
  <c r="BA401" i="3"/>
  <c r="AZ401" i="3" s="1"/>
  <c r="BA403" i="3"/>
  <c r="AZ403" i="3" s="1"/>
  <c r="BA404" i="3"/>
  <c r="AZ404" i="3" s="1"/>
  <c r="BA405" i="3"/>
  <c r="AZ405" i="3" s="1"/>
  <c r="G409" i="3"/>
  <c r="BL410" i="3"/>
  <c r="G419" i="3"/>
  <c r="BA422" i="3"/>
  <c r="G430" i="3"/>
  <c r="BL431" i="3"/>
  <c r="BL434" i="3"/>
  <c r="AZ434" i="3" s="1"/>
  <c r="G437" i="3"/>
  <c r="BL438" i="3"/>
  <c r="BL439" i="3"/>
  <c r="BA441" i="3"/>
  <c r="AZ441" i="3" s="1"/>
  <c r="BL445" i="3"/>
  <c r="BL446" i="3"/>
  <c r="BL449" i="3"/>
  <c r="BL450" i="3"/>
  <c r="AZ450" i="3" s="1"/>
  <c r="BL452" i="3"/>
  <c r="G455" i="3"/>
  <c r="BL456" i="3"/>
  <c r="AZ456" i="3" s="1"/>
  <c r="BA464" i="3"/>
  <c r="AZ464" i="3" s="1"/>
  <c r="BL467" i="3"/>
  <c r="BL468" i="3"/>
  <c r="BL470" i="3"/>
  <c r="AZ470" i="3" s="1"/>
  <c r="BL473" i="3"/>
  <c r="AZ473" i="3" s="1"/>
  <c r="BL474" i="3"/>
  <c r="BA482" i="3"/>
  <c r="BA484" i="3"/>
  <c r="AZ484" i="3" s="1"/>
  <c r="BA303" i="3"/>
  <c r="AZ303" i="3" s="1"/>
  <c r="BA307" i="3"/>
  <c r="AZ307" i="3" s="1"/>
  <c r="BL314" i="3"/>
  <c r="AZ314" i="3" s="1"/>
  <c r="BA332" i="3"/>
  <c r="BL332" i="3"/>
  <c r="G364" i="3"/>
  <c r="BA367" i="3"/>
  <c r="AZ367" i="3" s="1"/>
  <c r="BA370" i="3"/>
  <c r="AZ370" i="3" s="1"/>
  <c r="BA386" i="3"/>
  <c r="AZ386" i="3" s="1"/>
  <c r="BA216" i="3"/>
  <c r="AZ216" i="3" s="1"/>
  <c r="BA218" i="3"/>
  <c r="BL218" i="3"/>
  <c r="BL220" i="3"/>
  <c r="AZ220" i="3" s="1"/>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G262" i="3"/>
  <c r="BL263" i="3"/>
  <c r="BL270" i="3"/>
  <c r="BA272" i="3"/>
  <c r="AZ272" i="3" s="1"/>
  <c r="BL275" i="3"/>
  <c r="AZ275" i="3" s="1"/>
  <c r="G277" i="3"/>
  <c r="G280" i="3"/>
  <c r="G282" i="3"/>
  <c r="BL285" i="3"/>
  <c r="BL287" i="3"/>
  <c r="BA290" i="3"/>
  <c r="G297" i="3"/>
  <c r="BL299" i="3"/>
  <c r="G300" i="3"/>
  <c r="BL113" i="3"/>
  <c r="BL115" i="3"/>
  <c r="AZ115" i="3" s="1"/>
  <c r="BL122" i="3"/>
  <c r="G398" i="3"/>
  <c r="G399" i="3"/>
  <c r="BL400" i="3"/>
  <c r="BL408" i="3"/>
  <c r="BL411" i="3"/>
  <c r="BL413" i="3"/>
  <c r="G415" i="3"/>
  <c r="G416" i="3"/>
  <c r="BL417" i="3"/>
  <c r="BL418" i="3"/>
  <c r="BL420" i="3"/>
  <c r="AZ420" i="3" s="1"/>
  <c r="G422" i="3"/>
  <c r="G423" i="3"/>
  <c r="BL424" i="3"/>
  <c r="G426" i="3"/>
  <c r="G427" i="3"/>
  <c r="BL428" i="3"/>
  <c r="BL429" i="3"/>
  <c r="BL432" i="3"/>
  <c r="BL435" i="3"/>
  <c r="AZ435" i="3" s="1"/>
  <c r="BL436" i="3"/>
  <c r="BA439" i="3"/>
  <c r="BA440" i="3"/>
  <c r="AZ440" i="3" s="1"/>
  <c r="BA442" i="3"/>
  <c r="AZ442" i="3" s="1"/>
  <c r="BA445" i="3"/>
  <c r="BA447" i="3"/>
  <c r="AZ447" i="3" s="1"/>
  <c r="BA449" i="3"/>
  <c r="BL453" i="3"/>
  <c r="AZ453" i="3" s="1"/>
  <c r="BL454" i="3"/>
  <c r="G458" i="3"/>
  <c r="BL459" i="3"/>
  <c r="G461" i="3"/>
  <c r="G462" i="3"/>
  <c r="BA465" i="3"/>
  <c r="AZ465" i="3" s="1"/>
  <c r="BA467" i="3"/>
  <c r="BA468" i="3"/>
  <c r="BL471" i="3"/>
  <c r="BL475" i="3"/>
  <c r="BA477" i="3"/>
  <c r="AZ477" i="3" s="1"/>
  <c r="BA478" i="3"/>
  <c r="AZ478" i="3" s="1"/>
  <c r="BA481" i="3"/>
  <c r="G484" i="3"/>
  <c r="BA488" i="3"/>
  <c r="AZ488" i="3" s="1"/>
  <c r="BA491" i="3"/>
  <c r="AZ491" i="3" s="1"/>
  <c r="BL324" i="3"/>
  <c r="BL328" i="3"/>
  <c r="AZ328" i="3" s="1"/>
  <c r="G329" i="3"/>
  <c r="BA335" i="3"/>
  <c r="AZ335" i="3" s="1"/>
  <c r="BA339" i="3"/>
  <c r="AZ339" i="3" s="1"/>
  <c r="G343" i="3"/>
  <c r="G347" i="3"/>
  <c r="BA348" i="3"/>
  <c r="BA350" i="3"/>
  <c r="AZ350" i="3" s="1"/>
  <c r="BA354" i="3"/>
  <c r="BA366" i="3"/>
  <c r="BL375" i="3"/>
  <c r="AZ375" i="3" s="1"/>
  <c r="BL385" i="3"/>
  <c r="G392" i="3"/>
  <c r="BA397" i="3"/>
  <c r="BL397" i="3"/>
  <c r="BA210" i="3"/>
  <c r="AZ210" i="3" s="1"/>
  <c r="BL210" i="3"/>
  <c r="BL212" i="3"/>
  <c r="AZ212" i="3" s="1"/>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AZ297" i="3" s="1"/>
  <c r="BL297" i="3"/>
  <c r="BL300" i="3"/>
  <c r="BA302" i="3"/>
  <c r="AZ302" i="3" s="1"/>
  <c r="G115" i="3"/>
  <c r="BA117" i="3"/>
  <c r="BL127" i="3"/>
  <c r="AZ127" i="3" s="1"/>
  <c r="BA130" i="3"/>
  <c r="BL130" i="3"/>
  <c r="BL134" i="3"/>
  <c r="BA149" i="3"/>
  <c r="AZ149" i="3" s="1"/>
  <c r="BA408" i="3"/>
  <c r="BA409" i="3"/>
  <c r="AZ409" i="3" s="1"/>
  <c r="BA411" i="3"/>
  <c r="AZ411" i="3" s="1"/>
  <c r="BL414" i="3"/>
  <c r="BL415" i="3"/>
  <c r="BA417" i="3"/>
  <c r="AZ417" i="3" s="1"/>
  <c r="BL421" i="3"/>
  <c r="AZ421" i="3" s="1"/>
  <c r="BL422" i="3"/>
  <c r="BL425" i="3"/>
  <c r="AZ425" i="3" s="1"/>
  <c r="BL426" i="3"/>
  <c r="AZ426" i="3" s="1"/>
  <c r="BA428" i="3"/>
  <c r="AZ428" i="3" s="1"/>
  <c r="BA429" i="3"/>
  <c r="AZ429" i="3" s="1"/>
  <c r="BA430" i="3"/>
  <c r="AZ430" i="3" s="1"/>
  <c r="BA432" i="3"/>
  <c r="AZ432" i="3" s="1"/>
  <c r="BA434" i="3"/>
  <c r="BA436" i="3"/>
  <c r="BA438" i="3"/>
  <c r="AZ438" i="3" s="1"/>
  <c r="AZ443" i="3"/>
  <c r="AZ471" i="3"/>
  <c r="AZ487" i="3"/>
  <c r="BA349" i="3"/>
  <c r="AZ349" i="3" s="1"/>
  <c r="BA353" i="3"/>
  <c r="AZ353" i="3" s="1"/>
  <c r="BL353" i="3"/>
  <c r="BA358" i="3"/>
  <c r="AZ358" i="3" s="1"/>
  <c r="G362" i="3"/>
  <c r="BL365" i="3"/>
  <c r="AZ365" i="3" s="1"/>
  <c r="G366" i="3"/>
  <c r="BA368" i="3"/>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81" i="3"/>
  <c r="BA296" i="3"/>
  <c r="BA116" i="3"/>
  <c r="AZ116" i="3" s="1"/>
  <c r="BA121" i="3"/>
  <c r="BL121" i="3"/>
  <c r="BL123" i="3"/>
  <c r="AZ123" i="3" s="1"/>
  <c r="BA137" i="3"/>
  <c r="AZ137" i="3" s="1"/>
  <c r="BL138" i="3"/>
  <c r="BA140" i="3"/>
  <c r="AZ140" i="3" s="1"/>
  <c r="BA142" i="3"/>
  <c r="BA148" i="3"/>
  <c r="AZ148" i="3" s="1"/>
  <c r="G37" i="3"/>
  <c r="BL40" i="3"/>
  <c r="AZ40" i="3" s="1"/>
  <c r="BL41" i="3"/>
  <c r="AZ41" i="3" s="1"/>
  <c r="BL45" i="3"/>
  <c r="BA48" i="3"/>
  <c r="BA49" i="3"/>
  <c r="AZ49" i="3" s="1"/>
  <c r="BA51" i="3"/>
  <c r="G55" i="3"/>
  <c r="BL56" i="3"/>
  <c r="BA58" i="3"/>
  <c r="BL59" i="3"/>
  <c r="AZ59" i="3" s="1"/>
  <c r="BL60" i="3"/>
  <c r="BA61" i="3"/>
  <c r="AZ61" i="3" s="1"/>
  <c r="BA68" i="3"/>
  <c r="BA73" i="3"/>
  <c r="BA80" i="3"/>
  <c r="BL84" i="3"/>
  <c r="BA109" i="3"/>
  <c r="AB21" i="37"/>
  <c r="U21" i="37"/>
  <c r="T40" i="71"/>
  <c r="D40" i="71"/>
  <c r="D50" i="71"/>
  <c r="C51" i="71"/>
  <c r="BA124" i="3"/>
  <c r="BA126" i="3"/>
  <c r="AZ126" i="3" s="1"/>
  <c r="BA129" i="3"/>
  <c r="BL133" i="3"/>
  <c r="AZ133" i="3" s="1"/>
  <c r="BL139" i="3"/>
  <c r="AZ139" i="3" s="1"/>
  <c r="G140" i="3"/>
  <c r="BL141" i="3"/>
  <c r="BL143" i="3"/>
  <c r="AZ143" i="3" s="1"/>
  <c r="G146" i="3"/>
  <c r="G147" i="3"/>
  <c r="BL157" i="3"/>
  <c r="AZ157" i="3" s="1"/>
  <c r="BL159" i="3"/>
  <c r="AZ159" i="3" s="1"/>
  <c r="BL177" i="3"/>
  <c r="AZ177" i="3" s="1"/>
  <c r="BL183" i="3"/>
  <c r="AZ183" i="3" s="1"/>
  <c r="BA186" i="3"/>
  <c r="AZ186" i="3" s="1"/>
  <c r="BA190" i="3"/>
  <c r="BA197" i="3"/>
  <c r="BL201" i="3"/>
  <c r="AZ201" i="3" s="1"/>
  <c r="BL203" i="3"/>
  <c r="BA204" i="3"/>
  <c r="AZ204" i="3" s="1"/>
  <c r="BA18" i="3"/>
  <c r="AZ18" i="3" s="1"/>
  <c r="BL21" i="3"/>
  <c r="G23" i="3"/>
  <c r="G29" i="3"/>
  <c r="BL29" i="3"/>
  <c r="G33" i="3"/>
  <c r="G34" i="3"/>
  <c r="BA37" i="3"/>
  <c r="G39" i="3"/>
  <c r="BL39" i="3"/>
  <c r="G43" i="3"/>
  <c r="G44" i="3"/>
  <c r="BA45" i="3"/>
  <c r="AZ45" i="3" s="1"/>
  <c r="BA46" i="3"/>
  <c r="AZ46" i="3" s="1"/>
  <c r="BL49" i="3"/>
  <c r="BL50" i="3"/>
  <c r="AZ50" i="3" s="1"/>
  <c r="BL51" i="3"/>
  <c r="G53" i="3"/>
  <c r="BL53" i="3"/>
  <c r="BA56" i="3"/>
  <c r="BA57" i="3"/>
  <c r="BL58" i="3"/>
  <c r="G60" i="3"/>
  <c r="BA60" i="3"/>
  <c r="BA63" i="3"/>
  <c r="AZ63" i="3" s="1"/>
  <c r="BA66" i="3"/>
  <c r="AZ66" i="3" s="1"/>
  <c r="BA71" i="3"/>
  <c r="BL77" i="3"/>
  <c r="AZ77" i="3" s="1"/>
  <c r="BA79" i="3"/>
  <c r="AZ79" i="3" s="1"/>
  <c r="BL86" i="3"/>
  <c r="AZ86" i="3" s="1"/>
  <c r="BA91" i="3"/>
  <c r="AZ91" i="3" s="1"/>
  <c r="BA98" i="3"/>
  <c r="BA100" i="3"/>
  <c r="AZ100" i="3" s="1"/>
  <c r="BA102" i="3"/>
  <c r="AZ102" i="3" s="1"/>
  <c r="BL105" i="3"/>
  <c r="AZ105" i="3" s="1"/>
  <c r="F40" i="69"/>
  <c r="C40" i="69"/>
  <c r="U21" i="33"/>
  <c r="AB21" i="33"/>
  <c r="C26" i="71"/>
  <c r="D26" i="71" s="1"/>
  <c r="D27" i="71"/>
  <c r="C55" i="71"/>
  <c r="D54" i="71"/>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G203" i="3"/>
  <c r="BA205" i="3"/>
  <c r="AZ205" i="3" s="1"/>
  <c r="G20" i="3"/>
  <c r="BL20" i="3"/>
  <c r="BA21" i="3"/>
  <c r="BA25" i="3"/>
  <c r="BA26" i="3"/>
  <c r="G28" i="3"/>
  <c r="BL28" i="3"/>
  <c r="BA29" i="3"/>
  <c r="BA36" i="3"/>
  <c r="BL38" i="3"/>
  <c r="AZ38" i="3" s="1"/>
  <c r="BA39" i="3"/>
  <c r="BL47" i="3"/>
  <c r="AZ47" i="3" s="1"/>
  <c r="G49" i="3"/>
  <c r="BA52" i="3"/>
  <c r="AZ52" i="3" s="1"/>
  <c r="BA53" i="3"/>
  <c r="AZ53" i="3" s="1"/>
  <c r="BA54" i="3"/>
  <c r="BL57" i="3"/>
  <c r="G62" i="3"/>
  <c r="BL62" i="3"/>
  <c r="BL63" i="3"/>
  <c r="G65" i="3"/>
  <c r="BL65" i="3"/>
  <c r="AZ65" i="3" s="1"/>
  <c r="BL66" i="3"/>
  <c r="BL67" i="3"/>
  <c r="AZ67" i="3" s="1"/>
  <c r="G69" i="3"/>
  <c r="G70" i="3"/>
  <c r="BL70" i="3"/>
  <c r="AZ70" i="3" s="1"/>
  <c r="BL71" i="3"/>
  <c r="BL72" i="3"/>
  <c r="AZ72" i="3" s="1"/>
  <c r="G74" i="3"/>
  <c r="G75" i="3"/>
  <c r="BL75" i="3"/>
  <c r="AZ75" i="3" s="1"/>
  <c r="G79" i="3"/>
  <c r="BL81" i="3"/>
  <c r="BA82" i="3"/>
  <c r="AZ82" i="3" s="1"/>
  <c r="BL83" i="3"/>
  <c r="G86" i="3"/>
  <c r="BA87" i="3"/>
  <c r="AZ87" i="3" s="1"/>
  <c r="BA89" i="3"/>
  <c r="BL93" i="3"/>
  <c r="BL94" i="3"/>
  <c r="AZ94" i="3" s="1"/>
  <c r="BL101" i="3"/>
  <c r="BL102" i="3"/>
  <c r="G104" i="3"/>
  <c r="G105" i="3"/>
  <c r="BL106" i="3"/>
  <c r="AZ106" i="3" s="1"/>
  <c r="BA108" i="3"/>
  <c r="W21" i="21"/>
  <c r="D67" i="71"/>
  <c r="C66" i="71"/>
  <c r="O67" i="71"/>
  <c r="BA118" i="3"/>
  <c r="BL118" i="3"/>
  <c r="BA122" i="3"/>
  <c r="AZ122" i="3" s="1"/>
  <c r="BL125" i="3"/>
  <c r="BL126" i="3"/>
  <c r="G130" i="3"/>
  <c r="BA144" i="3"/>
  <c r="AZ144" i="3" s="1"/>
  <c r="G152" i="3"/>
  <c r="BA153" i="3"/>
  <c r="BL155" i="3"/>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BL197" i="3"/>
  <c r="G198" i="3"/>
  <c r="BL199" i="3"/>
  <c r="AZ199" i="3" s="1"/>
  <c r="BA200" i="3"/>
  <c r="AZ200" i="3" s="1"/>
  <c r="BA202" i="3"/>
  <c r="BL207" i="3"/>
  <c r="AZ207" i="3" s="1"/>
  <c r="BL18" i="3"/>
  <c r="G19" i="3"/>
  <c r="BL19" i="3"/>
  <c r="AZ19" i="3" s="1"/>
  <c r="BA20" i="3"/>
  <c r="AZ20" i="3" s="1"/>
  <c r="BL25" i="3"/>
  <c r="BL27" i="3"/>
  <c r="AZ27" i="3" s="1"/>
  <c r="BA28" i="3"/>
  <c r="AZ28" i="3" s="1"/>
  <c r="BA31" i="3"/>
  <c r="AZ31" i="3" s="1"/>
  <c r="BA32" i="3"/>
  <c r="BA38" i="3"/>
  <c r="AZ62" i="3"/>
  <c r="AZ64" i="3"/>
  <c r="BA69" i="3"/>
  <c r="AZ69" i="3" s="1"/>
  <c r="AZ103" i="3"/>
  <c r="D44" i="71"/>
  <c r="T44" i="71"/>
  <c r="C64" i="71"/>
  <c r="D63" i="71"/>
  <c r="V24" i="71"/>
  <c r="E23" i="71"/>
  <c r="E22" i="71" s="1"/>
  <c r="E21" i="71" s="1"/>
  <c r="E20" i="71" s="1"/>
  <c r="BA106" i="3"/>
  <c r="BL108" i="3"/>
  <c r="BL111" i="3"/>
  <c r="AZ111" i="3" s="1"/>
  <c r="U29" i="39"/>
  <c r="P66" i="71"/>
  <c r="AA27" i="71"/>
  <c r="AB26" i="71"/>
  <c r="S28" i="71"/>
  <c r="C75" i="71"/>
  <c r="O68" i="71"/>
  <c r="D46" i="71"/>
  <c r="Y28" i="71"/>
  <c r="Z28" i="71" s="1"/>
  <c r="Y37" i="71"/>
  <c r="Z37" i="71" s="1"/>
  <c r="X35" i="71"/>
  <c r="C34" i="71"/>
  <c r="AA37" i="71"/>
  <c r="X28" i="71"/>
  <c r="X32" i="71"/>
  <c r="F38" i="71"/>
  <c r="F39" i="71" s="1"/>
  <c r="F40" i="71" s="1"/>
  <c r="V40" i="71" s="1"/>
  <c r="B79" i="71"/>
  <c r="B78" i="71" s="1"/>
  <c r="BA84" i="3"/>
  <c r="BL88" i="3"/>
  <c r="AZ88" i="3" s="1"/>
  <c r="G90" i="3"/>
  <c r="BL90" i="3"/>
  <c r="BL92" i="3"/>
  <c r="G101" i="3"/>
  <c r="BA101" i="3"/>
  <c r="AZ101" i="3" s="1"/>
  <c r="G108" i="3"/>
  <c r="G109" i="3"/>
  <c r="BL112" i="3"/>
  <c r="U25" i="40"/>
  <c r="S21" i="34"/>
  <c r="B68" i="43"/>
  <c r="B88" i="43"/>
  <c r="D32" i="71"/>
  <c r="D76" i="71"/>
  <c r="T68" i="71"/>
  <c r="U68" i="71"/>
  <c r="X34" i="71"/>
  <c r="X31" i="71"/>
  <c r="F35" i="71"/>
  <c r="F36" i="71" s="1"/>
  <c r="V36" i="71" s="1"/>
  <c r="AA34" i="71"/>
  <c r="B51" i="71"/>
  <c r="B52" i="71" s="1"/>
  <c r="S52" i="71" s="1"/>
  <c r="E51" i="71"/>
  <c r="E52" i="71" s="1"/>
  <c r="U52" i="71" s="1"/>
  <c r="D87" i="71"/>
  <c r="AB28" i="71"/>
  <c r="AA38" i="71"/>
  <c r="AB33" i="71"/>
  <c r="F31" i="71"/>
  <c r="F32" i="71" s="1"/>
  <c r="V32" i="71" s="1"/>
  <c r="AB31" i="71"/>
  <c r="AB36" i="71"/>
  <c r="AA36" i="71"/>
  <c r="Y38" i="71"/>
  <c r="Z38" i="71" s="1"/>
  <c r="E47" i="71"/>
  <c r="E48" i="71" s="1"/>
  <c r="U48" i="71" s="1"/>
  <c r="B55" i="71"/>
  <c r="B56" i="71" s="1"/>
  <c r="S56" i="71" s="1"/>
  <c r="F71" i="71"/>
  <c r="F70"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67" i="3"/>
  <c r="AZ468" i="3"/>
  <c r="W35" i="39"/>
  <c r="F27" i="34"/>
  <c r="C21" i="39"/>
  <c r="U9" i="36"/>
  <c r="U14" i="37"/>
  <c r="H12" i="21"/>
  <c r="G526" i="3"/>
  <c r="AZ424" i="3"/>
  <c r="AZ436" i="3"/>
  <c r="AZ446" i="3"/>
  <c r="G28" i="6"/>
  <c r="G30" i="6" s="1"/>
  <c r="G31" i="6" s="1"/>
  <c r="U26" i="21"/>
  <c r="W36" i="39"/>
  <c r="U23" i="40"/>
  <c r="AA39" i="37"/>
  <c r="AC16" i="36"/>
  <c r="AB12" i="33"/>
  <c r="C27" i="39"/>
  <c r="U40" i="40"/>
  <c r="AC9" i="40"/>
  <c r="W36" i="35"/>
  <c r="J12" i="21"/>
  <c r="B73" i="43"/>
  <c r="B76" i="43"/>
  <c r="F9" i="36"/>
  <c r="J40" i="40"/>
  <c r="G562" i="3"/>
  <c r="AZ463" i="3"/>
  <c r="AZ489" i="3"/>
  <c r="AZ385"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BL202" i="3"/>
  <c r="AZ202" i="3" s="1"/>
  <c r="AZ30" i="3"/>
  <c r="BL36" i="3"/>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BA83" i="3"/>
  <c r="AZ83" i="3" s="1"/>
  <c r="G91" i="3"/>
  <c r="BL95" i="3"/>
  <c r="BL98" i="3"/>
  <c r="AZ98" i="3" s="1"/>
  <c r="BL109" i="3"/>
  <c r="AB21" i="21"/>
  <c r="AZ78" i="3"/>
  <c r="AZ95" i="3"/>
  <c r="G77" i="3"/>
  <c r="BA81" i="3"/>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H26" i="43" s="1"/>
  <c r="E29" i="6"/>
  <c r="K15" i="1"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D9" i="69"/>
  <c r="D9" i="68"/>
  <c r="C36" i="68"/>
  <c r="L47" i="85"/>
  <c r="M22" i="15"/>
  <c r="F6" i="15"/>
  <c r="M8" i="15"/>
  <c r="F43" i="85"/>
  <c r="F13" i="85"/>
  <c r="M23" i="85"/>
  <c r="D3" i="73"/>
  <c r="F37" i="15"/>
  <c r="D4" i="73"/>
  <c r="L48" i="85"/>
  <c r="F42" i="15"/>
  <c r="F36" i="85"/>
  <c r="F7" i="15"/>
  <c r="L48" i="15"/>
  <c r="J15" i="85"/>
  <c r="F37" i="85"/>
  <c r="M26" i="85"/>
  <c r="F16" i="15"/>
  <c r="M29" i="15"/>
  <c r="M28" i="85"/>
  <c r="F38" i="15"/>
  <c r="M6" i="85"/>
  <c r="F7" i="85"/>
  <c r="F8" i="15"/>
  <c r="F36" i="15"/>
  <c r="C76" i="15"/>
  <c r="M9" i="15"/>
  <c r="D7" i="73"/>
  <c r="M22" i="85"/>
  <c r="M6" i="15"/>
  <c r="F26" i="85"/>
  <c r="M8" i="85"/>
  <c r="M29" i="85"/>
  <c r="M26" i="15"/>
  <c r="F16" i="85"/>
  <c r="F9" i="85"/>
  <c r="F13" i="15"/>
  <c r="F42" i="85"/>
  <c r="F26" i="15"/>
  <c r="M9" i="85"/>
  <c r="F6" i="85"/>
  <c r="D19" i="12"/>
  <c r="F40" i="15"/>
  <c r="D5" i="73"/>
  <c r="M24" i="85"/>
  <c r="M23" i="15"/>
  <c r="F38" i="85"/>
  <c r="F8" i="85"/>
  <c r="C16" i="67"/>
  <c r="M24" i="15"/>
  <c r="F9" i="15"/>
  <c r="L47" i="15"/>
  <c r="M27" i="85"/>
  <c r="M28" i="15"/>
  <c r="F43" i="15"/>
  <c r="J15" i="15"/>
  <c r="C76" i="85"/>
  <c r="F40" i="85"/>
  <c r="E11" i="6" l="1"/>
  <c r="E60" i="39" s="1"/>
  <c r="E13" i="6"/>
  <c r="E58" i="40" s="1"/>
  <c r="E14" i="6"/>
  <c r="E63" i="39" s="1"/>
  <c r="E15" i="6"/>
  <c r="E64" i="39" s="1"/>
  <c r="E12" i="6"/>
  <c r="E57" i="40" s="1"/>
  <c r="M6" i="1"/>
  <c r="O6" i="1" s="1"/>
  <c r="H16" i="1"/>
  <c r="Q16" i="1"/>
  <c r="F27" i="69" s="1"/>
  <c r="F45" i="69" s="1"/>
  <c r="M59" i="85"/>
  <c r="N59" i="85"/>
  <c r="L59" i="85"/>
  <c r="L58" i="85"/>
  <c r="L56" i="85"/>
  <c r="J57" i="85"/>
  <c r="J55" i="85" s="1"/>
  <c r="J58" i="85" s="1"/>
  <c r="Q50" i="85" s="1"/>
  <c r="I54" i="85"/>
  <c r="L57" i="85"/>
  <c r="J53" i="85"/>
  <c r="L60" i="85"/>
  <c r="F68" i="85"/>
  <c r="F51" i="85"/>
  <c r="Q71" i="85"/>
  <c r="M7" i="85"/>
  <c r="J6" i="85" s="1"/>
  <c r="J19" i="85" s="1"/>
  <c r="F50" i="85"/>
  <c r="F65" i="85"/>
  <c r="C27" i="85"/>
  <c r="C6" i="85"/>
  <c r="C33" i="85" s="1"/>
  <c r="F64" i="85"/>
  <c r="F66" i="85"/>
  <c r="F71" i="85"/>
  <c r="Q71" i="15"/>
  <c r="F64" i="15"/>
  <c r="C27" i="15"/>
  <c r="F66" i="15"/>
  <c r="J53" i="15"/>
  <c r="L56" i="15" s="1"/>
  <c r="J57" i="15"/>
  <c r="J55" i="15" s="1"/>
  <c r="J58" i="15" s="1"/>
  <c r="Q50" i="15" s="1"/>
  <c r="I54" i="15"/>
  <c r="F65" i="15"/>
  <c r="C6" i="15"/>
  <c r="C32" i="15" s="1"/>
  <c r="M7" i="15"/>
  <c r="J6" i="15" s="1"/>
  <c r="J18" i="15" s="1"/>
  <c r="F50" i="15"/>
  <c r="F51" i="15"/>
  <c r="F68" i="15"/>
  <c r="F71" i="15"/>
  <c r="L58" i="15"/>
  <c r="Q73" i="15" s="1"/>
  <c r="L59" i="15"/>
  <c r="Q74" i="15" s="1"/>
  <c r="N59" i="15"/>
  <c r="M59" i="15"/>
  <c r="C19" i="12"/>
  <c r="O7" i="1"/>
  <c r="P7" i="1" s="1"/>
  <c r="F60" i="85"/>
  <c r="M11" i="85"/>
  <c r="J10" i="85" s="1"/>
  <c r="F11" i="85"/>
  <c r="E10" i="6"/>
  <c r="N370" i="46"/>
  <c r="N94" i="46"/>
  <c r="F26" i="43"/>
  <c r="G26" i="43"/>
  <c r="J26" i="43"/>
  <c r="P6" i="1"/>
  <c r="J7" i="37"/>
  <c r="O65" i="71"/>
  <c r="D66" i="71"/>
  <c r="O66" i="71"/>
  <c r="C56" i="71"/>
  <c r="D55" i="71"/>
  <c r="AZ58" i="3"/>
  <c r="AC31" i="39"/>
  <c r="W31" i="39"/>
  <c r="AC37" i="39"/>
  <c r="W37" i="39"/>
  <c r="E28" i="6"/>
  <c r="K14" i="1" s="1"/>
  <c r="K16" i="1" s="1"/>
  <c r="AZ109" i="3"/>
  <c r="AZ299" i="3"/>
  <c r="AZ209" i="3"/>
  <c r="AZ234" i="3"/>
  <c r="AZ57" i="3"/>
  <c r="AZ197" i="3"/>
  <c r="AZ121" i="3"/>
  <c r="AZ368" i="3"/>
  <c r="AZ408" i="3"/>
  <c r="AZ130" i="3"/>
  <c r="AZ277" i="3"/>
  <c r="AZ256" i="3"/>
  <c r="AZ397" i="3"/>
  <c r="AZ332" i="3"/>
  <c r="AC39" i="40"/>
  <c r="W39" i="40"/>
  <c r="AA23" i="36"/>
  <c r="S23" i="36"/>
  <c r="W45" i="21"/>
  <c r="AC45" i="21"/>
  <c r="AB31" i="39"/>
  <c r="U31" i="39"/>
  <c r="D34" i="71"/>
  <c r="C35" i="71"/>
  <c r="AB39" i="40"/>
  <c r="U39" i="40"/>
  <c r="AA25" i="37"/>
  <c r="S25" i="37"/>
  <c r="AB9" i="34"/>
  <c r="U9" i="34"/>
  <c r="AA45" i="21"/>
  <c r="S45" i="21"/>
  <c r="D20" i="53"/>
  <c r="B40" i="72" s="1"/>
  <c r="J7" i="36"/>
  <c r="E26" i="43"/>
  <c r="AZ81" i="3"/>
  <c r="AZ138" i="3"/>
  <c r="AZ285" i="3"/>
  <c r="AZ396" i="3"/>
  <c r="AZ232" i="3"/>
  <c r="AZ84" i="3"/>
  <c r="D75" i="71"/>
  <c r="C74" i="71"/>
  <c r="D74" i="71" s="1"/>
  <c r="AZ178" i="3"/>
  <c r="AZ118" i="3"/>
  <c r="AZ29" i="3"/>
  <c r="AZ25" i="3"/>
  <c r="AZ190" i="3"/>
  <c r="C52" i="71"/>
  <c r="D51" i="71"/>
  <c r="AZ244" i="3"/>
  <c r="AZ239" i="3"/>
  <c r="AZ249" i="3"/>
  <c r="AZ218" i="3"/>
  <c r="AZ273" i="3"/>
  <c r="AZ454" i="3"/>
  <c r="U23" i="35"/>
  <c r="AB23" i="35"/>
  <c r="AC28" i="33"/>
  <c r="W28" i="33"/>
  <c r="AC23" i="36"/>
  <c r="W23" i="36"/>
  <c r="AZ112" i="3"/>
  <c r="G5" i="3"/>
  <c r="B3" i="3" s="1"/>
  <c r="E449" i="3" s="1"/>
  <c r="AZ36" i="3"/>
  <c r="AZ281" i="3"/>
  <c r="AZ348" i="3"/>
  <c r="AZ108" i="3"/>
  <c r="AZ39" i="3"/>
  <c r="AZ21" i="3"/>
  <c r="AZ71" i="3"/>
  <c r="AZ51" i="3"/>
  <c r="AZ282" i="3"/>
  <c r="AZ422" i="3"/>
  <c r="AZ294" i="3"/>
  <c r="W12" i="34"/>
  <c r="AC12" i="34"/>
  <c r="AB28" i="33"/>
  <c r="U28" i="33"/>
  <c r="AB23" i="36"/>
  <c r="U23" i="36"/>
  <c r="AZ550" i="3"/>
  <c r="AA37" i="39"/>
  <c r="S37" i="39"/>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56" i="39"/>
  <c r="H7" i="34"/>
  <c r="AB7" i="34" s="1"/>
  <c r="E67" i="39"/>
  <c r="F67" i="39" s="1"/>
  <c r="J7" i="34"/>
  <c r="W7" i="34" s="1"/>
  <c r="F7" i="34"/>
  <c r="S7" i="34" s="1"/>
  <c r="AA26" i="35"/>
  <c r="S26" i="35"/>
  <c r="AC26" i="35"/>
  <c r="W26" i="35"/>
  <c r="AB26" i="35"/>
  <c r="U26" i="35"/>
  <c r="E61" i="39"/>
  <c r="E56" i="40"/>
  <c r="C9" i="69"/>
  <c r="C9" i="68"/>
  <c r="E72" i="43"/>
  <c r="B70" i="43" s="1"/>
  <c r="F31" i="6"/>
  <c r="E51" i="40"/>
  <c r="E62" i="39"/>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S7" i="36"/>
  <c r="AA7" i="36"/>
  <c r="AC7" i="37"/>
  <c r="W7" i="37"/>
  <c r="AB7" i="36"/>
  <c r="T36" i="36" s="1"/>
  <c r="G36" i="36" s="1"/>
  <c r="U7" i="36"/>
  <c r="F7" i="33"/>
  <c r="E58" i="21"/>
  <c r="AC7" i="36"/>
  <c r="W7" i="36"/>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AE8" i="1"/>
  <c r="AE12" i="1"/>
  <c r="AE10" i="1"/>
  <c r="G1" i="73"/>
  <c r="C13" i="12"/>
  <c r="F28" i="12"/>
  <c r="C16" i="85"/>
  <c r="C16" i="15"/>
  <c r="F41" i="67"/>
  <c r="E16" i="6" l="1"/>
  <c r="F27" i="68"/>
  <c r="C29" i="68" s="1"/>
  <c r="D27" i="68" s="1"/>
  <c r="E59" i="40"/>
  <c r="E60" i="40"/>
  <c r="J5" i="15"/>
  <c r="J24" i="15" s="1"/>
  <c r="F27" i="11"/>
  <c r="C29" i="11" s="1"/>
  <c r="D27" i="11" s="1"/>
  <c r="Q61" i="15"/>
  <c r="C29" i="69"/>
  <c r="D27" i="69" s="1"/>
  <c r="C47" i="69"/>
  <c r="D45" i="69" s="1"/>
  <c r="C49" i="15"/>
  <c r="Q60" i="15"/>
  <c r="C49" i="85"/>
  <c r="C61" i="85" s="1"/>
  <c r="Q52" i="15"/>
  <c r="J5" i="85"/>
  <c r="J24" i="85" s="1"/>
  <c r="J18" i="85"/>
  <c r="F1" i="15"/>
  <c r="C32" i="85"/>
  <c r="Q73" i="85"/>
  <c r="Q60" i="85"/>
  <c r="Q61" i="85"/>
  <c r="Q74" i="85"/>
  <c r="Q57" i="85"/>
  <c r="Q66" i="85"/>
  <c r="F1" i="85"/>
  <c r="Q52" i="85"/>
  <c r="C29" i="12"/>
  <c r="D28" i="12" s="1"/>
  <c r="C53" i="85"/>
  <c r="C10" i="85"/>
  <c r="C5" i="85" s="1"/>
  <c r="D26" i="43"/>
  <c r="C25" i="43" s="1"/>
  <c r="C33" i="43" s="1"/>
  <c r="E535" i="3"/>
  <c r="E28" i="3"/>
  <c r="E45" i="3"/>
  <c r="E92" i="3"/>
  <c r="E234" i="3"/>
  <c r="E67" i="3"/>
  <c r="M14" i="1"/>
  <c r="O14" i="1" s="1"/>
  <c r="O16" i="1" s="1"/>
  <c r="E30" i="6"/>
  <c r="E378" i="3"/>
  <c r="E248" i="3"/>
  <c r="E94" i="3"/>
  <c r="E219" i="3"/>
  <c r="E275" i="3"/>
  <c r="E247" i="3"/>
  <c r="E171" i="3"/>
  <c r="E27" i="3"/>
  <c r="E229" i="3"/>
  <c r="E302" i="3"/>
  <c r="E224" i="3"/>
  <c r="E58" i="3"/>
  <c r="E422" i="3"/>
  <c r="E34" i="3"/>
  <c r="E417" i="3"/>
  <c r="E139" i="3"/>
  <c r="E369" i="3"/>
  <c r="E263" i="3"/>
  <c r="E273" i="3"/>
  <c r="E124" i="3"/>
  <c r="E571" i="3"/>
  <c r="E448" i="3"/>
  <c r="E319" i="3"/>
  <c r="E163" i="3"/>
  <c r="E112" i="3"/>
  <c r="E220" i="3"/>
  <c r="E63" i="3"/>
  <c r="AY6" i="3"/>
  <c r="AY310" i="3" s="1"/>
  <c r="E118" i="3"/>
  <c r="E503" i="3"/>
  <c r="E580" i="3"/>
  <c r="E584" i="3"/>
  <c r="E115" i="3"/>
  <c r="E131" i="3"/>
  <c r="E570" i="3"/>
  <c r="E368" i="3"/>
  <c r="E175" i="3"/>
  <c r="E294" i="3"/>
  <c r="E280" i="3"/>
  <c r="E537" i="3"/>
  <c r="E244" i="3"/>
  <c r="E401" i="3"/>
  <c r="E22" i="3"/>
  <c r="E241" i="3"/>
  <c r="E142" i="3"/>
  <c r="E246" i="3"/>
  <c r="E335" i="3"/>
  <c r="E217" i="3"/>
  <c r="Z6" i="3"/>
  <c r="E228" i="3"/>
  <c r="E337" i="3"/>
  <c r="E318" i="3"/>
  <c r="E117" i="3"/>
  <c r="E121" i="3"/>
  <c r="E177" i="3"/>
  <c r="E285" i="3"/>
  <c r="E14" i="3"/>
  <c r="E87" i="3"/>
  <c r="E446" i="3"/>
  <c r="E62" i="3"/>
  <c r="E276" i="3"/>
  <c r="E158" i="3"/>
  <c r="E405" i="3"/>
  <c r="E198" i="3"/>
  <c r="E409" i="3"/>
  <c r="E575" i="3"/>
  <c r="E148" i="3"/>
  <c r="E278" i="3"/>
  <c r="AJ6" i="3"/>
  <c r="E345" i="3"/>
  <c r="E587" i="3"/>
  <c r="E380" i="3"/>
  <c r="E515" i="3"/>
  <c r="E336" i="3"/>
  <c r="E366" i="3"/>
  <c r="E429" i="3"/>
  <c r="E321" i="3"/>
  <c r="E411" i="3"/>
  <c r="E127" i="3"/>
  <c r="E149" i="3"/>
  <c r="E141" i="3"/>
  <c r="E473" i="3"/>
  <c r="E105" i="3"/>
  <c r="E497" i="3"/>
  <c r="E18" i="3"/>
  <c r="E267" i="3"/>
  <c r="E510" i="3"/>
  <c r="E499" i="3"/>
  <c r="E255" i="3"/>
  <c r="E479" i="3"/>
  <c r="E292" i="3"/>
  <c r="E484" i="3"/>
  <c r="E249" i="3"/>
  <c r="E33" i="3"/>
  <c r="E81"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P6" i="3"/>
  <c r="E166" i="3"/>
  <c r="E553" i="3"/>
  <c r="E151" i="3"/>
  <c r="E230" i="3"/>
  <c r="E290" i="3"/>
  <c r="E583" i="3"/>
  <c r="E193" i="3"/>
  <c r="E450" i="3"/>
  <c r="E31" i="3"/>
  <c r="E478" i="3"/>
  <c r="E162" i="3"/>
  <c r="E530" i="3"/>
  <c r="E143" i="3"/>
  <c r="E231" i="3"/>
  <c r="E180" i="3"/>
  <c r="E399" i="3"/>
  <c r="E277" i="3"/>
  <c r="E577" i="3"/>
  <c r="E315" i="3"/>
  <c r="E89" i="3"/>
  <c r="AO6" i="3"/>
  <c r="E557" i="3"/>
  <c r="E70" i="3"/>
  <c r="E377" i="3"/>
  <c r="E526" i="3"/>
  <c r="E509" i="3"/>
  <c r="E201" i="3"/>
  <c r="M6" i="3"/>
  <c r="E215" i="3"/>
  <c r="E563" i="3"/>
  <c r="E161" i="3"/>
  <c r="E423" i="3"/>
  <c r="X6" i="3"/>
  <c r="E119" i="3"/>
  <c r="E242" i="3"/>
  <c r="E536" i="3"/>
  <c r="E442" i="3"/>
  <c r="E554" i="3"/>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434" i="3"/>
  <c r="E481" i="3"/>
  <c r="E203" i="3"/>
  <c r="E252" i="3"/>
  <c r="E581" i="3"/>
  <c r="E334" i="3"/>
  <c r="E239" i="3"/>
  <c r="E551" i="3"/>
  <c r="E415" i="3"/>
  <c r="E382" i="3"/>
  <c r="E85" i="3"/>
  <c r="E458" i="3"/>
  <c r="E111" i="3"/>
  <c r="E269" i="3"/>
  <c r="E505" i="3"/>
  <c r="E331" i="3"/>
  <c r="E508" i="3"/>
  <c r="AR6" i="3"/>
  <c r="E261" i="3"/>
  <c r="E301" i="3"/>
  <c r="E568" i="3"/>
  <c r="E560" i="3"/>
  <c r="E106" i="3"/>
  <c r="E362" i="3"/>
  <c r="E204" i="3"/>
  <c r="E485" i="3"/>
  <c r="E531" i="3"/>
  <c r="E182" i="3"/>
  <c r="E572" i="3"/>
  <c r="E268" i="3"/>
  <c r="E579" i="3"/>
  <c r="E311" i="3"/>
  <c r="AB6" i="3"/>
  <c r="E189" i="3"/>
  <c r="E172" i="3"/>
  <c r="E135" i="3"/>
  <c r="AI6" i="3"/>
  <c r="E100" i="3"/>
  <c r="E132" i="3"/>
  <c r="E483" i="3"/>
  <c r="E240" i="3"/>
  <c r="E212" i="3"/>
  <c r="E466" i="3"/>
  <c r="E517" i="3"/>
  <c r="E152" i="3"/>
  <c r="E544" i="3"/>
  <c r="E46"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424" i="3"/>
  <c r="E256" i="3"/>
  <c r="E164" i="3"/>
  <c r="E444" i="3"/>
  <c r="E30" i="3"/>
  <c r="E516" i="3"/>
  <c r="V6" i="3"/>
  <c r="E395" i="3"/>
  <c r="E578" i="3"/>
  <c r="E314" i="3"/>
  <c r="E527" i="3"/>
  <c r="E150" i="3"/>
  <c r="E271" i="3"/>
  <c r="AS6" i="3"/>
  <c r="E384" i="3"/>
  <c r="E388" i="3"/>
  <c r="E561" i="3"/>
  <c r="E528" i="3"/>
  <c r="E350" i="3"/>
  <c r="E181" i="3"/>
  <c r="E472" i="3"/>
  <c r="E146" i="3"/>
  <c r="E74" i="3"/>
  <c r="E327" i="3"/>
  <c r="E400" i="3"/>
  <c r="E489" i="3"/>
  <c r="E211" i="3"/>
  <c r="E109" i="3"/>
  <c r="E322" i="3"/>
  <c r="E431" i="3"/>
  <c r="E514" i="3"/>
  <c r="E387" i="3"/>
  <c r="E69" i="3"/>
  <c r="E445" i="3"/>
  <c r="E191" i="3"/>
  <c r="E385" i="3"/>
  <c r="E200" i="3"/>
  <c r="E296" i="3"/>
  <c r="E487" i="3"/>
  <c r="E69" i="39"/>
  <c r="R36" i="36"/>
  <c r="C36" i="71"/>
  <c r="D35" i="71"/>
  <c r="T52" i="71"/>
  <c r="D52" i="71"/>
  <c r="D56" i="71"/>
  <c r="T56" i="71"/>
  <c r="V36" i="36"/>
  <c r="I36" i="36" s="1"/>
  <c r="E3" i="6"/>
  <c r="B14" i="74" s="1"/>
  <c r="T49" i="34"/>
  <c r="G49" i="34" s="1"/>
  <c r="G53" i="34" s="1"/>
  <c r="H53" i="34" s="1"/>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AY40" i="3"/>
  <c r="AY580" i="3"/>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15"/>
  <c r="M27" i="67"/>
  <c r="AE6" i="1"/>
  <c r="AE7" i="1"/>
  <c r="C17" i="4" l="1"/>
  <c r="B4" i="52" s="1"/>
  <c r="B43" i="72" s="1"/>
  <c r="M18" i="9"/>
  <c r="B118" i="9" s="1"/>
  <c r="B1" i="74" s="1"/>
  <c r="C47" i="68"/>
  <c r="D45" i="68" s="1"/>
  <c r="F45" i="68"/>
  <c r="AY136" i="3"/>
  <c r="AY431" i="3"/>
  <c r="AY240" i="3"/>
  <c r="AY354" i="3"/>
  <c r="AY538" i="3"/>
  <c r="BA6" i="3"/>
  <c r="AY107" i="3"/>
  <c r="AY13" i="3"/>
  <c r="AY423" i="3"/>
  <c r="BO6" i="3"/>
  <c r="AY320" i="3"/>
  <c r="AY352" i="3"/>
  <c r="AY119" i="3"/>
  <c r="AY507" i="3"/>
  <c r="AY359" i="3"/>
  <c r="AY153" i="3"/>
  <c r="AY233" i="3"/>
  <c r="AY32" i="3"/>
  <c r="AY517" i="3"/>
  <c r="AY345" i="3"/>
  <c r="AY105" i="3"/>
  <c r="AY377" i="3"/>
  <c r="AY566" i="3"/>
  <c r="AY62" i="3"/>
  <c r="AY432" i="3"/>
  <c r="AY563" i="3"/>
  <c r="AY429" i="3"/>
  <c r="AY264" i="3"/>
  <c r="AY37" i="3"/>
  <c r="AY81" i="3"/>
  <c r="AY60" i="3"/>
  <c r="L18" i="9"/>
  <c r="D37" i="11"/>
  <c r="D3" i="37"/>
  <c r="D19" i="11"/>
  <c r="C19" i="11" s="1"/>
  <c r="E6" i="6"/>
  <c r="D10" i="11" s="1"/>
  <c r="C10" i="11" s="1"/>
  <c r="D3" i="33"/>
  <c r="D3" i="34"/>
  <c r="D3" i="21"/>
  <c r="C48" i="15"/>
  <c r="C66" i="15" s="1"/>
  <c r="C48" i="85"/>
  <c r="C66" i="85" s="1"/>
  <c r="J26" i="85"/>
  <c r="C38" i="85"/>
  <c r="L36" i="43"/>
  <c r="L37" i="43" s="1"/>
  <c r="Q37" i="43" s="1"/>
  <c r="F24" i="85"/>
  <c r="AY400" i="3"/>
  <c r="AY293" i="3"/>
  <c r="AY547" i="3"/>
  <c r="AY248" i="3"/>
  <c r="AY493" i="3"/>
  <c r="AY415" i="3"/>
  <c r="AY337" i="3"/>
  <c r="AY21" i="3"/>
  <c r="AY322" i="3"/>
  <c r="AY195" i="3"/>
  <c r="AY440" i="3"/>
  <c r="AY120" i="3"/>
  <c r="AY530" i="3"/>
  <c r="AY450" i="3"/>
  <c r="AY218" i="3"/>
  <c r="AY586" i="3"/>
  <c r="AY448" i="3"/>
  <c r="AY391" i="3"/>
  <c r="AY179" i="3"/>
  <c r="AY424" i="3"/>
  <c r="AY127" i="3"/>
  <c r="BR6" i="3"/>
  <c r="AY442" i="3"/>
  <c r="AY223" i="3"/>
  <c r="AY96" i="3"/>
  <c r="AY480" i="3"/>
  <c r="AY238" i="3"/>
  <c r="AY478" i="3"/>
  <c r="AY518" i="3"/>
  <c r="AY365" i="3"/>
  <c r="AY486" i="3"/>
  <c r="AY197" i="3"/>
  <c r="AY42" i="3"/>
  <c r="AY335" i="3"/>
  <c r="AY441" i="3"/>
  <c r="AY513" i="3"/>
  <c r="AY44" i="3"/>
  <c r="AY278" i="3"/>
  <c r="AY360" i="3"/>
  <c r="AY166" i="3"/>
  <c r="AY348" i="3"/>
  <c r="AY581" i="3"/>
  <c r="AY16" i="3"/>
  <c r="AY269" i="3"/>
  <c r="AY53" i="3"/>
  <c r="AY239" i="3"/>
  <c r="AY226" i="3"/>
  <c r="BN6" i="3"/>
  <c r="AY49" i="3"/>
  <c r="AY212" i="3"/>
  <c r="AY52" i="3"/>
  <c r="AY270" i="3"/>
  <c r="AY29" i="3"/>
  <c r="AY483" i="3"/>
  <c r="AY520" i="3"/>
  <c r="AY101" i="3"/>
  <c r="AY158" i="3"/>
  <c r="AY234" i="3"/>
  <c r="AY344" i="3"/>
  <c r="AY458" i="3"/>
  <c r="AY506" i="3"/>
  <c r="AY542" i="3"/>
  <c r="AY63" i="3"/>
  <c r="AY135" i="3"/>
  <c r="AY378" i="3"/>
  <c r="AY456" i="3"/>
  <c r="BL6" i="3"/>
  <c r="AY184"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88" i="3"/>
  <c r="AY289" i="3"/>
  <c r="AY245" i="3"/>
  <c r="AY549" i="3"/>
  <c r="AY170" i="3"/>
  <c r="AY262" i="3"/>
  <c r="BH6" i="3"/>
  <c r="AY259" i="3"/>
  <c r="AY475" i="3"/>
  <c r="BQ6" i="3"/>
  <c r="AY90" i="3"/>
  <c r="AY311" i="3"/>
  <c r="AY297" i="3"/>
  <c r="AY252" i="3"/>
  <c r="AY260" i="3"/>
  <c r="AY97" i="3"/>
  <c r="AY149" i="3"/>
  <c r="AY246" i="3"/>
  <c r="AY41" i="3"/>
  <c r="AY388" i="3"/>
  <c r="AY472" i="3"/>
  <c r="AY571" i="3"/>
  <c r="AY387" i="3"/>
  <c r="AY481" i="3"/>
  <c r="AY146" i="3"/>
  <c r="AY57" i="3"/>
  <c r="AY308" i="3"/>
  <c r="AY496" i="3"/>
  <c r="AY455" i="3"/>
  <c r="AY417" i="3"/>
  <c r="AY173" i="3"/>
  <c r="AY368" i="3"/>
  <c r="AY215" i="3"/>
  <c r="AY419" i="3"/>
  <c r="AY494" i="3"/>
  <c r="AY48" i="3"/>
  <c r="AY287" i="3"/>
  <c r="AY364" i="3"/>
  <c r="AY471" i="3"/>
  <c r="AY439" i="3"/>
  <c r="AY524" i="3"/>
  <c r="AY578" i="3"/>
  <c r="AY192" i="3"/>
  <c r="AY249" i="3"/>
  <c r="AY346" i="3"/>
  <c r="AY558" i="3"/>
  <c r="AY55" i="3"/>
  <c r="AY128"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477" i="3"/>
  <c r="AY164" i="3"/>
  <c r="AY408" i="3"/>
  <c r="AY301" i="3"/>
  <c r="AY545" i="3"/>
  <c r="AY434" i="3"/>
  <c r="AY396" i="3"/>
  <c r="AY567" i="3"/>
  <c r="AY375" i="3"/>
  <c r="AY39" i="3"/>
  <c r="AY330" i="3"/>
  <c r="AY203" i="3"/>
  <c r="AY575" i="3"/>
  <c r="AY492" i="3"/>
  <c r="AY298" i="3"/>
  <c r="AY511" i="3"/>
  <c r="AY490" i="3"/>
  <c r="AY224" i="3"/>
  <c r="AY70" i="3"/>
  <c r="AY314" i="3"/>
  <c r="AY187" i="3"/>
  <c r="AY502" i="3"/>
  <c r="AY484" i="3"/>
  <c r="AY282" i="3"/>
  <c r="AY514" i="3"/>
  <c r="AY370" i="3"/>
  <c r="AY134" i="3"/>
  <c r="AY412" i="3"/>
  <c r="AY435" i="3"/>
  <c r="AY302" i="3"/>
  <c r="BG6" i="3"/>
  <c r="AY397" i="3"/>
  <c r="AY209" i="3"/>
  <c r="AY351" i="3"/>
  <c r="AY54" i="3"/>
  <c r="AY485" i="3"/>
  <c r="AY172" i="3"/>
  <c r="AY515" i="3"/>
  <c r="AY476" i="3"/>
  <c r="AY267" i="3"/>
  <c r="AY15" i="3"/>
  <c r="AY272" i="3"/>
  <c r="AY576" i="3"/>
  <c r="AY383" i="3"/>
  <c r="AY47" i="3"/>
  <c r="AY17" i="3"/>
  <c r="AY336" i="3"/>
  <c r="AY142" i="3"/>
  <c r="BD6" i="3"/>
  <c r="AY338" i="3"/>
  <c r="AY241" i="3"/>
  <c r="AY587" i="3"/>
  <c r="AY376" i="3"/>
  <c r="AY78" i="3"/>
  <c r="AY499" i="3"/>
  <c r="AY328" i="3"/>
  <c r="AY169" i="3"/>
  <c r="AY552" i="3"/>
  <c r="AY161" i="3"/>
  <c r="AY20" i="3"/>
  <c r="AY147" i="3"/>
  <c r="AY340" i="3"/>
  <c r="AY68" i="3"/>
  <c r="AY414" i="3"/>
  <c r="AY133" i="3"/>
  <c r="AY36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51" i="3"/>
  <c r="AY124" i="3"/>
  <c r="AY281" i="3"/>
  <c r="AY236" i="3"/>
  <c r="AY67" i="3"/>
  <c r="AY123" i="3"/>
  <c r="AY318" i="3"/>
  <c r="AY106" i="3"/>
  <c r="AY395" i="3"/>
  <c r="AY452" i="3"/>
  <c r="AY569" i="3"/>
  <c r="AY77"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66" i="3"/>
  <c r="AY115" i="3"/>
  <c r="AY276" i="3"/>
  <c r="AY225" i="3"/>
  <c r="AY50" i="3"/>
  <c r="AY261" i="3"/>
  <c r="AY473" i="3"/>
  <c r="AY26" i="3"/>
  <c r="AY372" i="3"/>
  <c r="AY420" i="3"/>
  <c r="AY533" i="3"/>
  <c r="AY61"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D22" i="6" s="1"/>
  <c r="AY509" i="3"/>
  <c r="AY531" i="3"/>
  <c r="AY94" i="3"/>
  <c r="AY35" i="3"/>
  <c r="AY167" i="3"/>
  <c r="AY280" i="3"/>
  <c r="AY221" i="3"/>
  <c r="AY331" i="3"/>
  <c r="AY466" i="3"/>
  <c r="AY405" i="3"/>
  <c r="AY512" i="3"/>
  <c r="AY86" i="3"/>
  <c r="AY27" i="3"/>
  <c r="AY159" i="3"/>
  <c r="AY176" i="3"/>
  <c r="AY539" i="3"/>
  <c r="AY229" i="3"/>
  <c r="AY31" i="3"/>
  <c r="AY556" i="3"/>
  <c r="AY422" i="3"/>
  <c r="AY279" i="3"/>
  <c r="AY389" i="3"/>
  <c r="AY178" i="3"/>
  <c r="AY562" i="3"/>
  <c r="AY199" i="3"/>
  <c r="AY171" i="3"/>
  <c r="AY534" i="3"/>
  <c r="AY430" i="3"/>
  <c r="AY317" i="3"/>
  <c r="AY295" i="3"/>
  <c r="AY73" i="3"/>
  <c r="AY392" i="3"/>
  <c r="AY283" i="3"/>
  <c r="AY185" i="3"/>
  <c r="AY553" i="3"/>
  <c r="AY342" i="3"/>
  <c r="AY428" i="3"/>
  <c r="AY139" i="3"/>
  <c r="AY168" i="3"/>
  <c r="AY207" i="3"/>
  <c r="M16" i="1"/>
  <c r="N16" i="1" s="1"/>
  <c r="H6" i="3"/>
  <c r="AC6" i="3"/>
  <c r="D116" i="43"/>
  <c r="F22" i="11"/>
  <c r="F24" i="67"/>
  <c r="C24" i="67" s="1"/>
  <c r="F24" i="15"/>
  <c r="C24" i="15" s="1"/>
  <c r="F22" i="69"/>
  <c r="F41" i="69" s="1"/>
  <c r="F22" i="68"/>
  <c r="F25" i="12"/>
  <c r="C26" i="12" s="1"/>
  <c r="D25" i="12" s="1"/>
  <c r="D36" i="71"/>
  <c r="T36" i="71"/>
  <c r="C17" i="71"/>
  <c r="D18" i="71"/>
  <c r="M21" i="6"/>
  <c r="I21" i="6" s="1"/>
  <c r="S21" i="6" s="1"/>
  <c r="E6" i="70"/>
  <c r="C34" i="43"/>
  <c r="E34" i="43" s="1"/>
  <c r="E33" i="43"/>
  <c r="C6" i="68" s="1"/>
  <c r="C7" i="68" s="1"/>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24" i="6"/>
  <c r="M19" i="9"/>
  <c r="C118" i="9" s="1"/>
  <c r="B2" i="74" s="1"/>
  <c r="D8" i="6"/>
  <c r="D10" i="6"/>
  <c r="D29" i="6"/>
  <c r="C18" i="4"/>
  <c r="D11" i="6"/>
  <c r="D28" i="6"/>
  <c r="H26" i="6"/>
  <c r="P14" i="1"/>
  <c r="P16" i="1"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C34" i="69"/>
  <c r="D14" i="12"/>
  <c r="F41" i="15"/>
  <c r="F41" i="85"/>
  <c r="C14" i="67"/>
  <c r="D20" i="12"/>
  <c r="C17" i="15"/>
  <c r="C17" i="67"/>
  <c r="C17" i="85"/>
  <c r="D10" i="69" l="1"/>
  <c r="C10" i="69" s="1"/>
  <c r="C8" i="69" s="1"/>
  <c r="C5" i="69" s="1"/>
  <c r="D10" i="68"/>
  <c r="D19" i="68" s="1"/>
  <c r="C60" i="15"/>
  <c r="D5" i="6"/>
  <c r="D6" i="6"/>
  <c r="D25" i="6"/>
  <c r="L16" i="1"/>
  <c r="C60" i="85"/>
  <c r="F69" i="15"/>
  <c r="F69" i="85"/>
  <c r="J29" i="85"/>
  <c r="D17" i="12"/>
  <c r="C17" i="12" s="1"/>
  <c r="C20" i="12"/>
  <c r="E7" i="70"/>
  <c r="O36" i="43"/>
  <c r="M37" i="43"/>
  <c r="P36" i="43"/>
  <c r="N37" i="43"/>
  <c r="O37" i="43"/>
  <c r="N36" i="43"/>
  <c r="P37" i="43"/>
  <c r="M36" i="43"/>
  <c r="Q36" i="43"/>
  <c r="C24" i="85"/>
  <c r="H24" i="6"/>
  <c r="R24" i="6" s="1"/>
  <c r="R11" i="1" s="1"/>
  <c r="E61" i="40"/>
  <c r="D12" i="6"/>
  <c r="D19" i="6"/>
  <c r="L19" i="9"/>
  <c r="D14" i="6"/>
  <c r="D20" i="6"/>
  <c r="D15" i="6"/>
  <c r="D13" i="6"/>
  <c r="D23" i="6"/>
  <c r="H21" i="6"/>
  <c r="D9" i="6"/>
  <c r="D26" i="6"/>
  <c r="R26" i="6" s="1"/>
  <c r="D21" i="6"/>
  <c r="H22" i="6"/>
  <c r="R22" i="6" s="1"/>
  <c r="R9" i="1" s="1"/>
  <c r="D30" i="6"/>
  <c r="H25" i="6"/>
  <c r="E6" i="3"/>
  <c r="C25" i="11"/>
  <c r="C24" i="11"/>
  <c r="C44" i="68"/>
  <c r="D41" i="68" s="1"/>
  <c r="C26" i="69"/>
  <c r="D22" i="69" s="1"/>
  <c r="C23" i="11"/>
  <c r="C26" i="11"/>
  <c r="D22" i="11" s="1"/>
  <c r="C44" i="11"/>
  <c r="D41" i="11" s="1"/>
  <c r="C26" i="68"/>
  <c r="D22" i="68" s="1"/>
  <c r="F41" i="68"/>
  <c r="C44" i="69"/>
  <c r="D41" i="69" s="1"/>
  <c r="C16" i="71"/>
  <c r="D17" i="71"/>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D7" i="74"/>
  <c r="F50" i="69"/>
  <c r="F50" i="11"/>
  <c r="F50" i="68"/>
  <c r="C4" i="52"/>
  <c r="B45" i="72" s="1"/>
  <c r="A10" i="51"/>
  <c r="B9" i="72" s="1"/>
  <c r="A7" i="51"/>
  <c r="B7" i="72" s="1"/>
  <c r="C1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1" i="12"/>
  <c r="B6" i="76"/>
  <c r="C14" i="85"/>
  <c r="E6" i="76"/>
  <c r="D19" i="69" l="1"/>
  <c r="R23" i="6"/>
  <c r="R10" i="1" s="1"/>
  <c r="R25" i="6"/>
  <c r="R12" i="1" s="1"/>
  <c r="E2" i="70"/>
  <c r="D16" i="6"/>
  <c r="R21" i="6"/>
  <c r="R8" i="1" s="1"/>
  <c r="R20" i="6"/>
  <c r="R7" i="1" s="1"/>
  <c r="D27" i="6"/>
  <c r="D31" i="6" s="1"/>
  <c r="C15" i="12"/>
  <c r="C12" i="12"/>
  <c r="C8" i="68"/>
  <c r="C5" i="68" s="1"/>
  <c r="F34" i="9" s="1"/>
  <c r="C15" i="85"/>
  <c r="C18" i="85"/>
  <c r="C22" i="1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6" i="6" l="1"/>
  <c r="I5" i="6"/>
  <c r="C23" i="68"/>
  <c r="C19" i="85"/>
  <c r="C20" i="85" s="1"/>
  <c r="C21" i="12"/>
  <c r="C22" i="12" s="1"/>
  <c r="C27" i="12" s="1"/>
  <c r="C25"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6" i="85" l="1"/>
  <c r="C23" i="85"/>
  <c r="C30" i="12"/>
  <c r="C28" i="12" s="1"/>
  <c r="C32" i="12" s="1"/>
  <c r="B2"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B3" i="12"/>
  <c r="F35" i="15"/>
  <c r="M21" i="85"/>
  <c r="F35" i="85"/>
  <c r="F35" i="67"/>
  <c r="M21" i="67"/>
  <c r="M21" i="15"/>
  <c r="C29" i="85" l="1"/>
  <c r="C57" i="85" s="1"/>
  <c r="C64" i="85" s="1"/>
  <c r="F63" i="85"/>
  <c r="C62" i="85" s="1"/>
  <c r="C59" i="85" s="1"/>
  <c r="C34" i="85"/>
  <c r="C31" i="85" s="1"/>
  <c r="J20" i="85"/>
  <c r="J17" i="85"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36" i="85" l="1"/>
  <c r="J59" i="85"/>
  <c r="J60" i="85" s="1"/>
  <c r="Q48" i="85" s="1"/>
  <c r="J14" i="85"/>
  <c r="J13" i="85" s="1"/>
  <c r="J23" i="85" s="1"/>
  <c r="Q49" i="85"/>
  <c r="C13" i="85"/>
  <c r="C37" i="85" s="1"/>
  <c r="C30" i="85" s="1"/>
  <c r="C39" i="85" s="1"/>
  <c r="Q69" i="85" s="1"/>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C20" i="9"/>
  <c r="D35" i="9"/>
  <c r="D2" i="21"/>
  <c r="L51" i="85"/>
  <c r="L46" i="85" l="1"/>
  <c r="J22" i="85"/>
  <c r="J16" i="85" s="1"/>
  <c r="J25" i="85" s="1"/>
  <c r="C103" i="9"/>
  <c r="C75" i="85"/>
  <c r="C80" i="85" s="1"/>
  <c r="C79" i="85" s="1"/>
  <c r="Q70" i="85"/>
  <c r="Q68" i="85" s="1"/>
  <c r="C56" i="85"/>
  <c r="C65" i="85" s="1"/>
  <c r="C58" i="85" s="1"/>
  <c r="C67" i="85" s="1"/>
  <c r="C68" i="85" s="1"/>
  <c r="C71" i="85" s="1"/>
  <c r="C40" i="85"/>
  <c r="Q67" i="85"/>
  <c r="C56" i="68"/>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D34" i="9"/>
  <c r="C43" i="85" l="1"/>
  <c r="C83" i="85"/>
  <c r="C82" i="85" s="1"/>
  <c r="Q47" i="85"/>
  <c r="Q53" i="85" s="1"/>
  <c r="C46" i="85"/>
  <c r="Q56" i="85"/>
  <c r="Q62" i="85" s="1"/>
  <c r="Q65" i="85"/>
  <c r="Q75" i="85" s="1"/>
  <c r="B2" i="85"/>
  <c r="B3" i="85" s="1"/>
  <c r="Q69" i="15"/>
  <c r="Q68" i="15" s="1"/>
  <c r="H41"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D2" i="35"/>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1" i="1"/>
  <c r="AO8" i="1"/>
  <c r="AO12" i="1"/>
  <c r="AO10"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D7" i="71"/>
  <c r="C6"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G19" i="9"/>
  <c r="D22" i="9"/>
  <c r="B3" i="70"/>
  <c r="D6" i="71"/>
  <c r="C5" i="71"/>
  <c r="D5" i="71" s="1"/>
  <c r="M24" i="43" s="1"/>
  <c r="C42" i="40"/>
  <c r="C43" i="40"/>
  <c r="E47" i="40"/>
  <c r="F47" i="40" s="1"/>
  <c r="E46" i="40"/>
  <c r="F46" i="40" s="1"/>
  <c r="I47" i="40"/>
  <c r="J47" i="40" s="1"/>
  <c r="D20" i="9"/>
  <c r="C32" i="9" l="1"/>
  <c r="D45" i="9"/>
  <c r="M48" i="9" s="1"/>
  <c r="M49" i="9" s="1"/>
  <c r="D14" i="74"/>
  <c r="G14" i="74" s="1"/>
  <c r="G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F35" i="9" l="1"/>
  <c r="C35" i="9"/>
  <c r="C34" i="9" s="1"/>
  <c r="F118" i="9" l="1"/>
  <c r="F4" i="52" s="1"/>
  <c r="B51" i="72" s="1"/>
  <c r="H118" i="9"/>
  <c r="I118" i="9" s="1"/>
  <c r="D118" i="9"/>
  <c r="D4" i="52" s="1"/>
  <c r="B47" i="72" s="1"/>
  <c r="D119" i="9" l="1"/>
  <c r="D5" i="52" s="1"/>
  <c r="B49" i="72" s="1"/>
  <c r="C105" i="9"/>
  <c r="H102" i="9"/>
  <c r="I4" i="52"/>
  <c r="C104" i="9"/>
  <c r="H119" i="9"/>
  <c r="H5" i="52" s="1"/>
  <c r="G118" i="9"/>
  <c r="G4" i="52" s="1"/>
  <c r="B52" i="72" s="1"/>
  <c r="H4" i="52"/>
  <c r="H101" i="9"/>
  <c r="F119" i="9"/>
  <c r="F5" i="52" s="1"/>
  <c r="B53" i="72" s="1"/>
  <c r="E14" i="74" l="1"/>
  <c r="F14" i="74"/>
  <c r="B5" i="74"/>
  <c r="D5" i="74" s="1"/>
  <c r="D7" i="53"/>
  <c r="B21" i="72" s="1"/>
  <c r="E118" i="9"/>
  <c r="E4" i="52" s="1"/>
  <c r="B48" i="72" s="1"/>
  <c r="D5" i="53"/>
  <c r="H107" i="9"/>
  <c r="B6" i="74" l="1"/>
  <c r="D6" i="74" s="1"/>
  <c r="C5" i="74"/>
  <c r="D13" i="53"/>
  <c r="H108" i="9"/>
  <c r="D122" i="9"/>
  <c r="B20" i="72"/>
  <c r="D6" i="53"/>
  <c r="B22" i="72" s="1"/>
  <c r="L67" i="9" l="1"/>
  <c r="M67" i="9" s="1"/>
  <c r="L64" i="9"/>
  <c r="M64" i="9" s="1"/>
  <c r="L66" i="9"/>
  <c r="M66" i="9" s="1"/>
  <c r="L65" i="9"/>
  <c r="M65" i="9" s="1"/>
  <c r="L68" i="9"/>
  <c r="M68" i="9" s="1"/>
  <c r="L63" i="9"/>
  <c r="M63" i="9" s="1"/>
  <c r="D59" i="9"/>
  <c r="M55" i="9" s="1"/>
  <c r="D8" i="52"/>
  <c r="D123" i="9"/>
  <c r="D9" i="52" s="1"/>
  <c r="C6" i="74"/>
  <c r="D15" i="53"/>
  <c r="B31" i="72" s="1"/>
  <c r="B30" i="72"/>
  <c r="D14" i="53"/>
  <c r="B32" i="72" s="1"/>
  <c r="M69" i="9" l="1"/>
  <c r="N69" i="9" s="1"/>
  <c r="C64" i="9" l="1"/>
  <c r="C63" i="9" s="1"/>
  <c r="C67" i="9" s="1"/>
  <c r="C68" i="9" s="1"/>
  <c r="D54" i="9" s="1"/>
  <c r="C72" i="9"/>
  <c r="C85" i="9"/>
  <c r="C93" i="9"/>
  <c r="C86" i="9" s="1"/>
  <c r="D53" i="9"/>
  <c r="D48" i="9" s="1"/>
  <c r="M52" i="9" s="1"/>
  <c r="D55" i="9"/>
  <c r="M53" i="9" s="1"/>
  <c r="C78" i="9"/>
  <c r="C73" i="9" s="1"/>
  <c r="D52" i="9"/>
  <c r="C95" i="9" l="1"/>
  <c r="C79" i="9"/>
  <c r="C80" i="9" l="1"/>
  <c r="E80" i="9" s="1"/>
  <c r="E81" i="9" s="1"/>
  <c r="C81" i="9"/>
  <c r="C96" i="9"/>
  <c r="E96" i="9" s="1"/>
  <c r="E97" i="9" s="1"/>
  <c r="C97" i="9" l="1"/>
  <c r="D58" i="9" s="1"/>
  <c r="D56" i="9" s="1"/>
  <c r="M54" i="9" s="1"/>
  <c r="N57" i="9" s="1"/>
  <c r="N59" i="9" s="1"/>
  <c r="P57" i="9" l="1"/>
  <c r="N58" i="9"/>
  <c r="I14" i="74"/>
  <c r="N60" i="9"/>
  <c r="N61" i="9"/>
  <c r="B8" i="74" l="1"/>
  <c r="C8" i="74"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<sst xmlns="http://schemas.openxmlformats.org/spreadsheetml/2006/main" count="8806" uniqueCount="3715">
  <si>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</si>
  <si>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</si>
  <si>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</si>
  <si>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</si>
  <si>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</si>
  <si>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</si>
  <si>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</si>
  <si>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</si>
  <si>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</si>
  <si>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</si>
  <si>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</si>
  <si>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</si>
  <si>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</si>
  <si>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</si>
  <si>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</si>
  <si>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</si>
  <si>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</si>
  <si>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</si>
  <si>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</si>
  <si>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</si>
  <si>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</si>
  <si>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</si>
  <si>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</si>
  <si>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</si>
  <si>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</si>
  <si>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</si>
  <si>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</si>
  <si>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</si>
  <si>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</si>
  <si>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</si>
  <si>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</si>
  <si>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</si>
  <si>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</si>
  <si>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</si>
  <si>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</si>
  <si>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</si>
  <si>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</si>
  <si>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</si>
  <si>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</si>
  <si>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</si>
  <si>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</si>
  <si>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</si>
  <si>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</si>
  <si>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</si>
  <si>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</si>
  <si>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</si>
  <si>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</si>
  <si>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</si>
  <si>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</si>
  <si>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</si>
  <si>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</si>
  <si>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</si>
  <si>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</si>
  <si>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</si>
  <si>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</si>
  <si>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</si>
  <si>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</si>
  <si>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</si>
  <si>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</si>
  <si>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</si>
  <si>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</si>
  <si>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</si>
  <si>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</si>
  <si>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</si>
  <si>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</si>
  <si>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</si>
  <si>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</si>
  <si>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</si>
  <si>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</si>
  <si>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</si>
  <si>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</si>
  <si>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</si>
  <si>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</si>
  <si>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</si>
  <si>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</si>
  <si>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</si>
  <si>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</si>
  <si>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</si>
  <si>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</si>
  <si>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</si>
  <si>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</si>
  <si>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</si>
  <si>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</si>
  <si>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</si>
  <si>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</si>
  <si>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</si>
  <si>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</si>
  <si>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</si>
  <si>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</si>
  <si>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</si>
  <si>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</si>
  <si>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</si>
  <si>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</si>
  <si>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</si>
  <si>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</si>
  <si>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</si>
  <si>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</si>
  <si>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</si>
  <si>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</si>
  <si>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</si>
  <si>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</si>
  <si>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</si>
  <si>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</si>
  <si>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</si>
  <si>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</si>
  <si>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</si>
  <si>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</si>
  <si>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</si>
  <si>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</si>
  <si>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</si>
  <si>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</si>
  <si>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</si>
  <si>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</si>
  <si>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</si>
  <si>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</si>
  <si>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</si>
  <si>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</si>
  <si>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</si>
  <si>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</si>
  <si>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</si>
  <si>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</si>
  <si>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</si>
  <si>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</si>
  <si>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</si>
  <si>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</si>
  <si>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</si>
  <si>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</si>
  <si>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</si>
  <si>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</si>
  <si>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</si>
  <si>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</si>
  <si>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</si>
  <si>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</si>
  <si>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</si>
  <si>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</si>
  <si>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</si>
  <si>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</si>
  <si>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</si>
  <si>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</si>
  <si>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</si>
  <si>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</si>
  <si>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</si>
  <si>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</si>
  <si>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</si>
  <si>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</si>
  <si>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</si>
  <si>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</si>
  <si>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</si>
  <si>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</si>
  <si>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</si>
  <si>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</si>
  <si>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</si>
  <si>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</si>
  <si>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</si>
  <si>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</si>
  <si>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</si>
  <si>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</si>
  <si>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</si>
  <si>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</si>
  <si>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</si>
  <si>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</si>
  <si>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</si>
  <si>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</si>
  <si>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</si>
  <si>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</si>
  <si>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</si>
  <si>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</si>
  <si>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</si>
  <si>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</si>
  <si>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</si>
  <si>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</si>
  <si>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</si>
  <si>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</si>
  <si>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</si>
  <si>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</si>
  <si>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</si>
  <si>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</si>
  <si>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</si>
  <si>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</si>
  <si>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</si>
  <si>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</si>
  <si>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</si>
  <si>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</si>
  <si>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</si>
  <si>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</si>
  <si>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</si>
  <si>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</si>
  <si>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</si>
  <si>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</si>
  <si>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</si>
  <si>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</si>
  <si>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</si>
  <si>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</si>
  <si>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</si>
  <si>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</si>
  <si>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</si>
  <si>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</si>
  <si>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</si>
  <si>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</si>
  <si>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</si>
  <si>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</si>
  <si>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</si>
  <si>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</si>
  <si>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</si>
  <si>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</si>
  <si>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</si>
  <si>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</si>
  <si>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</si>
  <si>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</si>
  <si>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</si>
  <si>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</si>
  <si>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</si>
  <si>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</si>
  <si>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</si>
  <si>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</si>
  <si>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</si>
  <si>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</si>
  <si>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</si>
  <si>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</si>
  <si>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</si>
  <si>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</si>
  <si>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</si>
  <si>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</si>
  <si>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</si>
  <si>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</si>
  <si>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</si>
  <si>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</si>
  <si>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</si>
  <si>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</si>
  <si>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</si>
  <si>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</si>
  <si>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</si>
  <si>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</si>
  <si>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</si>
  <si>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</si>
  <si>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</si>
  <si>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</si>
  <si>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</si>
  <si>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</si>
  <si>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</si>
  <si>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</si>
  <si>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</si>
  <si>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</si>
  <si>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</si>
  <si>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</si>
  <si>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</si>
  <si>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</si>
  <si>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</si>
  <si>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</si>
  <si>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</si>
  <si>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</si>
  <si>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</si>
  <si>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</si>
  <si>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</si>
  <si>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</si>
  <si>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</si>
  <si>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</si>
  <si>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</si>
  <si>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</si>
  <si>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</si>
  <si>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</si>
  <si>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</si>
  <si>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</si>
  <si>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</si>
  <si>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</si>
  <si>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</si>
  <si>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</si>
  <si>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</si>
  <si>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</si>
  <si>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</si>
  <si>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</si>
  <si>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</si>
  <si>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</si>
  <si>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</si>
  <si>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</si>
  <si>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</si>
  <si>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</si>
  <si>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</si>
  <si>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</si>
  <si>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</si>
  <si>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</si>
  <si>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</si>
  <si>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</si>
  <si>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</si>
  <si>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</si>
  <si>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</si>
  <si>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</si>
  <si>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</si>
  <si>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</si>
  <si>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</si>
  <si>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</si>
  <si>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</si>
  <si>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</si>
  <si>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</si>
  <si>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</si>
  <si>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</si>
  <si>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</si>
  <si>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</si>
  <si>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</si>
  <si>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</si>
  <si>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</si>
  <si>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</si>
  <si>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</si>
  <si>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</si>
  <si>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</si>
  <si>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</si>
  <si>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</si>
  <si>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</si>
  <si>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</si>
  <si>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</si>
  <si>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</si>
  <si>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</si>
  <si>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</si>
  <si>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</si>
  <si>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</si>
  <si>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</si>
  <si>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</si>
  <si>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</si>
  <si>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</si>
  <si>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</si>
  <si>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</si>
  <si>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</si>
  <si>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</si>
  <si>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</si>
  <si>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</si>
  <si>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</si>
  <si>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</si>
  <si>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</si>
  <si>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</si>
  <si>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</si>
  <si>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</si>
  <si>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</si>
  <si>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</si>
  <si>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</si>
  <si>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</si>
  <si>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</si>
  <si>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</si>
  <si>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</si>
  <si>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</si>
  <si>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</si>
  <si>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</si>
  <si>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</si>
  <si>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</si>
  <si>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</si>
  <si>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</si>
  <si>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</si>
  <si>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</si>
  <si>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</si>
  <si>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</si>
  <si>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</si>
  <si>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</si>
  <si>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</si>
  <si>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</si>
  <si>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</si>
  <si>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</si>
  <si>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</si>
  <si>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</si>
  <si>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</si>
  <si>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</si>
  <si>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</si>
  <si>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</si>
  <si>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</si>
  <si>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</si>
  <si>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</si>
  <si>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</si>
  <si>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</si>
  <si>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</si>
  <si>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</si>
  <si>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</si>
  <si>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</si>
  <si>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</si>
  <si>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</si>
  <si>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</si>
  <si>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</si>
  <si>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</si>
  <si>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</si>
  <si>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</si>
  <si>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</si>
  <si>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</si>
  <si>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</si>
  <si>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</si>
  <si>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</si>
  <si>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</si>
  <si>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</si>
  <si>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</si>
  <si>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</si>
  <si>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</si>
  <si>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</si>
  <si>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</si>
  <si>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</si>
  <si>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</si>
  <si>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</si>
  <si>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</si>
  <si>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</si>
  <si>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</si>
  <si>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</si>
  <si>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</si>
  <si>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</si>
  <si>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</si>
  <si>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</si>
  <si>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</si>
  <si>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</si>
  <si>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</si>
  <si>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</si>
  <si>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</si>
  <si>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</si>
  <si>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</si>
  <si>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</si>
  <si>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</si>
  <si>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</si>
  <si>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</si>
  <si>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</si>
  <si>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</si>
  <si>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</si>
  <si>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</si>
  <si>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</si>
  <si>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</si>
  <si>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</si>
  <si>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</si>
  <si>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</si>
  <si>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</si>
  <si>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</si>
  <si>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</si>
  <si>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</si>
  <si>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</si>
  <si>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</si>
  <si>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</si>
  <si>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</si>
  <si>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</si>
  <si>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</si>
  <si>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</si>
  <si>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</si>
  <si>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</si>
  <si>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</si>
  <si>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</si>
  <si>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</si>
  <si>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</si>
  <si>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</si>
  <si>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</si>
  <si>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</si>
  <si>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</si>
  <si>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</si>
  <si>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</si>
  <si>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</si>
  <si>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</si>
  <si>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</si>
  <si>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</si>
  <si>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</si>
  <si>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</si>
  <si>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</si>
  <si>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</si>
  <si>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</si>
  <si>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</si>
  <si>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</si>
  <si>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</si>
  <si>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</si>
  <si>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</si>
  <si>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</si>
  <si>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</si>
  <si>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</si>
  <si>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</si>
  <si>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</si>
  <si>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</si>
  <si>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</si>
  <si>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</si>
  <si>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</si>
  <si>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</si>
  <si>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</si>
  <si>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</si>
  <si>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</si>
  <si>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</si>
  <si>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</si>
  <si>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</si>
  <si>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</si>
  <si>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</si>
  <si>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</si>
  <si>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</si>
  <si>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</si>
  <si>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</si>
  <si>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</si>
  <si>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</si>
  <si>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</si>
  <si>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</si>
  <si>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</si>
  <si>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</si>
  <si>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</si>
  <si>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</si>
  <si>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</si>
  <si>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</si>
  <si>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</si>
  <si>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</si>
  <si>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</si>
  <si>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</si>
  <si>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</si>
  <si>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</si>
  <si>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</si>
  <si>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</si>
  <si>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</si>
  <si>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</si>
  <si>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</si>
  <si>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</si>
  <si>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</si>
  <si>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</si>
  <si>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</si>
  <si>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</si>
  <si>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</si>
  <si>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</si>
  <si>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</si>
  <si>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</si>
  <si>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</si>
  <si>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</si>
  <si>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</si>
  <si>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</si>
  <si>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</si>
  <si>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</si>
  <si>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</si>
  <si>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</si>
  <si>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</si>
  <si>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</si>
  <si>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</si>
  <si>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</si>
  <si>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</si>
  <si>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</si>
  <si>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</si>
  <si>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</si>
  <si>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</si>
  <si>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</si>
  <si>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</si>
  <si>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</si>
  <si>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</si>
  <si>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</si>
  <si>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</si>
  <si>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</si>
  <si>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</si>
  <si>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</si>
  <si>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</si>
  <si>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</si>
  <si>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</si>
  <si>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</si>
  <si>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</si>
  <si>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</si>
  <si>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</si>
  <si>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</si>
  <si>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</si>
  <si>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</si>
  <si>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</si>
  <si>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</si>
  <si>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</si>
  <si>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</si>
  <si>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</si>
  <si>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</si>
  <si>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</si>
  <si>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</si>
  <si>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</si>
  <si>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</si>
  <si>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</si>
  <si>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</si>
  <si>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</si>
  <si>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</si>
  <si>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</si>
  <si>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</si>
  <si>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</si>
  <si>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</si>
  <si>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</si>
  <si>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</si>
  <si>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</si>
  <si>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</si>
  <si>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</si>
  <si>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</si>
  <si>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</si>
  <si>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</si>
  <si>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</si>
  <si>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</si>
  <si>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</si>
  <si>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</si>
  <si>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</si>
  <si>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</si>
  <si>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</si>
  <si>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</si>
  <si>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</si>
  <si>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</si>
  <si>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</si>
  <si>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</si>
  <si>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</si>
  <si>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</si>
  <si>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</si>
  <si>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</si>
  <si>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</si>
  <si>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</si>
  <si>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</si>
  <si>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</si>
  <si>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</si>
  <si>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</si>
  <si>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</si>
  <si>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</si>
  <si>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</si>
  <si>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</si>
  <si>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</si>
  <si>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</si>
  <si>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</si>
  <si>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</si>
  <si>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</si>
  <si>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</si>
  <si>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</si>
  <si>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</si>
  <si>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</si>
  <si>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</si>
  <si>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</si>
  <si>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</si>
  <si>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</si>
  <si>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</si>
  <si>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</si>
  <si>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</si>
  <si>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</si>
  <si>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</si>
  <si>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</si>
  <si>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</si>
  <si>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</si>
  <si>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</si>
  <si>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</si>
  <si>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</si>
  <si>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</si>
  <si>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</si>
  <si>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</si>
  <si>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</si>
  <si>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</si>
  <si>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</si>
  <si>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</si>
  <si>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</si>
  <si>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</si>
  <si>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</si>
  <si>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</si>
  <si>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</si>
  <si>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</si>
  <si>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</si>
  <si>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</si>
  <si>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</si>
  <si>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</si>
  <si>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</si>
  <si>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</si>
  <si>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</si>
  <si>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</si>
  <si>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</si>
  <si>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</si>
  <si>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</si>
  <si>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</si>
  <si>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</si>
  <si>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</si>
  <si>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</si>
  <si>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</si>
  <si>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</si>
  <si>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</si>
  <si>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</si>
  <si>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</si>
  <si>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</si>
  <si>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</si>
  <si>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</si>
  <si>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</si>
  <si>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</si>
  <si>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</si>
  <si>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</si>
  <si>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</si>
  <si>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</si>
  <si>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</si>
  <si>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</si>
  <si>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</si>
  <si>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</si>
  <si>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</si>
  <si>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</si>
  <si>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</si>
  <si>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</si>
  <si>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</si>
  <si>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</si>
  <si>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</si>
  <si>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</si>
  <si>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</si>
  <si>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</si>
  <si>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</si>
  <si>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</si>
  <si>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</si>
  <si>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</si>
  <si>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</si>
  <si>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</si>
  <si>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</si>
  <si>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</si>
  <si>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</si>
  <si>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</si>
  <si>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</si>
  <si>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</si>
  <si>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</si>
  <si>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</si>
  <si>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</si>
  <si>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</si>
  <si>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</si>
  <si>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</si>
  <si>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</si>
  <si>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</si>
  <si>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</si>
  <si>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</si>
  <si>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</si>
  <si>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</si>
  <si>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</si>
  <si>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</si>
  <si>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</si>
  <si>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</si>
  <si>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</si>
  <si>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</si>
  <si>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</si>
  <si>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</si>
  <si>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</si>
  <si>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</si>
  <si>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</si>
  <si>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</si>
  <si>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</si>
  <si>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</si>
  <si>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</si>
  <si>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</si>
  <si>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</si>
  <si>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</si>
  <si>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</si>
  <si>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</si>
  <si>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</si>
  <si>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</si>
  <si>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</si>
  <si>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</si>
  <si>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</si>
  <si>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</si>
  <si>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</si>
  <si>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</si>
  <si>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</si>
  <si>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</si>
  <si>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</si>
  <si>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</si>
  <si>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</si>
  <si>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</si>
  <si>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</si>
  <si>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</si>
  <si>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</si>
  <si>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</si>
  <si>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</si>
  <si>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</si>
  <si>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</si>
  <si>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</si>
  <si>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</si>
  <si>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</si>
  <si>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</si>
  <si>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</si>
  <si>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</si>
  <si>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</si>
  <si>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</si>
  <si>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</si>
  <si>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</si>
  <si>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</si>
  <si>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</si>
  <si>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</si>
  <si>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</si>
  <si>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</si>
  <si>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</si>
  <si>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</si>
  <si>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</si>
  <si>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</si>
  <si>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</si>
  <si>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</si>
  <si>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</si>
  <si>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</si>
  <si>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</si>
  <si>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</si>
  <si>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</si>
  <si>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</si>
  <si>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</si>
  <si>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</si>
  <si>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</si>
  <si>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</si>
  <si>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</si>
  <si>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</si>
  <si>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</si>
  <si>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</si>
  <si>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</si>
  <si>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</si>
  <si>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</si>
  <si>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</si>
  <si>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</si>
  <si>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</si>
  <si>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</si>
  <si>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</si>
  <si>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</si>
  <si>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</si>
  <si>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</si>
  <si>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</si>
  <si>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</si>
  <si>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</si>
  <si>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</si>
  <si>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</si>
  <si>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</si>
  <si>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</si>
  <si>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</si>
  <si>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</si>
  <si>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</si>
  <si>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</si>
  <si>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</si>
  <si>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</si>
  <si>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</si>
  <si>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</si>
  <si>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</si>
  <si>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</si>
  <si>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</si>
  <si>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</si>
  <si>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</si>
  <si>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</si>
  <si>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</si>
  <si>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</si>
  <si>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</si>
  <si>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</si>
  <si>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</si>
  <si>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</si>
  <si>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</si>
  <si>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</si>
  <si>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</si>
  <si>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</si>
  <si>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</si>
  <si>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</si>
  <si>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</si>
  <si>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</si>
  <si>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</si>
  <si>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</si>
  <si>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</si>
  <si>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</si>
  <si>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</si>
  <si>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</si>
  <si>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</si>
  <si>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</si>
  <si>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</si>
  <si>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</si>
  <si>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</si>
  <si>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</si>
  <si>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</si>
  <si>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</si>
  <si>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</si>
  <si>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</si>
  <si>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</si>
  <si>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</si>
  <si>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</si>
  <si>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</si>
  <si>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</si>
  <si>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</si>
  <si>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</si>
  <si>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</si>
  <si>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</si>
  <si>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</si>
  <si>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</si>
  <si>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</si>
  <si>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</si>
  <si>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</si>
  <si>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</si>
  <si>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</si>
  <si>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</si>
  <si>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</si>
  <si>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</si>
  <si>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</si>
  <si>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</si>
  <si>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</si>
  <si>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</si>
  <si>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</si>
  <si>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</si>
  <si>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</si>
  <si>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</si>
  <si>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</si>
  <si>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</si>
  <si>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</si>
  <si>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</si>
  <si>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</si>
  <si>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</si>
  <si>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</si>
  <si>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</si>
  <si>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</si>
  <si>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</si>
  <si>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</si>
  <si>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</si>
  <si>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</si>
  <si>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</si>
  <si>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</si>
  <si>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</si>
  <si>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</si>
  <si>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</si>
  <si>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</si>
  <si>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</si>
  <si>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</si>
  <si>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</si>
  <si>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</si>
  <si>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</si>
  <si>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</si>
  <si>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</si>
  <si>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</si>
  <si>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</si>
  <si>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</si>
  <si>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</si>
  <si>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</si>
  <si>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</si>
  <si>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</si>
  <si>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</si>
  <si>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</si>
  <si>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</si>
  <si>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</si>
  <si>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</si>
  <si>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</si>
  <si>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</si>
  <si>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</si>
  <si>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</si>
  <si>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</si>
  <si>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</si>
  <si>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</si>
  <si>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</si>
  <si>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</si>
  <si>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</si>
  <si>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</si>
  <si>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</si>
  <si>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</si>
  <si>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</si>
  <si>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</si>
  <si>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</si>
  <si>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</si>
  <si>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</si>
  <si>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</si>
  <si>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</si>
  <si>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</si>
  <si>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</si>
  <si>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</si>
  <si>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</si>
  <si>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</si>
  <si>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</si>
  <si>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</si>
  <si>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</si>
  <si>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</si>
  <si>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</si>
  <si>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</si>
  <si>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</si>
  <si>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</si>
  <si>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</si>
  <si>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</si>
  <si>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</si>
  <si>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</si>
  <si>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</si>
  <si>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</si>
  <si>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</si>
  <si>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</si>
  <si>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</si>
  <si>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</si>
  <si>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</si>
  <si>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</si>
  <si>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</si>
  <si>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</si>
  <si>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</si>
  <si>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</si>
  <si>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</si>
  <si>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</si>
  <si>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</si>
  <si>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</si>
  <si>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</si>
  <si>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</si>
  <si>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</si>
  <si>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</si>
  <si>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</si>
  <si>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</si>
  <si>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</si>
  <si>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</si>
  <si>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</si>
  <si>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</si>
  <si>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</si>
  <si>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</si>
  <si>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</si>
  <si>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</si>
  <si>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</si>
  <si>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</si>
  <si>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</si>
  <si>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</si>
  <si>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</si>
  <si>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</si>
  <si>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</si>
  <si>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</si>
  <si>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</si>
  <si>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</si>
  <si>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</si>
  <si>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</si>
  <si>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</si>
  <si>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</si>
  <si>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</si>
  <si>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</si>
  <si>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</si>
  <si>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</si>
  <si>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</si>
  <si>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</si>
  <si>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</si>
  <si>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</si>
  <si>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</si>
  <si>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</si>
  <si>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</si>
  <si>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</si>
  <si>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</si>
  <si>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</si>
  <si>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</si>
  <si>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</si>
  <si>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</si>
  <si>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</si>
  <si>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</si>
  <si>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</si>
  <si>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</si>
  <si>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</si>
  <si>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</si>
  <si>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</si>
  <si>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</si>
  <si>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</si>
  <si>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</si>
  <si>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</si>
  <si>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</si>
  <si>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</si>
  <si>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</si>
  <si>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</si>
  <si>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</si>
  <si>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</si>
  <si>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</si>
  <si>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</si>
  <si>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</si>
  <si>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</si>
  <si>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</si>
  <si>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</si>
  <si>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</si>
  <si>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</si>
  <si>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</si>
  <si>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</si>
  <si>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</si>
  <si>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</si>
  <si>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</si>
  <si>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</si>
  <si>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</si>
  <si>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</si>
  <si>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</si>
  <si>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</si>
  <si>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</si>
  <si>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</si>
  <si>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</si>
  <si>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</si>
  <si>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</si>
  <si>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</si>
  <si>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</si>
  <si>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</si>
  <si>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</si>
  <si>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</si>
  <si>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</si>
  <si>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</si>
  <si>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</si>
  <si>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</si>
  <si>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</si>
  <si>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</si>
  <si>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</si>
  <si>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</si>
  <si>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</si>
  <si>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</si>
  <si>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</si>
  <si>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</si>
  <si>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</si>
  <si>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</si>
  <si>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</si>
  <si>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</si>
  <si>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</si>
  <si>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</si>
  <si>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</si>
  <si>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</si>
  <si>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</si>
  <si>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</si>
  <si>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</si>
  <si>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</si>
  <si>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</si>
  <si>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</si>
  <si>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</si>
  <si>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</si>
  <si>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</si>
  <si>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</si>
  <si>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</si>
  <si>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</si>
  <si>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</si>
  <si>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</si>
  <si>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</si>
  <si>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</si>
  <si>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</si>
  <si>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</si>
  <si>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</si>
  <si>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</si>
  <si>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</si>
  <si>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</si>
  <si>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</si>
  <si>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</si>
  <si>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</si>
  <si>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</si>
  <si>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</si>
  <si>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</si>
  <si>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</si>
  <si>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</si>
  <si>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</si>
  <si>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</si>
  <si>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</si>
  <si>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</si>
  <si>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</si>
  <si>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</si>
  <si>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</si>
  <si>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</si>
  <si>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</si>
  <si>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</si>
  <si>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</si>
  <si>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</si>
  <si>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</si>
  <si>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</si>
  <si>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</si>
  <si>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</si>
  <si>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</si>
  <si>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</si>
  <si>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</si>
  <si>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</si>
  <si>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</si>
  <si>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</si>
  <si>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</si>
  <si>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</si>
  <si>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</si>
  <si>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</si>
  <si>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</si>
  <si>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</si>
  <si>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</si>
  <si>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</si>
  <si>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</si>
  <si>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</si>
  <si>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</si>
  <si>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</si>
  <si>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</si>
  <si>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</si>
  <si>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</si>
  <si>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</si>
  <si>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</si>
  <si>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</si>
  <si>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</si>
  <si>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</si>
  <si>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</si>
  <si>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</si>
  <si>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</si>
  <si>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</si>
  <si>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</si>
  <si>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</si>
  <si>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</si>
  <si>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</si>
  <si>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</si>
  <si>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</si>
  <si>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</si>
  <si>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</si>
  <si>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</si>
  <si>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</si>
  <si>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</si>
  <si>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</si>
  <si>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</si>
  <si>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</si>
  <si>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</si>
  <si>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</si>
  <si>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</si>
  <si>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</si>
  <si>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</si>
  <si>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</si>
  <si>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</si>
  <si>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</si>
  <si>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</si>
  <si>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</si>
  <si>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</si>
  <si>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</si>
  <si>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</si>
  <si>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</si>
  <si>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</si>
  <si>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</si>
  <si>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</si>
  <si>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</si>
  <si>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</si>
  <si>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</si>
  <si>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</si>
  <si>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</si>
  <si>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</si>
  <si>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</si>
  <si>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</si>
  <si>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</si>
  <si>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</si>
  <si>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</si>
  <si>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</si>
  <si>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</si>
  <si>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</si>
  <si>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</si>
  <si>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</si>
  <si>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</si>
  <si>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</si>
  <si>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</si>
  <si>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</si>
  <si>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</si>
  <si>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</si>
  <si>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</si>
  <si>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</si>
  <si>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</si>
  <si>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</si>
  <si>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</si>
  <si>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</si>
  <si>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</si>
  <si>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</si>
  <si>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</si>
  <si>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</si>
  <si>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</si>
  <si>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</si>
  <si>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</si>
  <si>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</si>
  <si>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</si>
  <si>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</si>
  <si>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</si>
  <si>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</si>
  <si>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</si>
  <si>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</si>
  <si>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</si>
  <si>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</si>
  <si>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</si>
  <si>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</si>
  <si>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</si>
  <si>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</si>
  <si>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</si>
  <si>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</si>
  <si>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</si>
  <si>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</si>
  <si>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</si>
  <si>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</si>
  <si>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</si>
  <si>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</si>
  <si>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</si>
  <si>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</si>
  <si>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</si>
  <si>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</si>
  <si>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</si>
  <si>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</si>
  <si>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</si>
  <si>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</si>
  <si>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</si>
  <si>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</si>
  <si>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</si>
  <si>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</si>
  <si>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</si>
  <si>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</si>
  <si>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</si>
  <si>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</si>
  <si>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</si>
  <si>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</si>
  <si>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</si>
  <si>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</si>
  <si>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</si>
  <si>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</si>
  <si>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</si>
  <si>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</si>
  <si>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</si>
  <si>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</si>
  <si>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</si>
  <si>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</si>
  <si>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</si>
  <si>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</si>
  <si>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</si>
  <si>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</si>
  <si>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</si>
  <si>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</si>
  <si>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</si>
  <si>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</si>
  <si>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</si>
  <si>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</si>
  <si>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</si>
  <si>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</si>
  <si>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</si>
  <si>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</si>
  <si>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</si>
  <si>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</si>
  <si>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</si>
  <si>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</si>
  <si>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</si>
  <si>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</si>
  <si>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</si>
  <si>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</si>
  <si>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</si>
  <si>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</si>
  <si>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</si>
  <si>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</si>
  <si>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</si>
  <si>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</si>
  <si>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</si>
  <si>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</si>
  <si>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</si>
  <si>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</si>
  <si>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</si>
  <si>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</si>
  <si>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</si>
  <si>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</si>
  <si>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</si>
  <si>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</si>
  <si>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</si>
  <si>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</si>
  <si>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</si>
  <si>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</si>
  <si>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</si>
  <si>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</si>
  <si>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</si>
  <si>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</si>
  <si>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</si>
  <si>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</si>
  <si>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</si>
  <si>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</si>
  <si>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</si>
  <si>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</si>
  <si>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</si>
  <si>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</si>
  <si>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</si>
  <si>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</si>
  <si>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</si>
  <si>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</si>
  <si>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</si>
  <si>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</si>
  <si>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</si>
  <si>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</si>
  <si>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</si>
  <si>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</si>
  <si>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</si>
  <si>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</si>
  <si>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</si>
  <si>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</si>
  <si>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</si>
  <si>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</si>
  <si>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</si>
  <si>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</si>
  <si>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</si>
  <si>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</si>
  <si>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</si>
  <si>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</si>
  <si>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</si>
  <si>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</si>
  <si>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</si>
  <si>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</si>
  <si>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</si>
  <si>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</si>
  <si>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</si>
  <si>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</si>
  <si>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</si>
  <si>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</si>
  <si>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</si>
  <si>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</si>
  <si>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</si>
  <si>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</si>
  <si>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</si>
  <si>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</si>
  <si>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</si>
  <si>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</si>
  <si>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</si>
  <si>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</si>
  <si>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</si>
  <si>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</si>
  <si>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</si>
  <si>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</si>
  <si>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</si>
  <si>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</si>
  <si>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</si>
  <si>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</si>
  <si>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</si>
  <si>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</si>
  <si>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</si>
  <si>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</si>
  <si>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</si>
  <si>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</si>
  <si>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</si>
  <si>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</si>
  <si>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</si>
  <si>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</si>
  <si>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</si>
  <si>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</si>
  <si>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</si>
  <si>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</si>
  <si>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</si>
  <si>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</si>
  <si>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</si>
  <si>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</si>
  <si>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</si>
  <si>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</si>
  <si>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</si>
  <si>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</si>
  <si>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</si>
  <si>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</si>
  <si>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</si>
  <si>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</si>
  <si>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</si>
  <si>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</si>
  <si>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</si>
  <si>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</si>
  <si>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</si>
  <si>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</si>
  <si>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</si>
  <si>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</si>
  <si>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</si>
  <si>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</si>
  <si>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</si>
  <si>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</si>
  <si>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</si>
  <si>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</si>
  <si>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</si>
  <si>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</si>
  <si>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</si>
  <si>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</si>
  <si>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</si>
  <si>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</si>
  <si>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</si>
  <si>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</si>
  <si>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</si>
  <si>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</si>
  <si>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</si>
  <si>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</si>
  <si>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</si>
  <si>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</si>
  <si>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</si>
  <si>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</si>
  <si>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</si>
  <si>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</si>
  <si>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</si>
  <si>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</si>
  <si>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</si>
  <si>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</si>
  <si>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</si>
  <si>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</si>
  <si>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</si>
  <si>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</si>
  <si>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</si>
  <si>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</si>
  <si>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</si>
  <si>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</si>
  <si>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</si>
  <si>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</si>
  <si>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</si>
  <si>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</si>
  <si>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</si>
  <si>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</si>
  <si>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</si>
  <si>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</si>
  <si>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</si>
  <si>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</si>
  <si>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</si>
  <si>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</si>
  <si>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</si>
  <si>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</si>
  <si>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</si>
  <si>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</si>
  <si>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</si>
  <si>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</si>
  <si>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</si>
  <si>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</si>
  <si>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</si>
  <si>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</si>
  <si>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</si>
  <si>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</si>
  <si>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</si>
  <si>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</si>
  <si>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</si>
  <si>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</si>
  <si>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</si>
  <si>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</si>
  <si>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</si>
  <si>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</si>
  <si>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</si>
  <si>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</si>
  <si>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</si>
  <si>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</si>
  <si>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</si>
  <si>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</si>
  <si>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</si>
  <si>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</si>
  <si>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</si>
  <si>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</si>
  <si>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</si>
  <si>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</si>
  <si>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</si>
  <si>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</si>
  <si>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</si>
  <si>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</si>
  <si>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</si>
  <si>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</si>
  <si>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</si>
  <si>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</si>
  <si>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</si>
  <si>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</si>
  <si>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</si>
  <si>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</si>
  <si>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</si>
  <si>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</si>
  <si>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</si>
  <si>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</si>
  <si>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</si>
  <si>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</si>
  <si>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</si>
  <si>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</si>
  <si>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</si>
  <si>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</si>
  <si>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</si>
  <si>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</si>
  <si>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</si>
  <si>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</si>
  <si>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</si>
  <si>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</si>
  <si>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</si>
  <si>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</si>
  <si>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</si>
  <si>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</si>
  <si>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</si>
  <si>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</si>
  <si>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</si>
  <si>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</si>
  <si>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</si>
  <si>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</si>
  <si>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</si>
  <si>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</si>
  <si>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</si>
  <si>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</si>
  <si>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</si>
  <si>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</si>
  <si>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</si>
  <si>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</si>
  <si>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</si>
  <si>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</si>
  <si>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</si>
  <si>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</si>
  <si>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</si>
  <si>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</si>
  <si>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</si>
  <si>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</si>
  <si>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</si>
  <si>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</si>
  <si>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</si>
  <si>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</si>
  <si>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</si>
  <si>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</si>
  <si>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</si>
  <si>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</si>
  <si>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</si>
  <si>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</si>
  <si>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</si>
  <si>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</si>
  <si>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</si>
  <si>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</si>
  <si>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</si>
  <si>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</si>
  <si>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</si>
  <si>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</si>
  <si>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</si>
  <si>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</si>
  <si>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</si>
  <si>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</si>
  <si>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</si>
  <si>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</si>
  <si>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</si>
  <si>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</si>
  <si>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</si>
  <si>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</si>
  <si>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</si>
  <si>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</si>
  <si>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</si>
  <si>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</si>
  <si>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</si>
  <si>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</si>
  <si>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</si>
  <si>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</si>
  <si>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</si>
  <si>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</si>
  <si>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</si>
  <si>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</si>
  <si>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</si>
  <si>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</si>
  <si>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</si>
  <si>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</si>
  <si>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</si>
  <si>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</si>
  <si>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</si>
  <si>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</si>
  <si>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</si>
  <si>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</si>
  <si>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</si>
  <si>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</si>
  <si>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</si>
  <si>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</si>
  <si>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</si>
  <si>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</si>
  <si>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</si>
  <si>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</si>
  <si>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</si>
  <si>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</si>
  <si>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</si>
  <si>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</si>
  <si>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</si>
  <si>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</si>
  <si>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</si>
  <si>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</si>
  <si>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</si>
  <si>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</si>
  <si>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</si>
  <si>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</si>
  <si>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</si>
  <si>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</si>
  <si>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</si>
  <si>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</si>
  <si>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</si>
  <si>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</si>
  <si>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</si>
  <si>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</si>
  <si>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</si>
  <si>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</si>
  <si>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</si>
  <si>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</si>
  <si>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</si>
  <si>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</si>
  <si>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</si>
  <si>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</si>
  <si>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</si>
  <si>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</si>
  <si>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</si>
  <si>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</si>
  <si>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</si>
  <si>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</si>
  <si>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</si>
  <si>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</si>
  <si>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</si>
  <si>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</si>
  <si>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</si>
  <si>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</si>
  <si>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</si>
  <si>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</si>
  <si>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</si>
  <si>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</si>
  <si>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</si>
  <si>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</si>
  <si>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</si>
  <si>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</si>
  <si>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</si>
  <si>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</si>
  <si>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</si>
  <si>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</si>
  <si>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</si>
  <si>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</si>
  <si>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</si>
  <si>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</si>
  <si>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</si>
  <si>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</si>
  <si>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</si>
  <si>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</si>
  <si>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</si>
  <si>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</si>
  <si>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</si>
  <si>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</si>
  <si>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</si>
  <si>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</si>
  <si>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</si>
  <si>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</si>
  <si>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</si>
  <si>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</si>
  <si>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</si>
  <si>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</si>
  <si>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</si>
  <si>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</si>
  <si>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</si>
  <si>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</si>
  <si>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</si>
  <si>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</si>
  <si>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</si>
  <si>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</si>
  <si>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</si>
  <si>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</si>
  <si>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</si>
  <si>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</si>
  <si>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</si>
  <si>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</si>
  <si>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</si>
  <si>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</si>
  <si>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</si>
  <si>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</si>
  <si>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</si>
  <si>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</si>
  <si>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</si>
  <si>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</si>
  <si>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</si>
  <si>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</si>
  <si>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</si>
  <si>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</si>
  <si>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</si>
  <si>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</si>
  <si>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</si>
  <si>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</si>
  <si>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</si>
  <si>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</si>
  <si>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</si>
  <si>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</si>
  <si>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</si>
  <si>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</si>
  <si>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</si>
  <si>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</si>
  <si>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</si>
  <si>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</si>
  <si>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</si>
  <si>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</si>
  <si>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</si>
  <si>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</si>
  <si>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</si>
  <si>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</si>
  <si>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</si>
  <si>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</si>
  <si>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</si>
  <si>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</si>
  <si>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</si>
  <si>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</si>
  <si>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</si>
  <si>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</si>
  <si>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</si>
  <si>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</si>
  <si>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</si>
  <si>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</si>
  <si>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</si>
  <si>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</si>
  <si>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</si>
  <si>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</si>
  <si>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</si>
  <si>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</si>
  <si>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</si>
  <si>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</si>
  <si>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</si>
  <si>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</si>
  <si>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</si>
  <si>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</si>
  <si>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</si>
  <si>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</si>
  <si>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</si>
  <si>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</si>
  <si>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</si>
  <si>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</si>
  <si>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</si>
  <si>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</si>
  <si>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</si>
  <si>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</si>
  <si>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</si>
  <si>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</si>
  <si>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</si>
  <si>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</si>
  <si>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</si>
  <si>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</si>
  <si>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</si>
  <si>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</si>
  <si>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</si>
  <si>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</si>
  <si>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</si>
  <si>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</si>
  <si>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</si>
  <si>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</si>
  <si>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</si>
  <si>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</si>
  <si>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</si>
  <si>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</si>
  <si>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</si>
  <si>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</si>
  <si>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</si>
  <si>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</si>
  <si>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</si>
  <si>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</si>
  <si>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</si>
  <si>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</si>
  <si>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</si>
  <si>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</si>
  <si>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</si>
  <si>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</si>
  <si>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</si>
  <si>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</si>
  <si>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</si>
  <si>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</si>
  <si>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</si>
  <si>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</si>
  <si>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</si>
  <si>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</si>
  <si>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</si>
  <si>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</si>
  <si>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</si>
  <si>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</si>
  <si>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</si>
  <si>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</si>
  <si>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</si>
  <si>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</si>
  <si>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</si>
  <si>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</si>
  <si>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</si>
  <si>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</si>
  <si>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</si>
  <si>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</si>
  <si>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</si>
  <si>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</si>
  <si>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</si>
  <si>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</si>
  <si>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</si>
  <si>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</si>
  <si>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</si>
  <si>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</si>
  <si>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</si>
  <si>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</si>
  <si>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</si>
  <si>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</si>
  <si>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</si>
  <si>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</si>
  <si>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</si>
  <si>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</si>
  <si>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</si>
  <si>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</si>
  <si>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</si>
  <si>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</si>
  <si>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</si>
  <si>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</si>
  <si>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</si>
  <si>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</si>
  <si>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</si>
  <si>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</si>
  <si>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</si>
  <si>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</si>
  <si>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</si>
  <si>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</si>
  <si>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</si>
  <si>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</si>
  <si>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</si>
  <si>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</si>
  <si>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</si>
  <si>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</si>
  <si>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</si>
  <si>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</si>
  <si>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</si>
  <si>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</si>
  <si>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</si>
  <si>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</si>
  <si>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</si>
  <si>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</si>
  <si>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</si>
  <si>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</si>
  <si>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</si>
  <si>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</si>
  <si>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</si>
  <si>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</si>
  <si>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</si>
  <si>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</si>
  <si>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</si>
  <si>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</si>
  <si>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</si>
  <si>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</si>
  <si>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</si>
  <si>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</si>
  <si>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</si>
  <si>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</si>
  <si>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</si>
  <si>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</si>
  <si>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</si>
  <si>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</si>
  <si>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</si>
  <si>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</si>
  <si>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</si>
  <si>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</si>
  <si>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</si>
  <si>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</si>
  <si>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</si>
  <si>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</si>
  <si>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</si>
  <si>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</si>
  <si>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</si>
  <si>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</si>
  <si>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</si>
  <si>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</si>
  <si>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</si>
  <si>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</si>
  <si>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</si>
  <si>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</si>
  <si>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</si>
  <si>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</si>
  <si>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</si>
  <si>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</si>
  <si>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</si>
  <si>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</si>
  <si>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</si>
  <si>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</si>
  <si>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</si>
  <si>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</si>
  <si>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</si>
  <si>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</si>
  <si>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</si>
  <si>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</si>
  <si>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</si>
  <si>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</si>
  <si>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</si>
  <si>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</si>
  <si>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</si>
  <si>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</si>
  <si>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</si>
  <si>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</si>
  <si>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</si>
  <si>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</si>
  <si>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</si>
  <si>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</si>
  <si>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</si>
  <si>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</si>
  <si>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</si>
  <si>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</si>
  <si>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</si>
  <si>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</si>
  <si>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</si>
  <si>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</si>
  <si>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</si>
  <si>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</si>
  <si>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</si>
  <si>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</si>
  <si>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</si>
  <si>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</si>
  <si>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</si>
  <si>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</si>
  <si>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</si>
  <si>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</si>
  <si>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</si>
  <si>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</si>
  <si>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</si>
  <si>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</si>
  <si>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</si>
  <si>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</si>
  <si>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</si>
  <si>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</si>
  <si>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</si>
  <si>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</si>
  <si>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</si>
  <si>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</si>
  <si>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</si>
  <si>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</si>
  <si>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</si>
  <si>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</si>
  <si>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</si>
  <si>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</si>
  <si>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</si>
  <si>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</si>
  <si>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</si>
  <si>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</si>
  <si>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</si>
  <si>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</si>
  <si>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</si>
  <si>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</si>
  <si>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</si>
  <si>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</si>
  <si>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</si>
  <si>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</si>
  <si>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</si>
  <si>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</si>
  <si>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</si>
  <si>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</si>
  <si>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</si>
  <si>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</si>
  <si>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</si>
  <si>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</si>
  <si>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</si>
  <si>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</si>
  <si>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</si>
  <si>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</si>
  <si>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</si>
  <si>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</si>
  <si>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</si>
  <si>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</si>
  <si>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</si>
  <si>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</si>
  <si>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</si>
  <si>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</si>
  <si>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</si>
  <si>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</si>
  <si>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</si>
  <si>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</si>
  <si>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</si>
  <si>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</si>
  <si>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</si>
  <si>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</si>
  <si>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</si>
  <si>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</si>
  <si>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</si>
  <si>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</si>
  <si>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</si>
  <si>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</si>
  <si>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</si>
  <si>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</si>
  <si>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</si>
  <si>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</si>
  <si>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</si>
  <si>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</si>
  <si>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</si>
  <si>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</si>
  <si>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</si>
  <si>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</si>
  <si>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</si>
  <si>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</si>
  <si>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</si>
  <si>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</si>
  <si>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</si>
  <si>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</si>
  <si>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</si>
  <si>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</si>
  <si>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</si>
  <si>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</si>
  <si>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</si>
  <si>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</si>
  <si>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</si>
  <si>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</si>
  <si>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</si>
  <si>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</si>
  <si>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</si>
  <si>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</si>
  <si>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</si>
  <si>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</si>
  <si>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</si>
  <si>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</si>
  <si>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</si>
  <si>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</si>
  <si>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</si>
  <si>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</si>
  <si>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</si>
  <si>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</si>
  <si>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</si>
  <si>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</si>
  <si>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</si>
  <si>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</si>
  <si>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</si>
  <si>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</si>
  <si>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</si>
  <si>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</si>
  <si>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</si>
  <si>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</si>
  <si>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</si>
  <si>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</si>
  <si>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</si>
  <si>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</si>
  <si>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</si>
  <si>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</si>
  <si>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</si>
  <si>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</si>
  <si>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</si>
  <si>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</si>
  <si>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</si>
  <si>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</si>
  <si>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</si>
  <si>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</si>
  <si>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</si>
  <si>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</si>
  <si>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</si>
  <si>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</si>
  <si>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</si>
  <si>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</si>
  <si>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</si>
  <si>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</si>
  <si>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</si>
  <si>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</si>
  <si>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</si>
  <si>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</si>
  <si>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</si>
  <si>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</si>
  <si>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</si>
  <si>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</si>
  <si>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</si>
  <si>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</si>
  <si>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</si>
  <si>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</si>
  <si>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</si>
  <si>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</si>
  <si>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</si>
  <si>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</si>
  <si>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</si>
  <si>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</si>
  <si>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</si>
  <si>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</si>
  <si>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</si>
  <si>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</si>
  <si>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</si>
  <si>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</si>
  <si>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</si>
  <si>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</si>
  <si>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</si>
  <si>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</si>
  <si>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</si>
  <si>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</si>
  <si>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</si>
  <si>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</si>
  <si>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</si>
  <si>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</si>
  <si>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</si>
  <si>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</si>
  <si>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</si>
  <si>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</si>
  <si>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</si>
  <si>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</si>
  <si>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</si>
  <si>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</si>
  <si>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</si>
  <si>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</si>
  <si>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</si>
  <si>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</si>
  <si>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</si>
  <si>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</si>
  <si>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</si>
  <si>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</si>
  <si>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</si>
  <si>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</si>
  <si>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</si>
  <si>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</si>
  <si>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</si>
  <si>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</si>
  <si>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</si>
  <si>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</si>
  <si>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</si>
  <si>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</si>
  <si>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</si>
  <si>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</si>
  <si>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</si>
  <si>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</si>
  <si>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</si>
  <si>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</si>
  <si>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</si>
  <si>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</si>
  <si>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</si>
  <si>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</si>
  <si>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</si>
  <si>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</si>
  <si>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</si>
  <si>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</si>
  <si>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</si>
  <si>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</si>
  <si>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</si>
  <si>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</si>
  <si>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</si>
  <si>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</si>
  <si>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</si>
  <si>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</si>
  <si>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</si>
  <si>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</si>
  <si>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</si>
  <si>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</si>
  <si>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</si>
  <si>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</si>
  <si>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</si>
  <si>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</si>
  <si>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</si>
  <si>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</si>
  <si>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</si>
  <si>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</si>
  <si>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</si>
  <si>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</si>
  <si>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</si>
  <si>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</si>
  <si>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</si>
  <si>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</si>
  <si>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</si>
  <si>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</si>
  <si>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</si>
  <si>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</si>
  <si>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</si>
  <si>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</si>
  <si>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</si>
  <si>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</si>
  <si>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</si>
  <si>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</si>
  <si>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</si>
  <si>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</si>
  <si>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</si>
  <si>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</si>
  <si>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</si>
  <si>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</si>
  <si>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</si>
  <si>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</si>
  <si>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</si>
  <si>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</si>
  <si>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</si>
  <si>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</si>
  <si>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</si>
  <si>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</si>
  <si>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</si>
  <si>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</si>
  <si>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</si>
  <si>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</si>
  <si>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</si>
  <si>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</si>
  <si>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</si>
  <si>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</si>
  <si>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</si>
  <si>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</si>
  <si>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</si>
  <si>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</si>
  <si>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</si>
  <si>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</si>
  <si>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</si>
  <si>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</si>
  <si>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</si>
  <si>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</si>
  <si>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</si>
  <si>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</si>
  <si>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</si>
  <si>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</si>
  <si>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</si>
  <si>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</si>
  <si>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</si>
  <si>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</si>
  <si>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</si>
  <si>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</si>
  <si>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</si>
  <si>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</si>
  <si>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</si>
  <si>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</si>
  <si>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</si>
  <si>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</si>
  <si>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</si>
  <si>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</si>
  <si>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</si>
  <si>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</si>
  <si>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</si>
  <si>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</si>
  <si>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</si>
  <si>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</si>
  <si>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</si>
  <si>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</si>
  <si>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</si>
  <si>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</si>
  <si>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</si>
  <si>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</si>
  <si>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</si>
  <si>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</si>
  <si>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</si>
  <si>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</si>
  <si>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</si>
  <si>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</si>
  <si>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</si>
  <si>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</si>
  <si>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</si>
  <si>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</si>
  <si>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</si>
  <si>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</si>
  <si>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</si>
  <si>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</si>
  <si>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</si>
  <si>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</si>
  <si>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</si>
  <si>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</si>
  <si>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</si>
  <si>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</si>
  <si>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</si>
  <si>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</si>
  <si>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</si>
  <si>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</si>
  <si>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</si>
  <si>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</si>
  <si>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</si>
  <si>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</si>
  <si>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</si>
  <si>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</si>
  <si>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</si>
  <si>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</si>
  <si>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</si>
  <si>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</si>
  <si>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</si>
  <si>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</si>
  <si>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</si>
  <si>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</si>
  <si>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</si>
  <si>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</si>
  <si>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</si>
  <si>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</si>
  <si>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</si>
  <si>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</si>
  <si>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</si>
  <si>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</si>
  <si>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</si>
  <si>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</si>
  <si>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</si>
  <si>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</si>
  <si>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</si>
  <si>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</si>
  <si>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</si>
  <si>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</si>
  <si>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</si>
  <si>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</si>
  <si>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</si>
  <si>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</si>
  <si>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</si>
  <si>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</si>
  <si>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</si>
  <si>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</si>
  <si>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</si>
  <si>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</si>
  <si>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</si>
  <si>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</si>
  <si>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</si>
  <si>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</si>
  <si>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</si>
  <si>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</si>
  <si>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</si>
  <si>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</si>
  <si>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</si>
  <si>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</si>
  <si>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</si>
  <si>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</si>
  <si>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</si>
  <si>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</si>
  <si>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</si>
  <si>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</si>
  <si>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</si>
  <si>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</si>
  <si>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</si>
  <si>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</si>
  <si>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</si>
  <si>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</si>
  <si>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</si>
  <si>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</si>
  <si>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</si>
  <si>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</si>
  <si>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</si>
  <si>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</si>
  <si>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</si>
  <si>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</si>
  <si>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</si>
  <si>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</si>
  <si>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</si>
  <si>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</si>
  <si>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</si>
  <si>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</si>
  <si>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</si>
  <si>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</si>
  <si>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</si>
  <si>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</si>
  <si>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</si>
  <si>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</si>
  <si>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</si>
  <si>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</si>
  <si>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</si>
  <si>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</si>
  <si>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</si>
  <si>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</si>
  <si>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</si>
  <si>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</si>
  <si>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</si>
  <si>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</si>
  <si>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</si>
  <si>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</si>
  <si>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</si>
  <si>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</si>
  <si>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</si>
  <si>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</si>
  <si>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</si>
  <si>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</si>
  <si>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</si>
  <si>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</si>
  <si>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</si>
  <si>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</si>
  <si>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</si>
  <si>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</si>
  <si>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</si>
  <si>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</si>
  <si>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</si>
  <si>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</si>
  <si>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</si>
  <si>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</si>
  <si>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</si>
  <si>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</si>
  <si>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</si>
  <si>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</si>
  <si>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</si>
  <si>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</si>
  <si>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</si>
  <si>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</si>
  <si>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</si>
  <si>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</si>
  <si>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</si>
  <si>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</si>
  <si>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</si>
  <si>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</si>
  <si>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</si>
  <si>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</si>
  <si>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</si>
  <si>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</si>
  <si>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</si>
  <si>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</si>
  <si>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</si>
  <si>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</si>
  <si>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</si>
  <si>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</si>
  <si>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</si>
  <si>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</si>
  <si>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</si>
  <si>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</si>
  <si>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</si>
  <si>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</si>
  <si>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</si>
  <si>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</si>
  <si>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</si>
  <si>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</si>
  <si>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</si>
  <si>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</si>
  <si>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</si>
  <si>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</si>
  <si>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</si>
  <si>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</si>
  <si>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</si>
  <si>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</si>
  <si>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</si>
  <si>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</si>
  <si>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</si>
  <si>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</si>
  <si>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</si>
  <si>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</si>
  <si>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</si>
  <si>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</si>
  <si>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</si>
  <si>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</si>
  <si>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</si>
  <si>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</si>
  <si>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</si>
  <si>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</si>
  <si>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</si>
  <si>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</si>
  <si>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</si>
  <si>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</si>
  <si>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</si>
  <si>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</si>
  <si>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</si>
  <si>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</si>
  <si>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</si>
  <si>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</si>
  <si>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</si>
  <si>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</si>
  <si>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</si>
  <si>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</si>
  <si>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</si>
  <si>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</si>
  <si>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</si>
  <si>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</si>
  <si>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</si>
  <si>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</si>
  <si>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</si>
  <si>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</si>
  <si>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</si>
  <si>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</si>
  <si>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</si>
  <si>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</si>
  <si>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</si>
  <si>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</si>
  <si>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</si>
  <si>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</si>
  <si>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</si>
  <si>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</si>
  <si>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</si>
  <si>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</si>
  <si>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</si>
  <si>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</si>
  <si>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</si>
  <si>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</si>
  <si>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</si>
  <si>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</si>
  <si>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</si>
  <si>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</si>
  <si>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</si>
  <si>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</si>
  <si>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</si>
  <si>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</si>
  <si>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</si>
  <si>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</si>
  <si>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</si>
  <si>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</si>
  <si>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</si>
  <si>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</si>
  <si>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</si>
  <si>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</si>
  <si>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</si>
  <si>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</si>
  <si>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</si>
  <si>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</si>
  <si>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</si>
  <si>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</si>
  <si>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</si>
  <si>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</si>
  <si>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</si>
  <si>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</si>
  <si>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</si>
  <si>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</si>
  <si>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</si>
  <si>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</si>
  <si>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</si>
  <si>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</si>
  <si>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</si>
  <si>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</si>
  <si>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</si>
  <si>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</si>
  <si>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</si>
  <si>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</si>
  <si>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</si>
  <si>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</si>
  <si>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</si>
  <si>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</si>
  <si>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</si>
  <si>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</si>
  <si>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</si>
  <si>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</si>
  <si>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</si>
  <si>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</si>
  <si>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</si>
  <si>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</si>
  <si>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</si>
  <si>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</si>
  <si>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</si>
  <si>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</si>
  <si>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</si>
  <si>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</si>
  <si>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</si>
  <si>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</si>
  <si>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</si>
  <si>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</si>
  <si>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</si>
  <si>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</si>
  <si>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</si>
  <si>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</si>
  <si>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</si>
  <si>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</si>
  <si>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</si>
  <si>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</si>
  <si>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</si>
  <si>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</si>
  <si>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</si>
  <si>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</si>
  <si>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</si>
  <si>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</si>
  <si>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</si>
  <si>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</si>
  <si>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</si>
  <si>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</si>
  <si>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</si>
  <si>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</si>
  <si>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</si>
  <si>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</si>
  <si>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</si>
  <si>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</si>
  <si>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</si>
  <si>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</si>
  <si>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</si>
  <si>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</si>
  <si>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</si>
  <si>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</si>
  <si>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</si>
  <si>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</si>
  <si>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</si>
  <si>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</si>
  <si>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</si>
  <si>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</si>
  <si>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</si>
  <si>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</si>
  <si>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</si>
  <si>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</si>
  <si>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</si>
  <si>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</si>
  <si>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</si>
  <si>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</si>
  <si>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</si>
  <si>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</si>
  <si>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</si>
  <si>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</si>
  <si>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</si>
  <si>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</si>
  <si>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</si>
  <si>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</si>
  <si>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</si>
  <si>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</si>
  <si>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</si>
  <si>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</si>
  <si>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</si>
  <si>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</si>
  <si>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</si>
  <si>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</si>
  <si>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</si>
  <si>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</si>
  <si>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</si>
  <si>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</si>
  <si>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</si>
  <si>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</si>
  <si>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</si>
  <si>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</si>
  <si>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</si>
  <si>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</si>
  <si>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</si>
  <si>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</si>
  <si>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</si>
  <si>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</si>
  <si>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</si>
  <si>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</si>
  <si>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</si>
  <si>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</si>
  <si>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</si>
  <si>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</si>
  <si>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</si>
  <si>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</si>
  <si>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</si>
  <si>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</si>
  <si>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</si>
  <si>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</si>
  <si>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</si>
  <si>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</si>
  <si>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</si>
  <si>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</si>
  <si>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</si>
  <si>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</si>
  <si>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</si>
  <si>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</si>
  <si>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</si>
  <si>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</si>
  <si>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</si>
  <si>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</si>
  <si>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</si>
  <si>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</si>
  <si>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</si>
  <si>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</si>
  <si>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</si>
  <si>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</si>
  <si>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</si>
  <si>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</si>
  <si>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</si>
  <si>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</si>
  <si>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</si>
  <si>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</si>
  <si>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</si>
  <si>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</si>
  <si>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</si>
  <si>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</si>
  <si>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</si>
  <si>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</si>
  <si>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</si>
  <si>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</si>
  <si>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</si>
  <si>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</si>
  <si>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</si>
  <si>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</si>
  <si>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</si>
  <si>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</si>
  <si>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</si>
  <si>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</si>
  <si>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</si>
  <si>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</si>
  <si>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</si>
  <si>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</si>
  <si>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</si>
  <si>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</si>
  <si>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</si>
  <si>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</si>
  <si>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</si>
  <si>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</si>
  <si>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</si>
  <si>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</si>
  <si>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</si>
  <si>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</si>
  <si>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</si>
  <si>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</si>
  <si>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</si>
  <si>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</si>
  <si>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</si>
  <si>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</si>
  <si>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</si>
  <si>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</si>
  <si>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</si>
  <si>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</si>
  <si>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</si>
  <si>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</si>
  <si>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</si>
  <si>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</si>
  <si>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</si>
  <si>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</si>
  <si>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</si>
  <si>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</si>
  <si>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</si>
  <si>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</si>
  <si>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</si>
  <si>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</si>
  <si>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</si>
  <si>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</si>
  <si>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</si>
  <si>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</si>
  <si>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</si>
  <si>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</si>
  <si>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</si>
  <si>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</si>
  <si>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</si>
  <si>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</si>
  <si>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</si>
  <si>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</si>
  <si>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</si>
  <si>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</si>
  <si>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</si>
  <si>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</si>
  <si>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</si>
  <si>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</si>
  <si>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</si>
  <si>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</si>
  <si>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</si>
  <si>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</si>
  <si>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</si>
  <si>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</si>
  <si>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</si>
  <si>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</si>
  <si>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</si>
  <si>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</si>
  <si>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</si>
  <si>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</si>
  <si>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</si>
  <si>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</si>
  <si>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</si>
  <si>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</si>
  <si>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</si>
  <si>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</si>
  <si>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</si>
  <si>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</si>
  <si>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</si>
  <si>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</si>
  <si>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</si>
  <si>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</si>
  <si>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</si>
  <si>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</si>
  <si>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</si>
  <si>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</si>
  <si>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</si>
  <si>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</si>
  <si>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</si>
  <si>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</si>
  <si>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</si>
  <si>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</si>
  <si>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</si>
  <si>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</si>
  <si>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</si>
  <si>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</si>
  <si>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</si>
  <si>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</si>
  <si>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</si>
  <si>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</si>
  <si>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</si>
  <si>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</si>
  <si>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</si>
  <si>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</si>
  <si>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</si>
  <si>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</si>
  <si>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</si>
  <si>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</si>
  <si>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</si>
  <si>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</si>
  <si>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</si>
  <si>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</si>
  <si>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</si>
  <si>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</si>
  <si>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</si>
  <si>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</si>
  <si>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</si>
  <si>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</si>
  <si>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</si>
  <si>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</si>
  <si>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</si>
  <si>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</si>
  <si>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</si>
  <si>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</si>
  <si>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</si>
  <si>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</si>
  <si>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</si>
  <si>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</si>
  <si>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</si>
  <si>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</si>
  <si>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</si>
  <si>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</si>
  <si>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</si>
  <si>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</si>
  <si>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</si>
  <si>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</si>
  <si>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</si>
  <si>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</si>
  <si>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</si>
  <si>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</si>
  <si>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</si>
  <si>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</si>
  <si>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</si>
  <si>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</si>
  <si>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</si>
  <si>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</si>
  <si>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</si>
  <si>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</si>
  <si>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</si>
  <si>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</si>
  <si>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</si>
  <si>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</si>
  <si>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</si>
  <si>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</si>
  <si>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</si>
  <si>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</si>
  <si>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</si>
  <si>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</si>
  <si>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</si>
  <si>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</si>
  <si>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</si>
  <si>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</si>
  <si>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</si>
  <si>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</si>
  <si>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</si>
  <si>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</si>
  <si>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</si>
  <si>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</si>
  <si>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</si>
  <si>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</si>
  <si>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</si>
  <si>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</si>
  <si>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</si>
  <si>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</si>
  <si>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</si>
  <si>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</si>
  <si>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</si>
  <si>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</si>
  <si>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</si>
  <si>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</si>
  <si>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</si>
  <si>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</si>
  <si>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</si>
  <si>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</si>
  <si>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</si>
  <si>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</si>
  <si>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</si>
  <si>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</si>
  <si>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</si>
  <si>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</si>
  <si>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</si>
  <si>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</si>
  <si>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</si>
  <si>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</si>
  <si>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</si>
  <si>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</si>
  <si>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</si>
  <si>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</si>
  <si>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</si>
  <si>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</si>
  <si>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</si>
  <si>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</si>
  <si>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</si>
  <si>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</si>
  <si>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</si>
  <si>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</si>
  <si>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</si>
  <si>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</si>
  <si>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</si>
  <si>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</si>
  <si>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</si>
  <si>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</si>
  <si>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</si>
  <si>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</si>
  <si>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</si>
  <si>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</si>
  <si>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</si>
  <si>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</si>
  <si>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</si>
  <si>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</si>
  <si>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</si>
  <si>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</si>
  <si>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</si>
  <si>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</si>
  <si>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</si>
  <si>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</si>
  <si>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</si>
  <si>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</si>
  <si>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</si>
  <si>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</si>
  <si>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</si>
  <si>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</si>
  <si>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</si>
  <si>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</si>
  <si>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</si>
  <si>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</si>
  <si>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</si>
  <si>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</si>
  <si>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</si>
  <si>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</si>
  <si>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</si>
  <si>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</si>
  <si>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</si>
  <si>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</si>
  <si>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</si>
  <si>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</si>
  <si>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</si>
  <si>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</si>
  <si>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</si>
  <si>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</si>
  <si>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</si>
  <si>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</si>
  <si>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</si>
  <si>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</si>
  <si>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</si>
  <si>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</si>
  <si>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</si>
  <si>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</si>
  <si>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</si>
  <si>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</si>
  <si>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</si>
  <si>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</si>
  <si>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</si>
  <si>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</si>
  <si>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</si>
  <si>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</si>
  <si>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</si>
  <si>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</si>
  <si>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</si>
  <si>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</si>
  <si>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</si>
  <si>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</si>
  <si>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</si>
  <si>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</si>
  <si>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</si>
  <si>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</si>
  <si>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</si>
  <si>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</si>
  <si>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</si>
  <si>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</si>
  <si>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</si>
  <si>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</si>
  <si>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</si>
  <si>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</si>
  <si>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</si>
  <si>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</si>
  <si>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</si>
  <si>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</si>
  <si>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</si>
  <si>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</si>
  <si>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</si>
  <si>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</si>
  <si>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</si>
  <si>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</si>
  <si>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</si>
  <si>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</si>
  <si>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</si>
  <si>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</si>
  <si>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</si>
  <si>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</si>
  <si>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</si>
  <si>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</si>
  <si>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</si>
  <si>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</si>
  <si>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</si>
  <si>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</si>
  <si>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</si>
  <si>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</si>
  <si>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</si>
  <si>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</si>
  <si>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</si>
  <si>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</si>
  <si>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</si>
  <si>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</si>
  <si>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</si>
  <si>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</si>
  <si>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</si>
  <si>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</si>
  <si>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</si>
  <si>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</si>
  <si>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</si>
  <si>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</si>
  <si>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</si>
  <si>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</si>
  <si>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</si>
  <si>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</si>
  <si>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</si>
  <si>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</si>
  <si>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</si>
  <si>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</si>
  <si>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</si>
  <si>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</si>
  <si>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</si>
  <si>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</si>
  <si>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</si>
  <si>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</si>
  <si>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</si>
  <si>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</si>
  <si>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</si>
  <si>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</si>
  <si>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</si>
  <si>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</si>
  <si>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</si>
  <si>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</si>
  <si>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</si>
  <si>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</si>
  <si>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</si>
  <si>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</si>
  <si>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</si>
  <si>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</si>
  <si>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</si>
  <si>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</si>
  <si>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</si>
  <si>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</si>
  <si>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</si>
  <si>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</si>
  <si>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</si>
  <si>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</si>
  <si>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</si>
  <si>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</si>
  <si>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</si>
  <si>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</si>
  <si>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</si>
  <si>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</si>
  <si>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</si>
  <si>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</si>
  <si>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</si>
  <si>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</si>
  <si>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</si>
  <si>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</si>
  <si>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</si>
  <si>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</si>
  <si>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</si>
  <si>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</si>
  <si>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</si>
  <si>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</si>
  <si>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</si>
  <si>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</si>
  <si>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</si>
  <si>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</si>
  <si>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</si>
  <si>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</si>
  <si>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</si>
  <si>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</si>
  <si>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</si>
  <si>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</si>
  <si>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</si>
  <si>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</si>
  <si>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</si>
  <si>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</si>
  <si>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</si>
  <si>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</si>
  <si>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</si>
  <si>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</si>
  <si>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</si>
  <si>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</si>
  <si>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</si>
  <si>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</si>
  <si>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</si>
  <si>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</si>
  <si>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</si>
  <si>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</si>
  <si>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</si>
  <si>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</si>
  <si>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</si>
  <si>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</si>
  <si>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</si>
  <si>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</si>
  <si>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</si>
  <si>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</si>
  <si>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</si>
  <si>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</si>
  <si>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</si>
  <si>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</si>
  <si>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</si>
  <si>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</si>
  <si>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</si>
  <si>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</si>
  <si>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</si>
  <si>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</si>
  <si>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</si>
  <si>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</si>
  <si>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</si>
  <si>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</si>
  <si>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</si>
  <si>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</si>
  <si>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</si>
  <si>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</si>
  <si>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</si>
  <si>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</si>
  <si>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</si>
  <si>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</si>
  <si>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</si>
  <si>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</si>
  <si>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</si>
  <si>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</si>
  <si>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</si>
  <si>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</si>
  <si>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</si>
  <si>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</si>
  <si>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</si>
  <si>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</si>
  <si>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</si>
  <si>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</si>
  <si>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</si>
  <si>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</si>
  <si>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</si>
  <si>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</si>
  <si>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</si>
  <si>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</si>
  <si>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</si>
  <si>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</si>
  <si>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</si>
  <si>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</si>
  <si>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</si>
  <si>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</si>
  <si>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</si>
  <si>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</si>
  <si>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</si>
  <si>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</si>
  <si>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</si>
  <si>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</si>
  <si>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</si>
  <si>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</si>
  <si>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</si>
  <si>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</si>
  <si>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</si>
  <si>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</si>
  <si>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</si>
  <si>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</si>
  <si>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</si>
  <si>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</si>
  <si>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</si>
  <si>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</si>
  <si>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</si>
  <si>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</si>
  <si>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</si>
  <si>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</si>
  <si>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</si>
  <si>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</si>
  <si>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</si>
  <si>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</si>
  <si>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</si>
  <si>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</si>
  <si>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</si>
  <si>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</si>
  <si>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</si>
  <si>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</si>
  <si>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</si>
  <si>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</si>
  <si>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</si>
  <si>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</si>
  <si>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</si>
  <si>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</si>
  <si>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</si>
  <si>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</si>
  <si>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</si>
  <si>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</si>
  <si>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</si>
  <si>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</si>
  <si>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</si>
  <si>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</si>
  <si>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</si>
  <si>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</si>
  <si>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</si>
  <si>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</si>
  <si>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</si>
  <si>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</si>
  <si>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</si>
  <si>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</si>
  <si>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</si>
  <si>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</si>
  <si>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</si>
  <si>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</si>
  <si>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</si>
  <si>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</si>
  <si>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</si>
  <si>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</si>
  <si>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</si>
  <si>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</si>
  <si>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</si>
  <si>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</si>
  <si>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</si>
  <si>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</si>
  <si>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</si>
  <si>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</si>
  <si>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</si>
  <si>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</si>
  <si>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</si>
  <si>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</si>
  <si>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</si>
  <si>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</si>
  <si>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</si>
  <si>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</si>
  <si>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</si>
  <si>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</si>
  <si>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</si>
  <si>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</si>
  <si>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</si>
  <si>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</si>
  <si>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</si>
  <si>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</si>
  <si>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</si>
  <si>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</si>
  <si>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</si>
  <si>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</si>
  <si>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</si>
  <si>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</si>
  <si>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</si>
  <si>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</si>
  <si>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</si>
  <si>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</si>
  <si>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</si>
  <si>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</si>
  <si>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</si>
  <si>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</si>
  <si>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</si>
  <si>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</si>
  <si>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</si>
  <si>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</si>
  <si>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</si>
  <si>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</si>
  <si>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</si>
  <si>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</si>
  <si>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</si>
  <si>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</si>
  <si>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</si>
  <si>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</si>
  <si>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</si>
  <si>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</si>
  <si>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</si>
  <si>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</si>
  <si>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</si>
  <si>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</si>
  <si>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</si>
  <si>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</si>
  <si>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</si>
  <si>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</si>
  <si>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</si>
  <si>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</si>
  <si>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</si>
  <si>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</si>
  <si>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</si>
  <si>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</si>
  <si>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</si>
  <si>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</si>
  <si>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</si>
  <si>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</si>
  <si>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</si>
  <si>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</si>
  <si>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</si>
  <si>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</si>
  <si>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</si>
  <si>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</si>
  <si>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</si>
  <si>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</si>
  <si>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</si>
  <si>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</si>
  <si>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</si>
  <si>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</si>
  <si>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</si>
  <si>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</si>
  <si>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</si>
  <si>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</si>
  <si>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</si>
  <si>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</si>
  <si>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</si>
  <si>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</si>
  <si>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</si>
  <si>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</si>
  <si>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</si>
  <si>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</si>
  <si>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</si>
  <si>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</si>
  <si>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</si>
  <si>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</si>
  <si>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</si>
  <si>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</si>
  <si>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</si>
  <si>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</si>
  <si>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</si>
  <si>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</si>
  <si>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</si>
  <si>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</si>
  <si>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</si>
  <si>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</si>
  <si>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</si>
  <si>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</si>
  <si>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</si>
  <si>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</si>
  <si>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</si>
  <si>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</si>
  <si>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</si>
  <si>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</si>
  <si>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</si>
  <si>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</si>
  <si>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</si>
  <si>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</si>
  <si>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</si>
  <si>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</si>
  <si>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</si>
  <si>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</si>
  <si>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</si>
  <si>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</si>
  <si>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</si>
  <si>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</si>
  <si>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</si>
  <si>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</si>
  <si>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</si>
  <si>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</si>
  <si>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</si>
  <si>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</si>
  <si>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</si>
  <si>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</si>
  <si>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</si>
  <si>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</si>
  <si>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</si>
  <si>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</si>
  <si>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</si>
  <si>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</si>
  <si>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</si>
  <si>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</si>
  <si>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</si>
  <si>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</si>
  <si>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</si>
  <si>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</si>
  <si>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</si>
  <si>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</si>
  <si>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</si>
  <si>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</si>
  <si>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</si>
  <si>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</si>
  <si>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</si>
  <si>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</si>
  <si>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</si>
  <si>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</si>
  <si>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</si>
  <si>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</si>
  <si>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</si>
  <si>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</si>
  <si>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</si>
  <si>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</si>
  <si>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</si>
  <si>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</si>
  <si>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</si>
  <si>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</si>
  <si>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</si>
  <si>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</si>
  <si>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</si>
  <si>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</si>
  <si>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</si>
  <si>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</si>
  <si>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</si>
  <si>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</si>
  <si>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</si>
  <si>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</si>
  <si>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</si>
  <si>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</si>
  <si>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</si>
  <si>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</si>
  <si>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</si>
  <si>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</si>
  <si>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</si>
  <si>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</si>
  <si>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</si>
  <si>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</si>
  <si>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</si>
  <si>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</si>
  <si>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</si>
  <si>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</si>
  <si>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</si>
  <si>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</si>
  <si>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</si>
  <si>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</si>
  <si>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</si>
  <si>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</si>
  <si>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</si>
  <si>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</si>
  <si>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</si>
  <si>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</si>
  <si>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</si>
  <si>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</si>
  <si>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</si>
  <si>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</si>
  <si>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</si>
  <si>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</si>
  <si>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</si>
  <si>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</si>
  <si>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</si>
  <si>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</si>
  <si>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</si>
  <si>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</si>
  <si>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</si>
  <si>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</si>
  <si>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</si>
  <si>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</si>
  <si>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</si>
  <si>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</si>
  <si>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</si>
  <si>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</si>
  <si>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</si>
  <si>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</si>
  <si>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</si>
  <si>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</si>
  <si>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</si>
  <si>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</si>
  <si>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</si>
  <si>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</si>
  <si>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</si>
  <si>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</si>
  <si>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</si>
  <si>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</si>
  <si>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</si>
  <si>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</si>
  <si>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</si>
  <si>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</si>
  <si>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</si>
  <si>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</si>
  <si>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建筑面积</t>
    <phoneticPr fontId="134" type="noConversion"/>
  </si>
  <si>
    <t>地上主体面积</t>
    <phoneticPr fontId="134" type="noConversion"/>
  </si>
  <si>
    <t>地下面积</t>
    <phoneticPr fontId="134" type="noConversion"/>
  </si>
  <si>
    <t>屋面附属用房面积</t>
    <phoneticPr fontId="134" type="noConversion"/>
  </si>
  <si>
    <t>层次</t>
    <phoneticPr fontId="134" type="noConversion"/>
  </si>
  <si>
    <t>附属用房</t>
    <phoneticPr fontId="134" type="noConversion"/>
  </si>
  <si>
    <r>
      <t>6</t>
    </r>
    <r>
      <rPr>
        <sz val="11"/>
        <color theme="1"/>
        <rFont val="宋体"/>
        <family val="3"/>
        <charset val="134"/>
        <scheme val="minor"/>
      </rPr>
      <t>#乘用车油泥模型车间</t>
    </r>
    <phoneticPr fontId="134" type="noConversion"/>
  </si>
  <si>
    <r>
      <t>7</t>
    </r>
    <r>
      <rPr>
        <sz val="11"/>
        <color theme="1"/>
        <rFont val="宋体"/>
        <family val="3"/>
        <charset val="134"/>
        <scheme val="minor"/>
      </rPr>
      <t>#动力电池综合车间</t>
    </r>
    <phoneticPr fontId="134" type="noConversion"/>
  </si>
  <si>
    <t>3#地下车库</t>
    <phoneticPr fontId="134" type="noConversion"/>
  </si>
  <si>
    <r>
      <t>8</t>
    </r>
    <r>
      <rPr>
        <sz val="11"/>
        <color theme="1"/>
        <rFont val="宋体"/>
        <family val="3"/>
        <charset val="134"/>
        <scheme val="minor"/>
      </rPr>
      <t>#楼改装车间、变速箱车间</t>
    </r>
    <phoneticPr fontId="134" type="noConversion"/>
  </si>
  <si>
    <t>9# 楼乘用车油泥模型车间</t>
    <phoneticPr fontId="134" type="noConversion"/>
  </si>
  <si>
    <t>10#楼发动机组装车间</t>
    <phoneticPr fontId="134" type="noConversion"/>
  </si>
  <si>
    <t>人防室外出入口</t>
    <phoneticPr fontId="134" type="noConversion"/>
  </si>
  <si>
    <t>2#地下车库</t>
    <phoneticPr fontId="134" type="noConversion"/>
  </si>
  <si>
    <t>人防工程建筑面积明晰表</t>
    <phoneticPr fontId="134" type="noConversion"/>
  </si>
  <si>
    <t>防护单元一</t>
    <phoneticPr fontId="134" type="noConversion"/>
  </si>
  <si>
    <t>防护单元二</t>
    <phoneticPr fontId="134" type="noConversion"/>
  </si>
  <si>
    <r>
      <t>8</t>
    </r>
    <r>
      <rPr>
        <sz val="11"/>
        <color theme="1"/>
        <rFont val="宋体"/>
        <family val="3"/>
        <charset val="134"/>
        <scheme val="minor"/>
      </rPr>
      <t>#楼改装车间、变速箱车间等5项</t>
    </r>
    <phoneticPr fontId="134" type="noConversion"/>
  </si>
  <si>
    <t>土地证</t>
    <phoneticPr fontId="134" type="noConversion"/>
  </si>
  <si>
    <t>证号</t>
    <phoneticPr fontId="134" type="noConversion"/>
  </si>
  <si>
    <t>权利人</t>
    <phoneticPr fontId="134" type="noConversion"/>
  </si>
  <si>
    <t>共有情况</t>
    <phoneticPr fontId="134" type="noConversion"/>
  </si>
  <si>
    <t>权利类型</t>
    <phoneticPr fontId="134" type="noConversion"/>
  </si>
  <si>
    <t>权利性质</t>
    <phoneticPr fontId="134" type="noConversion"/>
  </si>
  <si>
    <t>面积</t>
    <phoneticPr fontId="134" type="noConversion"/>
  </si>
  <si>
    <t>使用期限</t>
    <phoneticPr fontId="134" type="noConversion"/>
  </si>
  <si>
    <r>
      <t>京（2</t>
    </r>
    <r>
      <rPr>
        <sz val="11"/>
        <color theme="1"/>
        <rFont val="宋体"/>
        <family val="3"/>
        <charset val="134"/>
        <scheme val="minor"/>
      </rPr>
      <t>018）开不动产权第0000024号</t>
    </r>
    <phoneticPr fontId="134" type="noConversion"/>
  </si>
  <si>
    <t>阿尔特企业管理（北京）有限公司</t>
    <phoneticPr fontId="134" type="noConversion"/>
  </si>
  <si>
    <t>单独所有</t>
    <phoneticPr fontId="134" type="noConversion"/>
  </si>
  <si>
    <t>北京经济技术开发区河西区X18-1M2地块</t>
    <phoneticPr fontId="134" type="noConversion"/>
  </si>
  <si>
    <t>坐落</t>
    <phoneticPr fontId="134" type="noConversion"/>
  </si>
  <si>
    <t>出让</t>
    <phoneticPr fontId="134" type="noConversion"/>
  </si>
  <si>
    <t>国有建设用地使用权</t>
    <phoneticPr fontId="134" type="noConversion"/>
  </si>
  <si>
    <t>工业用地</t>
    <phoneticPr fontId="134" type="noConversion"/>
  </si>
  <si>
    <t>京（2021）开不动产权第0016542号</t>
    <phoneticPr fontId="134" type="noConversion"/>
  </si>
  <si>
    <r>
      <t>北京经济技术开发区凉水河二街7号院1号楼、2号楼、7号楼、8号楼、11号楼、B101、B1001至B1008、B2001至B2064、二区B1001至B1107、二区B2001至B2144-2至</t>
    </r>
    <r>
      <rPr>
        <sz val="11"/>
        <color rgb="FFFF0000"/>
        <rFont val="宋体"/>
        <family val="3"/>
        <charset val="134"/>
        <scheme val="minor"/>
      </rPr>
      <t>10层101</t>
    </r>
    <phoneticPr fontId="134" type="noConversion"/>
  </si>
  <si>
    <t>国有建设用地使用权/房屋所有权</t>
    <phoneticPr fontId="134" type="noConversion"/>
  </si>
  <si>
    <t>工业用地/试验厂房、油泥模型车间</t>
    <phoneticPr fontId="134" type="noConversion"/>
  </si>
  <si>
    <t>31860/48377.23</t>
    <phoneticPr fontId="134" type="noConversion"/>
  </si>
  <si>
    <t>结构</t>
    <phoneticPr fontId="134" type="noConversion"/>
  </si>
  <si>
    <t>钢筋混凝土结构</t>
    <phoneticPr fontId="134" type="noConversion"/>
  </si>
  <si>
    <t>专有建筑面积</t>
    <phoneticPr fontId="134" type="noConversion"/>
  </si>
  <si>
    <t>房屋总层数</t>
    <phoneticPr fontId="134" type="noConversion"/>
  </si>
  <si>
    <t>所在层</t>
    <phoneticPr fontId="134" type="noConversion"/>
  </si>
  <si>
    <r>
      <t>-</t>
    </r>
    <r>
      <rPr>
        <sz val="11"/>
        <color theme="1"/>
        <rFont val="宋体"/>
        <family val="3"/>
        <charset val="134"/>
        <scheme val="minor"/>
      </rPr>
      <t>2-10</t>
    </r>
    <phoneticPr fontId="134" type="noConversion"/>
  </si>
  <si>
    <t>一、二期不动产权证</t>
    <phoneticPr fontId="134" type="noConversion"/>
  </si>
  <si>
    <t>三、四期竣工多测合一报告</t>
    <phoneticPr fontId="134" type="noConversion"/>
  </si>
  <si>
    <t>地上</t>
    <phoneticPr fontId="134" type="noConversion"/>
  </si>
  <si>
    <t>地下</t>
    <phoneticPr fontId="134" type="noConversion"/>
  </si>
  <si>
    <t>现状楼号</t>
    <phoneticPr fontId="134" type="noConversion"/>
  </si>
  <si>
    <t>人防</t>
    <phoneticPr fontId="134" type="noConversion"/>
  </si>
  <si>
    <t>总面积</t>
    <phoneticPr fontId="134" type="noConversion"/>
  </si>
  <si>
    <t>11、8、7、1、2</t>
    <phoneticPr fontId="134" type="noConversion"/>
  </si>
  <si>
    <t>一二期实测面积</t>
    <phoneticPr fontId="134" type="noConversion"/>
  </si>
  <si>
    <t>一二期证+三四期实测总面积</t>
    <phoneticPr fontId="134" type="noConversion"/>
  </si>
  <si>
    <t>一、二期实测面积</t>
    <phoneticPr fontId="134" type="noConversion"/>
  </si>
  <si>
    <t>竣工面积</t>
    <phoneticPr fontId="134" type="noConversion"/>
  </si>
  <si>
    <t>规划面积</t>
    <phoneticPr fontId="134" type="noConversion"/>
  </si>
  <si>
    <t>二期规划许可证</t>
    <phoneticPr fontId="134" type="noConversion"/>
  </si>
  <si>
    <t>2#楼</t>
    <phoneticPr fontId="134" type="noConversion"/>
  </si>
  <si>
    <t>3#楼</t>
  </si>
  <si>
    <t>4#楼</t>
  </si>
  <si>
    <t>5#楼</t>
  </si>
  <si>
    <t>地下车库</t>
    <phoneticPr fontId="134" type="noConversion"/>
  </si>
  <si>
    <t>地下2-地上3层</t>
    <phoneticPr fontId="134" type="noConversion"/>
  </si>
  <si>
    <t>地下2层</t>
    <phoneticPr fontId="134" type="noConversion"/>
  </si>
  <si>
    <r>
      <t>地下2</t>
    </r>
    <r>
      <rPr>
        <sz val="11"/>
        <color theme="1"/>
        <rFont val="宋体"/>
        <family val="3"/>
        <charset val="134"/>
        <scheme val="minor"/>
      </rPr>
      <t>-地上7层</t>
    </r>
    <phoneticPr fontId="134" type="noConversion"/>
  </si>
  <si>
    <t>地下2-地上5层</t>
    <phoneticPr fontId="134" type="noConversion"/>
  </si>
  <si>
    <t>高层厂房</t>
    <phoneticPr fontId="134" type="noConversion"/>
  </si>
  <si>
    <t>楼号</t>
    <phoneticPr fontId="134" type="noConversion"/>
  </si>
  <si>
    <t>功能</t>
    <phoneticPr fontId="134" type="noConversion"/>
  </si>
  <si>
    <t>地上建筑面积</t>
    <phoneticPr fontId="134" type="noConversion"/>
  </si>
  <si>
    <t>地下建筑面积</t>
    <phoneticPr fontId="134" type="noConversion"/>
  </si>
  <si>
    <t>楼层</t>
    <phoneticPr fontId="134" type="noConversion"/>
  </si>
  <si>
    <t>建筑高度</t>
    <phoneticPr fontId="134" type="noConversion"/>
  </si>
  <si>
    <t>建筑性质</t>
    <phoneticPr fontId="134" type="noConversion"/>
  </si>
  <si>
    <t>一期规划证</t>
    <phoneticPr fontId="134" type="noConversion"/>
  </si>
  <si>
    <r>
      <t>1</t>
    </r>
    <r>
      <rPr>
        <sz val="11"/>
        <color theme="1"/>
        <rFont val="宋体"/>
        <family val="3"/>
        <charset val="134"/>
        <scheme val="minor"/>
      </rPr>
      <t>#楼</t>
    </r>
    <phoneticPr fontId="134" type="noConversion"/>
  </si>
  <si>
    <t>阿尔特大楼</t>
    <phoneticPr fontId="134" type="noConversion"/>
  </si>
  <si>
    <t>地下2-地上10层</t>
    <phoneticPr fontId="134" type="noConversion"/>
  </si>
  <si>
    <t>试验厂房及连廊</t>
    <phoneticPr fontId="134" type="noConversion"/>
  </si>
  <si>
    <t>乘用车油泥模型车间</t>
    <phoneticPr fontId="134" type="noConversion"/>
  </si>
  <si>
    <t>卡、货车油泥模型车间</t>
    <phoneticPr fontId="134" type="noConversion"/>
  </si>
  <si>
    <t>1#地下车库</t>
    <phoneticPr fontId="134" type="noConversion"/>
  </si>
  <si>
    <t>三期规划许可证</t>
    <phoneticPr fontId="134" type="noConversion"/>
  </si>
  <si>
    <t>8#楼</t>
    <phoneticPr fontId="134" type="noConversion"/>
  </si>
  <si>
    <t>9#楼</t>
  </si>
  <si>
    <t>10#楼</t>
  </si>
  <si>
    <t>其他</t>
    <phoneticPr fontId="134" type="noConversion"/>
  </si>
  <si>
    <r>
      <t>2</t>
    </r>
    <r>
      <rPr>
        <sz val="11"/>
        <color theme="1"/>
        <rFont val="宋体"/>
        <family val="3"/>
        <charset val="134"/>
        <scheme val="minor"/>
      </rPr>
      <t>#地下车库</t>
    </r>
    <phoneticPr fontId="134" type="noConversion"/>
  </si>
  <si>
    <t>改装车间、变速箱车间</t>
    <phoneticPr fontId="134" type="noConversion"/>
  </si>
  <si>
    <t>发动机组装车间</t>
    <phoneticPr fontId="134" type="noConversion"/>
  </si>
  <si>
    <t>人防室外出入口</t>
    <phoneticPr fontId="134" type="noConversion"/>
  </si>
  <si>
    <t>地下2-地上9层</t>
    <phoneticPr fontId="134" type="noConversion"/>
  </si>
  <si>
    <t>地下2-地上1层</t>
    <phoneticPr fontId="134" type="noConversion"/>
  </si>
  <si>
    <t>四期规划许可证</t>
    <phoneticPr fontId="134" type="noConversion"/>
  </si>
  <si>
    <t>6#楼</t>
    <phoneticPr fontId="134" type="noConversion"/>
  </si>
  <si>
    <t>7#楼</t>
    <phoneticPr fontId="134" type="noConversion"/>
  </si>
  <si>
    <t>动力电池综合车间</t>
    <phoneticPr fontId="134" type="noConversion"/>
  </si>
  <si>
    <t>基础埋深</t>
    <phoneticPr fontId="134" type="noConversion"/>
  </si>
  <si>
    <t>楼号</t>
  </si>
  <si>
    <t>各层层高</t>
  </si>
  <si>
    <t>1号楼</t>
  </si>
  <si>
    <t>1-2层6米，3-10层4米</t>
  </si>
  <si>
    <t>2号楼</t>
  </si>
  <si>
    <t>1-3层7.8米</t>
  </si>
  <si>
    <t>3号楼</t>
  </si>
  <si>
    <t>1-5层8米</t>
  </si>
  <si>
    <t>4号楼</t>
  </si>
  <si>
    <t>5号楼</t>
  </si>
  <si>
    <t>1层8米，2-7层6米</t>
  </si>
  <si>
    <t>6号楼</t>
  </si>
  <si>
    <t>1层8.3米，2-7层6米</t>
  </si>
  <si>
    <t>7号楼</t>
  </si>
  <si>
    <t>1-2层6米，3-7层5.8米</t>
  </si>
  <si>
    <t>8号楼</t>
  </si>
  <si>
    <t>9号楼</t>
  </si>
  <si>
    <t>10号楼</t>
  </si>
  <si>
    <t>1-2层6米，3-9层4.5米</t>
  </si>
  <si>
    <t>试验厂房</t>
    <phoneticPr fontId="134" type="noConversion"/>
  </si>
  <si>
    <t>地下车库及设备用房</t>
    <phoneticPr fontId="134" type="noConversion"/>
  </si>
  <si>
    <t>11#楼</t>
  </si>
  <si>
    <t>地下车库</t>
    <phoneticPr fontId="134" type="noConversion"/>
  </si>
  <si>
    <t>建筑面积合计</t>
    <phoneticPr fontId="134" type="noConversion"/>
  </si>
  <si>
    <r>
      <t>地库-</t>
    </r>
    <r>
      <rPr>
        <sz val="11"/>
        <color theme="1"/>
        <rFont val="宋体"/>
        <family val="3"/>
        <charset val="134"/>
        <scheme val="minor"/>
      </rPr>
      <t>9.90，局部-12.30</t>
    </r>
    <phoneticPr fontId="134" type="noConversion"/>
  </si>
  <si>
    <t>人防工程设计方案指标明细表</t>
    <phoneticPr fontId="134" type="noConversion"/>
  </si>
  <si>
    <t>实测阶段</t>
    <phoneticPr fontId="134" type="noConversion"/>
  </si>
  <si>
    <t>新申报</t>
    <phoneticPr fontId="134" type="noConversion"/>
  </si>
  <si>
    <t>所在建筑楼号及位置</t>
    <phoneticPr fontId="134" type="noConversion"/>
  </si>
  <si>
    <t>10#楼地下二层</t>
    <phoneticPr fontId="134" type="noConversion"/>
  </si>
  <si>
    <t>10#楼东侧地库地下二层</t>
    <phoneticPr fontId="134" type="noConversion"/>
  </si>
  <si>
    <t>防护单元编号</t>
    <phoneticPr fontId="134" type="noConversion"/>
  </si>
  <si>
    <t>占时主要出入口编号</t>
    <phoneticPr fontId="134" type="noConversion"/>
  </si>
  <si>
    <t>战时功能</t>
    <phoneticPr fontId="134" type="noConversion"/>
  </si>
  <si>
    <t>平时用途</t>
    <phoneticPr fontId="134" type="noConversion"/>
  </si>
  <si>
    <t>抗力等级</t>
    <phoneticPr fontId="134" type="noConversion"/>
  </si>
  <si>
    <t>人防工程建筑面积（㎡）</t>
    <phoneticPr fontId="134" type="noConversion"/>
  </si>
  <si>
    <t>人防工程地上建筑面积</t>
    <phoneticPr fontId="134" type="noConversion"/>
  </si>
  <si>
    <t>人防管理用房建筑面积</t>
    <phoneticPr fontId="134" type="noConversion"/>
  </si>
  <si>
    <t>地上其他部分建筑面积</t>
    <phoneticPr fontId="134" type="noConversion"/>
  </si>
  <si>
    <t>人防工程地下建筑面积</t>
    <phoneticPr fontId="134" type="noConversion"/>
  </si>
  <si>
    <t>人防防护区建筑面积</t>
    <phoneticPr fontId="134" type="noConversion"/>
  </si>
  <si>
    <t>地下其他部分建筑面积</t>
    <phoneticPr fontId="134" type="noConversion"/>
  </si>
  <si>
    <t>二等人员掩蔽所</t>
    <phoneticPr fontId="134" type="noConversion"/>
  </si>
  <si>
    <t>汽车库</t>
    <phoneticPr fontId="134" type="noConversion"/>
  </si>
  <si>
    <t>甲六</t>
    <phoneticPr fontId="134" type="noConversion"/>
  </si>
  <si>
    <t>——</t>
    <phoneticPr fontId="134" type="noConversion"/>
  </si>
  <si>
    <t>合计</t>
    <phoneticPr fontId="134" type="noConversion"/>
  </si>
  <si>
    <t>高层厂房</t>
    <phoneticPr fontId="134" type="noConversion"/>
  </si>
  <si>
    <t>备注</t>
    <phoneticPr fontId="134" type="noConversion"/>
  </si>
  <si>
    <t>已经报规项目</t>
    <phoneticPr fontId="134" type="noConversion"/>
  </si>
  <si>
    <t>本次报规项目</t>
    <phoneticPr fontId="134" type="noConversion"/>
  </si>
  <si>
    <t>一期规划许可证</t>
    <phoneticPr fontId="134" type="noConversion"/>
  </si>
  <si>
    <r>
      <t>地库-</t>
    </r>
    <r>
      <rPr>
        <sz val="11"/>
        <color theme="1"/>
        <rFont val="宋体"/>
        <family val="3"/>
        <charset val="134"/>
        <scheme val="minor"/>
      </rPr>
      <t>10.20</t>
    </r>
    <r>
      <rPr>
        <sz val="11"/>
        <color theme="1"/>
        <rFont val="宋体"/>
        <family val="3"/>
        <charset val="134"/>
        <scheme val="minor"/>
      </rPr>
      <t>，局部-1</t>
    </r>
    <r>
      <rPr>
        <sz val="11"/>
        <color theme="1"/>
        <rFont val="宋体"/>
        <family val="3"/>
        <charset val="134"/>
        <scheme val="minor"/>
      </rPr>
      <t>0.60</t>
    </r>
    <phoneticPr fontId="134" type="noConversion"/>
  </si>
  <si>
    <r>
      <t>含人防工程3</t>
    </r>
    <r>
      <rPr>
        <sz val="11"/>
        <color theme="1"/>
        <rFont val="宋体"/>
        <family val="3"/>
        <charset val="134"/>
        <scheme val="minor"/>
      </rPr>
      <t>750.3㎡</t>
    </r>
    <phoneticPr fontId="134" type="noConversion"/>
  </si>
  <si>
    <t>四期规划许可证</t>
    <phoneticPr fontId="134" type="noConversion"/>
  </si>
  <si>
    <r>
      <t>1</t>
    </r>
    <r>
      <rPr>
        <sz val="11"/>
        <color theme="1"/>
        <rFont val="宋体"/>
        <family val="3"/>
        <charset val="134"/>
        <scheme val="minor"/>
      </rPr>
      <t>1号楼</t>
    </r>
    <phoneticPr fontId="134" type="noConversion"/>
  </si>
  <si>
    <t>4号楼</t>
    <phoneticPr fontId="134" type="noConversion"/>
  </si>
  <si>
    <t>3号楼</t>
    <phoneticPr fontId="134" type="noConversion"/>
  </si>
  <si>
    <r>
      <t>1</t>
    </r>
    <r>
      <rPr>
        <sz val="11"/>
        <color theme="1"/>
        <rFont val="宋体"/>
        <family val="3"/>
        <charset val="134"/>
        <scheme val="minor"/>
      </rPr>
      <t>0号楼</t>
    </r>
    <phoneticPr fontId="134" type="noConversion"/>
  </si>
  <si>
    <t>5号楼</t>
    <phoneticPr fontId="134" type="noConversion"/>
  </si>
  <si>
    <t>6号楼</t>
    <phoneticPr fontId="134" type="noConversion"/>
  </si>
  <si>
    <t>8号楼</t>
    <phoneticPr fontId="134" type="noConversion"/>
  </si>
  <si>
    <t>7号楼</t>
    <phoneticPr fontId="134" type="noConversion"/>
  </si>
  <si>
    <t>1号楼</t>
    <phoneticPr fontId="134" type="noConversion"/>
  </si>
  <si>
    <t>2号楼</t>
    <phoneticPr fontId="134" type="noConversion"/>
  </si>
  <si>
    <t>一二期规划许可证</t>
    <phoneticPr fontId="134" type="noConversion"/>
  </si>
  <si>
    <t>地上面积</t>
    <phoneticPr fontId="134" type="noConversion"/>
  </si>
  <si>
    <t>地下面积</t>
    <phoneticPr fontId="134" type="noConversion"/>
  </si>
  <si>
    <t>地上地下总计</t>
    <phoneticPr fontId="134" type="noConversion"/>
  </si>
  <si>
    <t>每层面积</t>
    <phoneticPr fontId="134" type="noConversion"/>
  </si>
  <si>
    <t>建安取值</t>
    <phoneticPr fontId="134" type="noConversion"/>
  </si>
  <si>
    <t>面积占比</t>
    <phoneticPr fontId="134" type="noConversion"/>
  </si>
  <si>
    <t>是</t>
  </si>
  <si>
    <t>工业项目</t>
  </si>
  <si>
    <t>现房</t>
  </si>
  <si>
    <t>在建</t>
  </si>
  <si>
    <t>一、二期</t>
    <phoneticPr fontId="3" type="noConversion"/>
  </si>
  <si>
    <t>三、四期</t>
    <phoneticPr fontId="3" type="noConversion"/>
  </si>
  <si>
    <t>地上</t>
  </si>
  <si>
    <t>地下</t>
  </si>
  <si>
    <t>竣工多测合一</t>
    <phoneticPr fontId="3" type="noConversion"/>
  </si>
  <si>
    <t>成新度</t>
  </si>
  <si>
    <t>竣工日期</t>
    <phoneticPr fontId="3" type="noConversion"/>
  </si>
  <si>
    <t>直线</t>
    <phoneticPr fontId="3" type="noConversion"/>
  </si>
  <si>
    <t>出租方</t>
    <phoneticPr fontId="134" type="noConversion"/>
  </si>
  <si>
    <t>承租方</t>
    <phoneticPr fontId="134" type="noConversion"/>
  </si>
  <si>
    <t>阿尔特汽车技术股份有限公司</t>
    <phoneticPr fontId="134" type="noConversion"/>
  </si>
  <si>
    <t>租赁面积</t>
    <phoneticPr fontId="134" type="noConversion"/>
  </si>
  <si>
    <t>位置（房号）</t>
    <phoneticPr fontId="134" type="noConversion"/>
  </si>
  <si>
    <t>层高（米）</t>
    <phoneticPr fontId="134" type="noConversion"/>
  </si>
  <si>
    <t>计租面积（以建筑面积为准）</t>
    <phoneticPr fontId="134" type="noConversion"/>
  </si>
  <si>
    <r>
      <t>计租单价（元/天</t>
    </r>
    <r>
      <rPr>
        <sz val="11"/>
        <color theme="1"/>
        <rFont val="宋体"/>
        <family val="3"/>
        <charset val="134"/>
        <scheme val="minor"/>
      </rPr>
      <t>/平方米）</t>
    </r>
    <phoneticPr fontId="134" type="noConversion"/>
  </si>
  <si>
    <r>
      <t>不含8</t>
    </r>
    <r>
      <rPr>
        <sz val="11"/>
        <color theme="1"/>
        <rFont val="宋体"/>
        <family val="3"/>
        <charset val="134"/>
        <scheme val="minor"/>
      </rPr>
      <t>000㎡的免租面积</t>
    </r>
    <phoneticPr fontId="134" type="noConversion"/>
  </si>
  <si>
    <t>租赁期限</t>
    <phoneticPr fontId="134" type="noConversion"/>
  </si>
  <si>
    <r>
      <t>2</t>
    </r>
    <r>
      <rPr>
        <sz val="11"/>
        <color theme="1"/>
        <rFont val="宋体"/>
        <family val="3"/>
        <charset val="134"/>
        <scheme val="minor"/>
      </rPr>
      <t>020.11.1-2040.10.31</t>
    </r>
    <phoneticPr fontId="134" type="noConversion"/>
  </si>
  <si>
    <r>
      <t>2</t>
    </r>
    <r>
      <rPr>
        <sz val="11"/>
        <color theme="1"/>
        <rFont val="宋体"/>
        <family val="3"/>
        <charset val="134"/>
        <scheme val="minor"/>
      </rPr>
      <t>020.11.1-2021.10.31</t>
    </r>
    <phoneticPr fontId="134" type="noConversion"/>
  </si>
  <si>
    <r>
      <t>2</t>
    </r>
    <r>
      <rPr>
        <sz val="11"/>
        <color theme="1"/>
        <rFont val="宋体"/>
        <family val="3"/>
        <charset val="134"/>
        <scheme val="minor"/>
      </rPr>
      <t>021.11.1-2022.10.31</t>
    </r>
    <phoneticPr fontId="134" type="noConversion"/>
  </si>
  <si>
    <r>
      <t>2</t>
    </r>
    <r>
      <rPr>
        <sz val="11"/>
        <color theme="1"/>
        <rFont val="宋体"/>
        <family val="3"/>
        <charset val="134"/>
        <scheme val="minor"/>
      </rPr>
      <t>022.11.1-2023.10.31</t>
    </r>
    <phoneticPr fontId="134" type="noConversion"/>
  </si>
  <si>
    <t>2023.11.1-2024.10.31</t>
    <phoneticPr fontId="134" type="noConversion"/>
  </si>
  <si>
    <t>2024.11.1-2025.10.31</t>
    <phoneticPr fontId="134" type="noConversion"/>
  </si>
  <si>
    <t>2026.11.1-2027-10.31</t>
    <phoneticPr fontId="134" type="noConversion"/>
  </si>
  <si>
    <t>2025.11.1-2026.10.31</t>
    <phoneticPr fontId="134" type="noConversion"/>
  </si>
  <si>
    <t>2027.11.1-2028.10.31</t>
    <phoneticPr fontId="134" type="noConversion"/>
  </si>
  <si>
    <t>2028.11.1-2029.10.31</t>
    <phoneticPr fontId="134" type="noConversion"/>
  </si>
  <si>
    <t>2029.11.1-2030.10.31</t>
    <phoneticPr fontId="134" type="noConversion"/>
  </si>
  <si>
    <t>年</t>
    <phoneticPr fontId="134" type="noConversion"/>
  </si>
  <si>
    <t>25456294.93</t>
    <phoneticPr fontId="134" type="noConversion"/>
  </si>
  <si>
    <r>
      <t>2</t>
    </r>
    <r>
      <rPr>
        <sz val="11"/>
        <color theme="1"/>
        <rFont val="宋体"/>
        <family val="3"/>
        <charset val="134"/>
        <scheme val="minor"/>
      </rPr>
      <t>6729109.68</t>
    </r>
    <phoneticPr fontId="134" type="noConversion"/>
  </si>
  <si>
    <r>
      <t>2</t>
    </r>
    <r>
      <rPr>
        <sz val="11"/>
        <color theme="1"/>
        <rFont val="宋体"/>
        <family val="3"/>
        <charset val="134"/>
        <scheme val="minor"/>
      </rPr>
      <t>8065565.16</t>
    </r>
    <phoneticPr fontId="134" type="noConversion"/>
  </si>
  <si>
    <r>
      <t>2</t>
    </r>
    <r>
      <rPr>
        <sz val="11"/>
        <color theme="1"/>
        <rFont val="宋体"/>
        <family val="3"/>
        <charset val="134"/>
        <scheme val="minor"/>
      </rPr>
      <t>9468843.42</t>
    </r>
    <phoneticPr fontId="134" type="noConversion"/>
  </si>
  <si>
    <r>
      <t>3</t>
    </r>
    <r>
      <rPr>
        <sz val="11"/>
        <color theme="1"/>
        <rFont val="宋体"/>
        <family val="3"/>
        <charset val="134"/>
        <scheme val="minor"/>
      </rPr>
      <t>0942285.59</t>
    </r>
    <phoneticPr fontId="134" type="noConversion"/>
  </si>
  <si>
    <r>
      <t>3</t>
    </r>
    <r>
      <rPr>
        <sz val="11"/>
        <color theme="1"/>
        <rFont val="宋体"/>
        <family val="3"/>
        <charset val="134"/>
        <scheme val="minor"/>
      </rPr>
      <t>2489399.86</t>
    </r>
    <phoneticPr fontId="134" type="noConversion"/>
  </si>
  <si>
    <t>自第8年开始，租金基数不变，租金递增比例由双方另行协商确定</t>
    <phoneticPr fontId="134" type="noConversion"/>
  </si>
  <si>
    <t>增长率</t>
    <phoneticPr fontId="134" type="noConversion"/>
  </si>
  <si>
    <t>平均租金</t>
    <phoneticPr fontId="134" type="noConversion"/>
  </si>
  <si>
    <r>
      <t>2</t>
    </r>
    <r>
      <rPr>
        <sz val="11"/>
        <color theme="1"/>
        <rFont val="宋体"/>
        <family val="3"/>
        <charset val="134"/>
        <scheme val="minor"/>
      </rPr>
      <t>0年</t>
    </r>
    <phoneticPr fontId="134" type="noConversion"/>
  </si>
  <si>
    <t>宗地容积率</t>
  </si>
  <si>
    <t>较好</t>
  </si>
  <si>
    <t>一般</t>
  </si>
  <si>
    <t>否</t>
  </si>
  <si>
    <t>钢混</t>
  </si>
  <si>
    <t>非生产用房</t>
  </si>
  <si>
    <t>Ⅶ-BDA南</t>
  </si>
  <si>
    <t>好</t>
  </si>
  <si>
    <t>未包含在土地购买价格中</t>
  </si>
  <si>
    <t>主体</t>
    <phoneticPr fontId="134" type="noConversion"/>
  </si>
  <si>
    <t>装修</t>
    <phoneticPr fontId="134" type="noConversion"/>
  </si>
  <si>
    <t>设备</t>
    <phoneticPr fontId="134" type="noConversion"/>
  </si>
  <si>
    <t>车库</t>
    <phoneticPr fontId="7" type="noConversion"/>
  </si>
  <si>
    <t>收益法</t>
  </si>
  <si>
    <t>收益法 车库</t>
  </si>
  <si>
    <t>收益法 车库</t>
    <phoneticPr fontId="16" type="noConversion"/>
  </si>
  <si>
    <t>电梯数量</t>
    <phoneticPr fontId="134" type="noConversion"/>
  </si>
  <si>
    <t>楼号</t>
    <phoneticPr fontId="134" type="noConversion"/>
  </si>
  <si>
    <t>车库数量</t>
    <phoneticPr fontId="134" type="noConversion"/>
  </si>
  <si>
    <t>一二期规划</t>
    <phoneticPr fontId="134" type="noConversion"/>
  </si>
  <si>
    <t>三四期规划</t>
    <phoneticPr fontId="134" type="noConversion"/>
  </si>
  <si>
    <t>土地使用税（年）</t>
    <phoneticPr fontId="134" type="noConversion"/>
  </si>
  <si>
    <t>一二期原值</t>
    <phoneticPr fontId="134" type="noConversion"/>
  </si>
  <si>
    <t>成本法</t>
  </si>
  <si>
    <t>收益法（汇总）</t>
  </si>
  <si>
    <t>总价</t>
  </si>
  <si>
    <t>成本比率</t>
  </si>
  <si>
    <t>情况3</t>
  </si>
  <si>
    <t>正常</t>
  </si>
  <si>
    <t>自行开发建设</t>
  </si>
  <si>
    <t>非个人房产</t>
  </si>
  <si>
    <t>土地原值</t>
    <phoneticPr fontId="134" type="noConversion"/>
  </si>
  <si>
    <t>出让金</t>
    <phoneticPr fontId="134" type="noConversion"/>
  </si>
  <si>
    <t>开发费</t>
    <phoneticPr fontId="134" type="noConversion"/>
  </si>
  <si>
    <t>出让金+开发费</t>
  </si>
  <si>
    <t>企业提供（在右侧录入）</t>
  </si>
  <si>
    <t>已全部缴纳</t>
  </si>
  <si>
    <t>办公</t>
    <phoneticPr fontId="7" type="noConversion"/>
  </si>
  <si>
    <t>车位个数</t>
    <phoneticPr fontId="134" type="noConversion"/>
  </si>
  <si>
    <t>不含人防</t>
    <phoneticPr fontId="134" type="noConversion"/>
  </si>
  <si>
    <t>现状楼号</t>
    <phoneticPr fontId="134" type="noConversion"/>
  </si>
  <si>
    <t>与级别开发程度不一致</t>
  </si>
  <si>
    <t>通路</t>
  </si>
  <si>
    <t>通电</t>
  </si>
  <si>
    <t>通讯</t>
  </si>
  <si>
    <t>通上水</t>
  </si>
  <si>
    <t>通下水</t>
  </si>
  <si>
    <t>燃气</t>
  </si>
  <si>
    <t>平整</t>
  </si>
  <si>
    <r>
      <t>11</t>
    </r>
    <r>
      <rPr>
        <sz val="11"/>
        <color theme="1"/>
        <rFont val="宋体"/>
        <family val="3"/>
        <charset val="134"/>
        <scheme val="minor"/>
      </rPr>
      <t>号楼</t>
    </r>
    <phoneticPr fontId="134" type="noConversion"/>
  </si>
  <si>
    <r>
      <t>8</t>
    </r>
    <r>
      <rPr>
        <sz val="11"/>
        <color theme="1"/>
        <rFont val="宋体"/>
        <family val="3"/>
        <charset val="134"/>
        <scheme val="minor"/>
      </rPr>
      <t>号楼</t>
    </r>
    <phoneticPr fontId="134" type="noConversion"/>
  </si>
  <si>
    <r>
      <t>7</t>
    </r>
    <r>
      <rPr>
        <sz val="11"/>
        <color theme="1"/>
        <rFont val="宋体"/>
        <family val="3"/>
        <charset val="134"/>
        <scheme val="minor"/>
      </rPr>
      <t>号楼</t>
    </r>
    <phoneticPr fontId="134" type="noConversion"/>
  </si>
  <si>
    <t>1号楼</t>
    <phoneticPr fontId="134" type="noConversion"/>
  </si>
  <si>
    <t>2号楼</t>
    <phoneticPr fontId="134" type="noConversion"/>
  </si>
  <si>
    <t>3号楼</t>
    <phoneticPr fontId="134" type="noConversion"/>
  </si>
  <si>
    <t>4号楼</t>
    <phoneticPr fontId="134" type="noConversion"/>
  </si>
  <si>
    <t>5号楼</t>
    <phoneticPr fontId="134" type="noConversion"/>
  </si>
  <si>
    <t>6号楼</t>
    <phoneticPr fontId="134" type="noConversion"/>
  </si>
  <si>
    <r>
      <t>1</t>
    </r>
    <r>
      <rPr>
        <sz val="11"/>
        <color theme="1"/>
        <rFont val="宋体"/>
        <family val="3"/>
        <charset val="134"/>
        <scheme val="minor"/>
      </rPr>
      <t>0号楼</t>
    </r>
    <phoneticPr fontId="134" type="noConversion"/>
  </si>
  <si>
    <t>现状楼号</t>
    <phoneticPr fontId="134" type="noConversion"/>
  </si>
  <si>
    <r>
      <t>1</t>
    </r>
    <r>
      <rPr>
        <sz val="11"/>
        <color theme="1"/>
        <rFont val="宋体"/>
        <family val="3"/>
        <charset val="134"/>
        <scheme val="minor"/>
      </rPr>
      <t>1号楼</t>
    </r>
    <phoneticPr fontId="134" type="noConversion"/>
  </si>
  <si>
    <t>8号楼</t>
    <phoneticPr fontId="134" type="noConversion"/>
  </si>
  <si>
    <t>7号楼</t>
    <phoneticPr fontId="134" type="noConversion"/>
  </si>
  <si>
    <t>规划楼号</t>
    <phoneticPr fontId="134" type="noConversion"/>
  </si>
  <si>
    <t>层高</t>
    <phoneticPr fontId="134" type="noConversion"/>
  </si>
  <si>
    <t>建安取值</t>
    <phoneticPr fontId="134" type="noConversion"/>
  </si>
  <si>
    <t>建安总额</t>
    <phoneticPr fontId="134" type="noConversion"/>
  </si>
  <si>
    <t>地上建安取值</t>
    <phoneticPr fontId="134" type="noConversion"/>
  </si>
  <si>
    <t>地下车库建安取值</t>
    <phoneticPr fontId="134" type="noConversion"/>
  </si>
  <si>
    <t>地上建安平均值</t>
    <phoneticPr fontId="134" type="noConversion"/>
  </si>
  <si>
    <t>租金</t>
    <phoneticPr fontId="134" type="noConversion"/>
  </si>
  <si>
    <r>
      <t>1</t>
    </r>
    <r>
      <rPr>
        <sz val="11"/>
        <color theme="1"/>
        <rFont val="宋体"/>
        <family val="3"/>
        <charset val="134"/>
        <scheme val="minor"/>
      </rPr>
      <t>-5层</t>
    </r>
    <phoneticPr fontId="134" type="noConversion"/>
  </si>
  <si>
    <t>1-5层</t>
    <phoneticPr fontId="134" type="noConversion"/>
  </si>
  <si>
    <t>1层</t>
    <phoneticPr fontId="134" type="noConversion"/>
  </si>
  <si>
    <r>
      <t>2</t>
    </r>
    <r>
      <rPr>
        <sz val="11"/>
        <color theme="1"/>
        <rFont val="宋体"/>
        <family val="3"/>
        <charset val="134"/>
        <scheme val="minor"/>
      </rPr>
      <t>-7层</t>
    </r>
    <phoneticPr fontId="134" type="noConversion"/>
  </si>
  <si>
    <r>
      <t>1</t>
    </r>
    <r>
      <rPr>
        <sz val="11"/>
        <color theme="1"/>
        <rFont val="宋体"/>
        <family val="3"/>
        <charset val="134"/>
        <scheme val="minor"/>
      </rPr>
      <t>-3层</t>
    </r>
    <phoneticPr fontId="134" type="noConversion"/>
  </si>
  <si>
    <r>
      <t>1</t>
    </r>
    <r>
      <rPr>
        <sz val="11"/>
        <color theme="1"/>
        <rFont val="宋体"/>
        <family val="3"/>
        <charset val="134"/>
        <scheme val="minor"/>
      </rPr>
      <t>-2层</t>
    </r>
    <phoneticPr fontId="134" type="noConversion"/>
  </si>
  <si>
    <r>
      <t>3</t>
    </r>
    <r>
      <rPr>
        <sz val="11"/>
        <color theme="1"/>
        <rFont val="宋体"/>
        <family val="3"/>
        <charset val="134"/>
        <scheme val="minor"/>
      </rPr>
      <t>-10层</t>
    </r>
    <phoneticPr fontId="134" type="noConversion"/>
  </si>
  <si>
    <t>根据层高分别取租金</t>
    <phoneticPr fontId="134" type="noConversion"/>
  </si>
  <si>
    <t>面积</t>
    <phoneticPr fontId="134" type="noConversion"/>
  </si>
  <si>
    <t>楼层</t>
    <phoneticPr fontId="134" type="noConversion"/>
  </si>
  <si>
    <t>合计租金</t>
    <phoneticPr fontId="134" type="noConversion"/>
  </si>
  <si>
    <t>人防车库</t>
    <phoneticPr fontId="134" type="noConversion"/>
  </si>
  <si>
    <t>押一</t>
  </si>
  <si>
    <t>为四期全部价值</t>
    <phoneticPr fontId="8" type="noConversion"/>
  </si>
  <si>
    <t>三、四期原值</t>
    <phoneticPr fontId="134" type="noConversion"/>
  </si>
  <si>
    <t>地上平均租金</t>
    <phoneticPr fontId="134" type="noConversion"/>
  </si>
  <si>
    <t>由于产权证上无分栋面积，实测报告上只有5栋楼的分层面积，所以建安根据规划许可证和实测的比例分栋取建安，建安的取值面积以规划面积为准</t>
    <phoneticPr fontId="134" type="noConversion"/>
  </si>
  <si>
    <t>不含人防面积</t>
    <phoneticPr fontId="134" type="noConversion"/>
  </si>
  <si>
    <t>三期</t>
    <phoneticPr fontId="134" type="noConversion"/>
  </si>
  <si>
    <t>四期</t>
    <phoneticPr fontId="134" type="noConversion"/>
  </si>
  <si>
    <t>三、四期总计</t>
    <phoneticPr fontId="134" type="noConversion"/>
  </si>
  <si>
    <t>原值合计</t>
    <phoneticPr fontId="134" type="noConversion"/>
  </si>
  <si>
    <t>三、四期不含人防车库</t>
    <phoneticPr fontId="134" type="noConversion"/>
  </si>
  <si>
    <t>单层面积</t>
    <phoneticPr fontId="134" type="noConversion"/>
  </si>
  <si>
    <r>
      <t>1层</t>
    </r>
    <r>
      <rPr>
        <sz val="11"/>
        <color theme="1"/>
        <rFont val="宋体"/>
        <family val="3"/>
        <charset val="134"/>
        <scheme val="minor"/>
      </rPr>
      <t>8.3米</t>
    </r>
    <phoneticPr fontId="134" type="noConversion"/>
  </si>
  <si>
    <r>
      <t>2</t>
    </r>
    <r>
      <rPr>
        <sz val="11"/>
        <color theme="1"/>
        <rFont val="宋体"/>
        <family val="3"/>
        <charset val="134"/>
        <scheme val="minor"/>
      </rPr>
      <t>-7层6米</t>
    </r>
    <phoneticPr fontId="134" type="noConversion"/>
  </si>
  <si>
    <r>
      <t>1</t>
    </r>
    <r>
      <rPr>
        <sz val="11"/>
        <color theme="1"/>
        <rFont val="宋体"/>
        <family val="3"/>
        <charset val="134"/>
        <scheme val="minor"/>
      </rPr>
      <t>-2层6米</t>
    </r>
    <phoneticPr fontId="134" type="noConversion"/>
  </si>
  <si>
    <r>
      <t>3</t>
    </r>
    <r>
      <rPr>
        <sz val="11"/>
        <color theme="1"/>
        <rFont val="宋体"/>
        <family val="3"/>
        <charset val="134"/>
        <scheme val="minor"/>
      </rPr>
      <t>-7层5.8米</t>
    </r>
    <phoneticPr fontId="134" type="noConversion"/>
  </si>
  <si>
    <r>
      <t>3</t>
    </r>
    <r>
      <rPr>
        <sz val="11"/>
        <color theme="1"/>
        <rFont val="宋体"/>
        <family val="3"/>
        <charset val="134"/>
        <scheme val="minor"/>
      </rPr>
      <t>-9层4.5米</t>
    </r>
    <phoneticPr fontId="134" type="noConversion"/>
  </si>
  <si>
    <t>据产权方介绍未缴纳</t>
    <phoneticPr fontId="3" type="noConversion"/>
  </si>
  <si>
    <t>三四期应付未付款项</t>
    <phoneticPr fontId="134" type="noConversion"/>
  </si>
  <si>
    <t>万元</t>
    <phoneticPr fontId="134" type="noConversion"/>
  </si>
  <si>
    <t>按照产权方给的应付未付款项扣减</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</si>
</sst>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
      <sz val="14"/>
      <color indexed="8"/>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0" fillId="0" borderId="0" xfId="0" applyAlignment="1">
      <alignment vertical="center" wrapText="1"/>
    </xf>
    <xf numFmtId="0" fontId="95" fillId="0" borderId="1" xfId="0" applyFont="1" applyBorder="1" applyAlignment="1">
      <alignment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95" fillId="0" borderId="1" xfId="0" applyFont="1" applyBorder="1">
      <alignment vertical="center"/>
    </xf>
    <xf numFmtId="0" fontId="0" fillId="0" borderId="1" xfId="0" applyBorder="1">
      <alignment vertical="center"/>
    </xf>
    <xf numFmtId="14" fontId="0" fillId="0" borderId="1" xfId="0" applyNumberFormat="1" applyBorder="1">
      <alignment vertical="center"/>
    </xf>
    <xf numFmtId="49" fontId="95" fillId="0" borderId="1" xfId="0" applyNumberFormat="1" applyFont="1" applyBorder="1">
      <alignment vertical="center"/>
    </xf>
    <xf numFmtId="0" fontId="95" fillId="5" borderId="0" xfId="0" applyFont="1" applyFill="1" applyAlignment="1">
      <alignment vertical="center" wrapText="1"/>
    </xf>
    <xf numFmtId="0" fontId="95" fillId="5" borderId="0" xfId="0" applyFont="1" applyFill="1">
      <alignment vertical="center"/>
    </xf>
    <xf numFmtId="0" fontId="95" fillId="0" borderId="15" xfId="0" applyFont="1" applyBorder="1" applyAlignment="1">
      <alignment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5" borderId="0" xfId="0" applyFill="1">
      <alignment vertical="center"/>
    </xf>
    <xf numFmtId="0" fontId="95" fillId="5" borderId="1" xfId="0" applyFont="1" applyFill="1" applyBorder="1">
      <alignment vertical="center"/>
    </xf>
    <xf numFmtId="0" fontId="0" fillId="5" borderId="1" xfId="0" applyFill="1" applyBorder="1">
      <alignment vertical="center"/>
    </xf>
    <xf numFmtId="0" fontId="95" fillId="9" borderId="0" xfId="0" applyFont="1" applyFill="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77" fillId="12" borderId="0" xfId="0" applyFont="1" applyFill="1" applyProtection="1">
      <alignment vertical="center"/>
      <protection locked="0"/>
    </xf>
    <xf numFmtId="0" fontId="95" fillId="0" borderId="0" xfId="0" applyFont="1" applyAlignment="1">
      <alignment vertical="center" wrapText="1"/>
    </xf>
    <xf numFmtId="49" fontId="0" fillId="0" borderId="0" xfId="0" applyNumberFormat="1" applyAlignment="1">
      <alignment vertical="center" wrapText="1"/>
    </xf>
    <xf numFmtId="49" fontId="95" fillId="0" borderId="0" xfId="0" applyNumberFormat="1" applyFont="1">
      <alignment vertical="center"/>
    </xf>
    <xf numFmtId="49" fontId="0" fillId="0" borderId="0" xfId="0" applyNumberFormat="1">
      <alignment vertical="center"/>
    </xf>
    <xf numFmtId="176" fontId="0" fillId="0" borderId="0" xfId="0" applyNumberFormat="1">
      <alignment vertical="center"/>
    </xf>
    <xf numFmtId="176" fontId="0" fillId="0" borderId="0" xfId="0" applyNumberFormat="1" applyAlignment="1">
      <alignment vertical="center" wrapText="1"/>
    </xf>
    <xf numFmtId="176" fontId="95" fillId="0" borderId="0" xfId="0" applyNumberFormat="1" applyFont="1">
      <alignment vertical="center"/>
    </xf>
    <xf numFmtId="49" fontId="95" fillId="9" borderId="0" xfId="0" applyNumberFormat="1" applyFont="1" applyFill="1">
      <alignment vertical="center"/>
    </xf>
    <xf numFmtId="49" fontId="0" fillId="9" borderId="0" xfId="0" applyNumberFormat="1" applyFill="1">
      <alignment vertical="center"/>
    </xf>
    <xf numFmtId="176" fontId="0" fillId="9" borderId="0" xfId="0" applyNumberFormat="1" applyFill="1">
      <alignment vertical="center"/>
    </xf>
    <xf numFmtId="181" fontId="98" fillId="0" borderId="0" xfId="17" applyNumberFormat="1" applyFont="1" applyAlignment="1">
      <alignment horizontal="left" vertical="center" wrapText="1"/>
    </xf>
    <xf numFmtId="0" fontId="77" fillId="5" borderId="3" xfId="0" applyFont="1" applyFill="1" applyBorder="1" applyAlignment="1" applyProtection="1">
      <alignment horizontal="center" vertical="center" wrapText="1"/>
      <protection locked="0"/>
    </xf>
    <xf numFmtId="2" fontId="44" fillId="0" borderId="23" xfId="0" applyNumberFormat="1" applyFont="1" applyBorder="1" applyAlignment="1" applyProtection="1">
      <alignment horizontal="center" vertical="center"/>
      <protection locked="0"/>
    </xf>
    <xf numFmtId="177" fontId="139" fillId="3" borderId="3" xfId="0" applyNumberFormat="1" applyFont="1" applyFill="1" applyBorder="1" applyProtection="1">
      <alignment vertical="center"/>
      <protection locked="0"/>
    </xf>
    <xf numFmtId="0" fontId="0" fillId="0" borderId="1" xfId="0" applyBorder="1" applyAlignment="1">
      <alignment horizontal="center" vertical="center" wrapText="1"/>
    </xf>
    <xf numFmtId="0" fontId="95" fillId="12" borderId="1" xfId="0" applyFont="1" applyFill="1" applyBorder="1">
      <alignment vertical="center"/>
    </xf>
    <xf numFmtId="0" fontId="270" fillId="0" borderId="0" xfId="0" applyFont="1">
      <alignment vertical="center"/>
    </xf>
    <xf numFmtId="0" fontId="0" fillId="5" borderId="0" xfId="0" applyFill="1" applyAlignment="1">
      <alignment vertical="center" wrapText="1"/>
    </xf>
    <xf numFmtId="0" fontId="98" fillId="5" borderId="0" xfId="17" applyNumberFormat="1" applyFont="1" applyFill="1" applyAlignment="1">
      <alignment horizontal="left" vertical="center" wrapText="1"/>
    </xf>
    <xf numFmtId="0" fontId="95" fillId="0" borderId="5" xfId="0" applyFont="1" applyBorder="1">
      <alignment vertical="center"/>
    </xf>
    <xf numFmtId="0" fontId="0" fillId="0" borderId="5" xfId="0" applyBorder="1">
      <alignment vertical="center"/>
    </xf>
    <xf numFmtId="0" fontId="95" fillId="0" borderId="1" xfId="0" applyFont="1" applyBorder="1" applyAlignment="1">
      <alignment horizontal="center" vertical="center" wrapText="1"/>
    </xf>
    <xf numFmtId="0" fontId="47" fillId="8" borderId="13" xfId="0" applyFont="1" applyFill="1" applyBorder="1">
      <alignment vertical="center"/>
    </xf>
    <xf numFmtId="0" fontId="271" fillId="6" borderId="0" xfId="0" applyFont="1" applyFill="1">
      <alignment vertical="center"/>
    </xf>
    <xf numFmtId="0" fontId="95" fillId="22" borderId="0" xfId="0" applyFont="1" applyFill="1">
      <alignment vertical="center"/>
    </xf>
    <xf numFmtId="0" fontId="0" fillId="22" borderId="0" xfId="0" applyFill="1">
      <alignment vertical="center"/>
    </xf>
    <xf numFmtId="0" fontId="95" fillId="22" borderId="0" xfId="0" applyFont="1" applyFill="1" applyAlignment="1">
      <alignment vertical="center" wrapText="1"/>
    </xf>
    <xf numFmtId="0" fontId="95" fillId="22" borderId="1" xfId="0" applyFont="1" applyFill="1" applyBorder="1">
      <alignment vertical="center"/>
    </xf>
    <xf numFmtId="0" fontId="0" fillId="22" borderId="1" xfId="0" applyFill="1" applyBorder="1">
      <alignment vertical="center"/>
    </xf>
    <xf numFmtId="0" fontId="0" fillId="22" borderId="5" xfId="0" applyFill="1" applyBorder="1">
      <alignment vertical="center"/>
    </xf>
    <xf numFmtId="0" fontId="95" fillId="5" borderId="15" xfId="0" applyFont="1" applyFill="1" applyBorder="1">
      <alignment vertical="center"/>
    </xf>
    <xf numFmtId="0" fontId="95" fillId="23" borderId="0" xfId="0" applyFont="1" applyFill="1">
      <alignment vertical="center"/>
    </xf>
    <xf numFmtId="0" fontId="0" fillId="23" borderId="0" xfId="0" applyFill="1">
      <alignment vertical="center"/>
    </xf>
    <xf numFmtId="2" fontId="0" fillId="23" borderId="0" xfId="0" applyNumberFormat="1" applyFill="1">
      <alignment vertical="center"/>
    </xf>
    <xf numFmtId="179" fontId="0" fillId="23" borderId="0" xfId="0" applyNumberFormat="1" applyFill="1">
      <alignment vertical="center"/>
    </xf>
    <xf numFmtId="0" fontId="95" fillId="23" borderId="1" xfId="0" applyFont="1" applyFill="1" applyBorder="1">
      <alignment vertical="center"/>
    </xf>
    <xf numFmtId="0" fontId="0" fillId="23" borderId="1" xfId="0" applyFill="1" applyBorder="1">
      <alignment vertical="center"/>
    </xf>
    <xf numFmtId="0" fontId="95" fillId="23" borderId="1" xfId="0" applyFont="1" applyFill="1" applyBorder="1" applyAlignment="1">
      <alignment vertical="center" wrapText="1"/>
    </xf>
    <xf numFmtId="0" fontId="0" fillId="0" borderId="0" xfId="0" applyBorder="1">
      <alignment vertical="center"/>
    </xf>
    <xf numFmtId="0" fontId="0" fillId="22" borderId="1" xfId="0" applyFill="1" applyBorder="1" applyAlignment="1">
      <alignment horizontal="center" vertical="center"/>
    </xf>
    <xf numFmtId="196" fontId="0" fillId="0" borderId="0" xfId="0" applyNumberFormat="1">
      <alignment vertical="center"/>
    </xf>
    <xf numFmtId="0" fontId="44" fillId="8" borderId="29" xfId="0" applyFont="1" applyFill="1" applyBorder="1" applyAlignment="1">
      <alignment horizontal="center" vertical="center"/>
    </xf>
    <xf numFmtId="0" fontId="77" fillId="7"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0" fillId="0" borderId="0" xfId="0" applyAlignment="1">
      <alignment horizontal="center" vertical="center"/>
    </xf>
    <xf numFmtId="0" fontId="95" fillId="0" borderId="0" xfId="0" applyFont="1" applyAlignment="1">
      <alignment horizontal="center" vertical="center"/>
    </xf>
    <xf numFmtId="0" fontId="95" fillId="0" borderId="0" xfId="0" applyFont="1" applyAlignment="1">
      <alignment horizontal="center" vertical="center" wrapText="1"/>
    </xf>
    <xf numFmtId="0" fontId="0" fillId="0" borderId="0" xfId="0" applyAlignment="1">
      <alignment horizontal="center" vertical="center" wrapText="1"/>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139" fillId="8"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5" fillId="0" borderId="5" xfId="0" applyFont="1" applyBorder="1" applyAlignment="1">
      <alignment horizontal="center" vertical="center"/>
    </xf>
    <xf numFmtId="0" fontId="95" fillId="0" borderId="54" xfId="0" applyFont="1" applyBorder="1" applyAlignment="1">
      <alignment horizontal="center" vertical="center"/>
    </xf>
    <xf numFmtId="0" fontId="95" fillId="0" borderId="3" xfId="0" applyFont="1" applyBorder="1" applyAlignment="1">
      <alignment horizontal="center" vertical="center"/>
    </xf>
    <xf numFmtId="0" fontId="0" fillId="0" borderId="54" xfId="0" applyBorder="1" applyAlignment="1">
      <alignment horizontal="center" vertical="center"/>
    </xf>
    <xf numFmtId="0" fontId="95" fillId="0" borderId="1" xfId="0" applyFon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95" fillId="0" borderId="5" xfId="0" applyFont="1" applyBorder="1" applyAlignment="1">
      <alignment horizontal="center" vertical="center" wrapText="1"/>
    </xf>
    <xf numFmtId="0" fontId="95" fillId="0" borderId="3" xfId="0" applyFont="1" applyBorder="1" applyAlignment="1">
      <alignment horizontal="center" vertical="center" wrapText="1"/>
    </xf>
    <xf numFmtId="0" fontId="95" fillId="0" borderId="1" xfId="0" applyFont="1" applyBorder="1" applyAlignment="1">
      <alignment horizontal="center"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7" fontId="44" fillId="24" borderId="1" xfId="1" applyNumberFormat="1" applyFont="1" applyFill="1" applyBorder="1" applyAlignment="1" applyProtection="1">
      <alignment horizontal="center" vertical="center"/>
      <protection locked="0"/>
    </xf>
    <xf numFmtId="177" fontId="47" fillId="24" borderId="1" xfId="1" applyNumberFormat="1" applyFont="1" applyFill="1" applyBorder="1" applyAlignment="1" applyProtection="1">
      <alignment horizontal="center" vertical="center"/>
      <protection locked="0"/>
    </xf>
    <xf numFmtId="10" fontId="44" fillId="24" borderId="1" xfId="1" applyNumberFormat="1" applyFont="1" applyFill="1" applyBorder="1" applyAlignment="1" applyProtection="1">
      <alignment horizontal="center" vertical="center"/>
      <protection locked="0"/>
    </xf>
    <xf numFmtId="179" fontId="44" fillId="24" borderId="23" xfId="0" applyNumberFormat="1" applyFont="1" applyFill="1" applyBorder="1" applyAlignment="1" applyProtection="1">
      <alignment horizontal="center" vertical="center"/>
      <protection locked="0"/>
    </xf>
    <xf numFmtId="10" fontId="44" fillId="24" borderId="1" xfId="0" applyNumberFormat="1" applyFont="1" applyFill="1" applyBorder="1" applyAlignment="1" applyProtection="1">
      <alignment horizontal="center" vertical="center"/>
      <protection locked="0"/>
    </xf>
    <xf numFmtId="0" fontId="44" fillId="24" borderId="24" xfId="0" applyFont="1" applyFill="1" applyBorder="1" applyAlignment="1" applyProtection="1">
      <alignment horizontal="center" vertical="center"/>
      <protection locked="0"/>
    </xf>
    <xf numFmtId="0" fontId="53" fillId="24" borderId="32" xfId="0" applyFont="1" applyFill="1" applyBorder="1" applyAlignment="1" applyProtection="1">
      <alignment vertical="center" wrapText="1"/>
      <protection locked="0"/>
    </xf>
    <xf numFmtId="0" fontId="53" fillId="24" borderId="61" xfId="1" applyFont="1" applyFill="1" applyBorder="1" applyAlignment="1" applyProtection="1">
      <alignment horizontal="center" vertical="center"/>
      <protection locked="0"/>
    </xf>
    <xf numFmtId="0" fontId="54" fillId="24" borderId="24" xfId="1" applyFont="1" applyFill="1" applyBorder="1" applyAlignment="1" applyProtection="1">
      <alignment horizontal="lef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259080</xdr:colOff>
      <xdr:row>64</xdr:row>
      <xdr:rowOff>38100</xdr:rowOff>
    </xdr:from>
    <xdr:to>
      <xdr:col>21</xdr:col>
      <xdr:colOff>325321</xdr:colOff>
      <xdr:row>90</xdr:row>
      <xdr:rowOff>10604</xdr:rowOff>
    </xdr:to>
    <xdr:pic>
      <xdr:nvPicPr>
        <xdr:cNvPr id="2" name="图片 1">
          <a:extLst>
            <a:ext uri="{FF2B5EF4-FFF2-40B4-BE49-F238E27FC236}">
              <a16:creationId xmlns:a16="http://schemas.microsoft.com/office/drawing/2014/main" xmlns="" id="{8C4B4B2A-5870-1ED0-CCF3-60A226F790FF}"/>
            </a:ext>
          </a:extLst>
        </xdr:cNvPr>
        <xdr:cNvPicPr>
          <a:picLocks noChangeAspect="1"/>
        </xdr:cNvPicPr>
      </xdr:nvPicPr>
      <xdr:blipFill>
        <a:blip xmlns:r="http://schemas.openxmlformats.org/officeDocument/2006/relationships" r:embed="rId1"/>
        <a:stretch>
          <a:fillRect/>
        </a:stretch>
      </xdr:blipFill>
      <xdr:spPr>
        <a:xfrm>
          <a:off x="6804660" y="6621780"/>
          <a:ext cx="7983421" cy="47273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4</xdr:col>
      <xdr:colOff>795678</xdr:colOff>
      <xdr:row>46</xdr:row>
      <xdr:rowOff>96594</xdr:rowOff>
    </xdr:to>
    <xdr:pic>
      <xdr:nvPicPr>
        <xdr:cNvPr id="2" name="图片 1">
          <a:extLst>
            <a:ext uri="{FF2B5EF4-FFF2-40B4-BE49-F238E27FC236}">
              <a16:creationId xmlns:a16="http://schemas.microsoft.com/office/drawing/2014/main" xmlns="" id="{96ED11A5-3C88-250C-76F4-FBBC97CAD77A}"/>
            </a:ext>
          </a:extLst>
        </xdr:cNvPr>
        <xdr:cNvPicPr>
          <a:picLocks noChangeAspect="1"/>
        </xdr:cNvPicPr>
      </xdr:nvPicPr>
      <xdr:blipFill>
        <a:blip xmlns:r="http://schemas.openxmlformats.org/officeDocument/2006/relationships" r:embed="rId1"/>
        <a:stretch>
          <a:fillRect/>
        </a:stretch>
      </xdr:blipFill>
      <xdr:spPr>
        <a:xfrm>
          <a:off x="0" y="4389120"/>
          <a:ext cx="4895238" cy="44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436443</xdr:colOff>
      <xdr:row>27</xdr:row>
      <xdr:rowOff>83821</xdr:rowOff>
    </xdr:to>
    <xdr:pic>
      <xdr:nvPicPr>
        <xdr:cNvPr id="2" name="图片 1">
          <a:extLst>
            <a:ext uri="{FF2B5EF4-FFF2-40B4-BE49-F238E27FC236}">
              <a16:creationId xmlns:a16="http://schemas.microsoft.com/office/drawing/2014/main" xmlns="" id="{11991D98-375F-6C20-FBA1-BB703E2E60B4}"/>
            </a:ext>
          </a:extLst>
        </xdr:cNvPr>
        <xdr:cNvPicPr>
          <a:picLocks noChangeAspect="1"/>
        </xdr:cNvPicPr>
      </xdr:nvPicPr>
      <xdr:blipFill>
        <a:blip xmlns:r="http://schemas.openxmlformats.org/officeDocument/2006/relationships" r:embed="rId1"/>
        <a:stretch>
          <a:fillRect/>
        </a:stretch>
      </xdr:blipFill>
      <xdr:spPr>
        <a:xfrm>
          <a:off x="1" y="1"/>
          <a:ext cx="6532442" cy="5021580"/>
        </a:xfrm>
        <a:prstGeom prst="rect">
          <a:avLst/>
        </a:prstGeom>
      </xdr:spPr>
    </xdr:pic>
    <xdr:clientData/>
  </xdr:twoCellAnchor>
  <xdr:twoCellAnchor editAs="oneCell">
    <xdr:from>
      <xdr:col>0</xdr:col>
      <xdr:colOff>0</xdr:colOff>
      <xdr:row>28</xdr:row>
      <xdr:rowOff>15240</xdr:rowOff>
    </xdr:from>
    <xdr:to>
      <xdr:col>10</xdr:col>
      <xdr:colOff>107072</xdr:colOff>
      <xdr:row>54</xdr:row>
      <xdr:rowOff>115185</xdr:rowOff>
    </xdr:to>
    <xdr:pic>
      <xdr:nvPicPr>
        <xdr:cNvPr id="3" name="图片 2">
          <a:extLst>
            <a:ext uri="{FF2B5EF4-FFF2-40B4-BE49-F238E27FC236}">
              <a16:creationId xmlns:a16="http://schemas.microsoft.com/office/drawing/2014/main" xmlns="" id="{F76F3AFC-26C3-C411-D26A-12AF2949296B}"/>
            </a:ext>
          </a:extLst>
        </xdr:cNvPr>
        <xdr:cNvPicPr>
          <a:picLocks noChangeAspect="1"/>
        </xdr:cNvPicPr>
      </xdr:nvPicPr>
      <xdr:blipFill>
        <a:blip xmlns:r="http://schemas.openxmlformats.org/officeDocument/2006/relationships" r:embed="rId2"/>
        <a:stretch>
          <a:fillRect/>
        </a:stretch>
      </xdr:blipFill>
      <xdr:spPr>
        <a:xfrm>
          <a:off x="0" y="5135880"/>
          <a:ext cx="6203072" cy="4854825"/>
        </a:xfrm>
        <a:prstGeom prst="rect">
          <a:avLst/>
        </a:prstGeom>
      </xdr:spPr>
    </xdr:pic>
    <xdr:clientData/>
  </xdr:twoCellAnchor>
  <xdr:twoCellAnchor editAs="oneCell">
    <xdr:from>
      <xdr:col>0</xdr:col>
      <xdr:colOff>0</xdr:colOff>
      <xdr:row>55</xdr:row>
      <xdr:rowOff>76199</xdr:rowOff>
    </xdr:from>
    <xdr:to>
      <xdr:col>9</xdr:col>
      <xdr:colOff>114300</xdr:colOff>
      <xdr:row>80</xdr:row>
      <xdr:rowOff>181408</xdr:rowOff>
    </xdr:to>
    <xdr:pic>
      <xdr:nvPicPr>
        <xdr:cNvPr id="4" name="图片 3">
          <a:extLst>
            <a:ext uri="{FF2B5EF4-FFF2-40B4-BE49-F238E27FC236}">
              <a16:creationId xmlns:a16="http://schemas.microsoft.com/office/drawing/2014/main" xmlns="" id="{9BF1DF64-B280-0798-4CEA-9B99CDE113D4}"/>
            </a:ext>
          </a:extLst>
        </xdr:cNvPr>
        <xdr:cNvPicPr>
          <a:picLocks noChangeAspect="1"/>
        </xdr:cNvPicPr>
      </xdr:nvPicPr>
      <xdr:blipFill>
        <a:blip xmlns:r="http://schemas.openxmlformats.org/officeDocument/2006/relationships" r:embed="rId3"/>
        <a:stretch>
          <a:fillRect/>
        </a:stretch>
      </xdr:blipFill>
      <xdr:spPr>
        <a:xfrm>
          <a:off x="0" y="10134599"/>
          <a:ext cx="5600700" cy="4677209"/>
        </a:xfrm>
        <a:prstGeom prst="rect">
          <a:avLst/>
        </a:prstGeom>
      </xdr:spPr>
    </xdr:pic>
    <xdr:clientData/>
  </xdr:twoCellAnchor>
  <xdr:twoCellAnchor editAs="oneCell">
    <xdr:from>
      <xdr:col>0</xdr:col>
      <xdr:colOff>329646</xdr:colOff>
      <xdr:row>82</xdr:row>
      <xdr:rowOff>0</xdr:rowOff>
    </xdr:from>
    <xdr:to>
      <xdr:col>12</xdr:col>
      <xdr:colOff>160990</xdr:colOff>
      <xdr:row>125</xdr:row>
      <xdr:rowOff>65638</xdr:rowOff>
    </xdr:to>
    <xdr:pic>
      <xdr:nvPicPr>
        <xdr:cNvPr id="5" name="图片 4">
          <a:extLst>
            <a:ext uri="{FF2B5EF4-FFF2-40B4-BE49-F238E27FC236}">
              <a16:creationId xmlns:a16="http://schemas.microsoft.com/office/drawing/2014/main" xmlns="" id="{34067FC3-9B9D-82E9-C101-D30BD68402AB}"/>
            </a:ext>
          </a:extLst>
        </xdr:cNvPr>
        <xdr:cNvPicPr>
          <a:picLocks noChangeAspect="1"/>
        </xdr:cNvPicPr>
      </xdr:nvPicPr>
      <xdr:blipFill>
        <a:blip xmlns:r="http://schemas.openxmlformats.org/officeDocument/2006/relationships" r:embed="rId4"/>
        <a:stretch>
          <a:fillRect/>
        </a:stretch>
      </xdr:blipFill>
      <xdr:spPr>
        <a:xfrm>
          <a:off x="329646" y="14996160"/>
          <a:ext cx="7146544" cy="79294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966&#22312;&#24314;&#19977;&#12289;&#22235;&#26399;&#27979;&#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弃用"/>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酒店模型"/>
      <sheetName val="收益法 车库"/>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面积清单"/>
      <sheetName val="规划许可证面积表"/>
      <sheetName val="层高"/>
      <sheetName val="租赁合同"/>
      <sheetName val="土地比较法-工业"/>
      <sheetName val="案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54437.460000000006</v>
          </cell>
          <cell r="C14">
            <v>16868.97</v>
          </cell>
          <cell r="D14">
            <v>42636</v>
          </cell>
        </row>
      </sheetData>
      <sheetData sheetId="18">
        <row r="19">
          <cell r="G19">
            <v>42636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估价对象为北京市房地产，为所有。根据《国有土地使用证》[]，估价对象（分摊）出让国有建设用地使用权面积为14991.03平方米，建筑面积为48377.23平方米。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估价对象为北京市房地产,属开发建设的工业项目，该项目尚在开发建设中。根据《国有土地使用证》[]，估价对象（分摊）出让国有建设用地使用权面积为14991.03平方米，规划建筑面积为48377.23平方米。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2024年11月11日（评估专业人员实地查勘之日）</v>
      </c>
    </row>
    <row r="13" spans="1:2">
      <c r="A13" s="1116" t="s">
        <v>529</v>
      </c>
      <c r="B13" s="1117" t="str">
        <f>'预评函-1'!A18</f>
        <v>本次估价的“房地产价值”是指在正常市场情况下，在价值时点2024年11月11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39843</v>
      </c>
    </row>
    <row r="21" spans="1:2">
      <c r="A21" s="1116" t="s">
        <v>537</v>
      </c>
      <c r="B21" s="1117">
        <f ca="1">'预评函-2'!D7</f>
        <v>8236</v>
      </c>
    </row>
    <row r="22" spans="1:2">
      <c r="A22" s="1116" t="s">
        <v>538</v>
      </c>
      <c r="B22" s="1117" t="str">
        <f ca="1">'预评函-2'!D6</f>
        <v>叁亿玖仟捌佰肆拾叁万元整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39843</v>
      </c>
    </row>
    <row r="31" spans="1:2">
      <c r="A31" s="1116" t="s">
        <v>576</v>
      </c>
      <c r="B31" s="1117">
        <f ca="1">'预评函-2'!D15</f>
        <v>8236</v>
      </c>
    </row>
    <row r="32" spans="1:2">
      <c r="A32" s="1116" t="s">
        <v>543</v>
      </c>
      <c r="B32" s="1117" t="str">
        <f ca="1">'预评函-2'!D14</f>
        <v>叁亿玖仟捌佰肆拾叁万元整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48377.229999999996</v>
      </c>
    </row>
    <row r="44" spans="1:2">
      <c r="A44" s="1116" t="s">
        <v>575</v>
      </c>
      <c r="B44" s="1117" t="str">
        <f>'预评函-3'!C2</f>
        <v>(分摊)土地面积</v>
      </c>
    </row>
    <row r="45" spans="1:2">
      <c r="A45" s="1116" t="s">
        <v>547</v>
      </c>
      <c r="B45" s="1117">
        <f>'预评函-3'!C4</f>
        <v>14991.03</v>
      </c>
    </row>
    <row r="46" spans="1:2">
      <c r="A46" s="1116" t="s">
        <v>573</v>
      </c>
      <c r="B46" s="1117" t="str">
        <f>'预评函-3'!D2</f>
        <v>出让国有建设用地使用权价值</v>
      </c>
    </row>
    <row r="47" spans="1:2">
      <c r="A47" s="1116" t="s">
        <v>548</v>
      </c>
      <c r="B47" s="1117">
        <f ca="1">'预评函-3'!D4</f>
        <v>7969</v>
      </c>
    </row>
    <row r="48" spans="1:2">
      <c r="A48" s="1116" t="s">
        <v>549</v>
      </c>
      <c r="B48" s="1117">
        <f ca="1">'预评函-3'!E4</f>
        <v>1647</v>
      </c>
    </row>
    <row r="49" spans="1:2">
      <c r="A49" s="1116" t="s">
        <v>550</v>
      </c>
      <c r="B49" s="1117" t="str">
        <f ca="1">'预评函-3'!D5</f>
        <v>柒仟玖佰陆拾玖万元整</v>
      </c>
    </row>
    <row r="50" spans="1:2">
      <c r="A50" s="1116" t="s">
        <v>574</v>
      </c>
      <c r="B50" s="1117" t="str">
        <f>'预评函-3'!F2</f>
        <v>在建建筑物价值</v>
      </c>
    </row>
    <row r="51" spans="1:2">
      <c r="A51" s="1116" t="s">
        <v>551</v>
      </c>
      <c r="B51" s="1117">
        <f ca="1">'预评函-3'!F4</f>
        <v>31874</v>
      </c>
    </row>
    <row r="52" spans="1:2">
      <c r="A52" s="1116" t="s">
        <v>552</v>
      </c>
      <c r="B52" s="1117">
        <f ca="1">'预评函-3'!G4</f>
        <v>6589</v>
      </c>
    </row>
    <row r="53" spans="1:2">
      <c r="A53" s="1116" t="s">
        <v>580</v>
      </c>
      <c r="B53" s="1117" t="str">
        <f ca="1">'预评函-3'!F5</f>
        <v>叁亿壹仟捌佰柒拾肆万元整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3353</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3339</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3340</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3341</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3342</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3343</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3344</v>
      </c>
    </row>
    <row r="8" spans="1:23">
      <c r="A8" s="1438" t="s">
        <v>1026</v>
      </c>
      <c r="B8" s="1438" t="s">
        <v>1027</v>
      </c>
      <c r="C8" s="1439" t="s">
        <v>319</v>
      </c>
      <c r="F8" s="1440" t="s">
        <v>1028</v>
      </c>
      <c r="H8" s="1440" t="s">
        <v>2579</v>
      </c>
      <c r="I8" s="1440" t="s">
        <v>3345</v>
      </c>
    </row>
    <row r="9" spans="1:23">
      <c r="A9" s="1438" t="s">
        <v>1029</v>
      </c>
      <c r="B9" s="1438" t="s">
        <v>1030</v>
      </c>
      <c r="C9" s="1439" t="s">
        <v>320</v>
      </c>
      <c r="F9" s="1440" t="s">
        <v>1031</v>
      </c>
      <c r="H9" s="1440"/>
      <c r="I9" s="1442" t="s">
        <v>3346</v>
      </c>
    </row>
    <row r="10" spans="1:23">
      <c r="A10" s="1438" t="s">
        <v>1032</v>
      </c>
      <c r="B10" s="1438" t="s">
        <v>1033</v>
      </c>
      <c r="C10" s="1439" t="s">
        <v>321</v>
      </c>
      <c r="F10" s="1440" t="s">
        <v>2580</v>
      </c>
      <c r="I10" s="1442" t="s">
        <v>3347</v>
      </c>
    </row>
    <row r="11" spans="1:23">
      <c r="A11" s="1438" t="s">
        <v>1034</v>
      </c>
      <c r="B11" s="1438" t="s">
        <v>1035</v>
      </c>
      <c r="C11" s="1439" t="s">
        <v>322</v>
      </c>
      <c r="F11" s="1440" t="s">
        <v>13</v>
      </c>
      <c r="I11" s="1442" t="s">
        <v>3348</v>
      </c>
    </row>
    <row r="12" spans="1:23">
      <c r="A12" s="1438" t="s">
        <v>1036</v>
      </c>
      <c r="B12" s="1438" t="s">
        <v>1037</v>
      </c>
      <c r="C12" s="1439" t="s">
        <v>323</v>
      </c>
      <c r="I12" s="1442" t="s">
        <v>3349</v>
      </c>
    </row>
    <row r="13" spans="1:23">
      <c r="A13" s="1438" t="s">
        <v>1038</v>
      </c>
      <c r="B13" s="1438" t="s">
        <v>1039</v>
      </c>
      <c r="C13" s="1439" t="s">
        <v>324</v>
      </c>
      <c r="I13" s="1442" t="s">
        <v>3350</v>
      </c>
    </row>
    <row r="14" spans="1:23">
      <c r="A14" s="1438" t="s">
        <v>1040</v>
      </c>
      <c r="B14" s="1438" t="s">
        <v>1041</v>
      </c>
      <c r="C14" s="1440" t="s">
        <v>13</v>
      </c>
      <c r="I14" s="1442" t="s">
        <v>3351</v>
      </c>
    </row>
    <row r="15" spans="1:23">
      <c r="A15" s="1438" t="s">
        <v>1042</v>
      </c>
      <c r="B15" s="1438" t="s">
        <v>1043</v>
      </c>
      <c r="C15" s="1439"/>
      <c r="I15" s="1442" t="s">
        <v>3352</v>
      </c>
    </row>
    <row r="16" spans="1:23">
      <c r="A16" s="1438" t="s">
        <v>1044</v>
      </c>
      <c r="B16" s="1438" t="s">
        <v>312</v>
      </c>
      <c r="C16" s="1439"/>
    </row>
    <row r="17" spans="1:3">
      <c r="A17" s="1438" t="s">
        <v>1045</v>
      </c>
      <c r="B17" s="1438" t="s">
        <v>2293</v>
      </c>
      <c r="C17" s="1439"/>
    </row>
    <row r="18" spans="1:3">
      <c r="A18" s="1438" t="s">
        <v>1046</v>
      </c>
      <c r="B18" s="1438" t="s">
        <v>2435</v>
      </c>
      <c r="C18" s="1439"/>
    </row>
    <row r="19" spans="1:3">
      <c r="A19" s="1438" t="s">
        <v>1047</v>
      </c>
      <c r="B19" s="1438" t="s">
        <v>3626</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45"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5"/>
      <c r="B54" s="1444" t="s">
        <v>385</v>
      </c>
      <c r="C54" s="1442" t="s">
        <v>583</v>
      </c>
    </row>
    <row r="55" spans="1:4">
      <c r="A55" s="3245"/>
      <c r="B55" s="1444" t="s">
        <v>386</v>
      </c>
      <c r="C55" s="1442" t="s">
        <v>584</v>
      </c>
    </row>
    <row r="56" spans="1:4">
      <c r="A56" s="3245"/>
      <c r="B56" s="1444" t="s">
        <v>387</v>
      </c>
      <c r="C56" s="1442" t="s">
        <v>588</v>
      </c>
    </row>
    <row r="57" spans="1:4">
      <c r="A57" s="3245"/>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46" t="s">
        <v>2582</v>
      </c>
      <c r="J2" s="3246"/>
      <c r="K2" s="3246"/>
      <c r="L2" s="3246"/>
      <c r="M2" s="3246"/>
      <c r="N2" s="3246"/>
      <c r="O2" s="3246"/>
      <c r="P2" s="3246"/>
      <c r="Q2" s="3246"/>
      <c r="R2" s="3246"/>
    </row>
    <row r="3" spans="1:18">
      <c r="A3" s="2760" t="s">
        <v>2503</v>
      </c>
      <c r="B3" s="2761">
        <f>项目基本情况!D3</f>
        <v>45607</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2.1</v>
      </c>
      <c r="D5" s="2765">
        <f>IF(ISERROR(ROUND(POWER(1+E5,A5-C5)*(POWER(1+E5,C5)-1)/(POWER(1+E5,A5)-1),3)),0,ROUND(POWER(1+E5,A5-C5)*(POWER(1+E5,C5)-1)/(POWER(1+E5,A5)-1),4))</f>
        <v>9.9900000000000003E-2</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12.11</v>
      </c>
      <c r="D6" s="2765">
        <f>IF(ISERROR(ROUND(POWER(1+E6,A6-C6)*(POWER(1+E6,C6)-1)/(POWER(1+E6,A6)-1),3)),0,ROUND(POWER(1+E6,A6-C6)*(POWER(1+E6,C6)-1)/(POWER(1+E6,A6)-1),4))</f>
        <v>0.44</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32.119999999999997</v>
      </c>
      <c r="D7" s="2765">
        <f>IF(ISERROR(ROUND(POWER(1+E7,A7-C7)*(POWER(1+E7,C7)-1)/(POWER(1+E7,A7)-1),3)),0,ROUND(POWER(1+E7,A7-C7)*(POWER(1+E7,C7)-1)/(POWER(1+E7,A7)-1),4))</f>
        <v>0.76539999999999997</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66"/>
  <sheetViews>
    <sheetView topLeftCell="G1" zoomScaleNormal="100" workbookViewId="0">
      <selection activeCell="A18" sqref="A18:M25"/>
    </sheetView>
  </sheetViews>
  <sheetFormatPr defaultRowHeight="13.5"/>
  <cols>
    <col min="1" max="1" width="12" customWidth="1"/>
    <col min="2" max="2" width="21.875" customWidth="1"/>
    <col min="4" max="4" width="13.5" customWidth="1"/>
    <col min="5" max="5" width="15.25" customWidth="1"/>
    <col min="6" max="6" width="14.125" customWidth="1"/>
    <col min="14" max="14" width="17.625" customWidth="1"/>
  </cols>
  <sheetData>
    <row r="1" spans="1:9">
      <c r="A1" s="3151" t="s">
        <v>3470</v>
      </c>
      <c r="B1" s="3155"/>
      <c r="C1" s="3155"/>
      <c r="D1" s="3155"/>
      <c r="E1" s="3155"/>
      <c r="F1" s="3155"/>
      <c r="G1" s="3155"/>
      <c r="H1" s="3155"/>
    </row>
    <row r="2" spans="1:9">
      <c r="A2" s="3151" t="s">
        <v>3463</v>
      </c>
      <c r="B2" s="3151" t="s">
        <v>3464</v>
      </c>
      <c r="C2" s="3151" t="s">
        <v>3465</v>
      </c>
      <c r="D2" s="3151" t="s">
        <v>3466</v>
      </c>
      <c r="E2" s="3151" t="s">
        <v>3467</v>
      </c>
      <c r="F2" s="3151" t="s">
        <v>3468</v>
      </c>
      <c r="G2" s="3151" t="s">
        <v>3469</v>
      </c>
      <c r="H2" s="3151" t="s">
        <v>3493</v>
      </c>
    </row>
    <row r="3" spans="1:9">
      <c r="A3" s="3151" t="s">
        <v>3471</v>
      </c>
      <c r="B3" s="3151" t="s">
        <v>3472</v>
      </c>
      <c r="C3" s="3155">
        <v>14587.9</v>
      </c>
      <c r="D3" s="3155">
        <v>4294.7</v>
      </c>
      <c r="E3" s="3151" t="s">
        <v>3473</v>
      </c>
      <c r="F3" s="3155">
        <v>45</v>
      </c>
      <c r="G3" s="3155"/>
      <c r="H3" s="3155">
        <v>-11.3</v>
      </c>
    </row>
    <row r="4" spans="1:9">
      <c r="A4" s="1402" t="s">
        <v>3453</v>
      </c>
      <c r="B4" s="1402" t="s">
        <v>3513</v>
      </c>
      <c r="C4">
        <v>3629</v>
      </c>
      <c r="E4" s="1402" t="s">
        <v>3458</v>
      </c>
      <c r="F4">
        <v>26</v>
      </c>
      <c r="H4" s="3249" t="s">
        <v>3518</v>
      </c>
    </row>
    <row r="5" spans="1:9">
      <c r="A5" s="1402" t="s">
        <v>3454</v>
      </c>
      <c r="B5" s="1402" t="s">
        <v>3475</v>
      </c>
      <c r="C5">
        <v>3110.6</v>
      </c>
      <c r="E5" s="1402" t="s">
        <v>3461</v>
      </c>
      <c r="F5">
        <v>44</v>
      </c>
      <c r="H5" s="3250"/>
    </row>
    <row r="6" spans="1:9">
      <c r="A6" s="1402" t="s">
        <v>3455</v>
      </c>
      <c r="B6" s="1402" t="s">
        <v>3475</v>
      </c>
      <c r="C6">
        <v>3110.6</v>
      </c>
      <c r="E6" s="1402" t="s">
        <v>3461</v>
      </c>
      <c r="F6">
        <v>44</v>
      </c>
      <c r="H6" s="3250"/>
    </row>
    <row r="7" spans="1:9">
      <c r="A7" s="1402" t="s">
        <v>3456</v>
      </c>
      <c r="B7" s="1402" t="s">
        <v>3476</v>
      </c>
      <c r="C7">
        <v>4221.8</v>
      </c>
      <c r="E7" s="1402" t="s">
        <v>3460</v>
      </c>
      <c r="F7">
        <v>45</v>
      </c>
      <c r="H7" s="3250"/>
    </row>
    <row r="8" spans="1:9">
      <c r="A8" s="1402" t="s">
        <v>3490</v>
      </c>
      <c r="B8" s="1402" t="s">
        <v>3475</v>
      </c>
      <c r="C8">
        <v>4221.8</v>
      </c>
      <c r="E8" s="1402" t="s">
        <v>3460</v>
      </c>
      <c r="F8">
        <v>45</v>
      </c>
      <c r="H8" s="3250"/>
      <c r="I8" s="1402"/>
    </row>
    <row r="9" spans="1:9">
      <c r="A9" s="1402" t="s">
        <v>3491</v>
      </c>
      <c r="B9" s="1402" t="s">
        <v>3492</v>
      </c>
      <c r="C9">
        <v>5325.8</v>
      </c>
      <c r="E9" s="1402" t="s">
        <v>3460</v>
      </c>
      <c r="F9">
        <v>45</v>
      </c>
      <c r="H9" s="3250"/>
    </row>
    <row r="10" spans="1:9">
      <c r="A10" s="1402" t="s">
        <v>3479</v>
      </c>
      <c r="B10" s="1402" t="s">
        <v>3484</v>
      </c>
      <c r="C10">
        <v>4965.1000000000004</v>
      </c>
      <c r="E10" s="1402" t="s">
        <v>3460</v>
      </c>
      <c r="F10">
        <v>45</v>
      </c>
      <c r="H10" s="3250"/>
    </row>
    <row r="11" spans="1:9">
      <c r="A11" s="1402" t="s">
        <v>3480</v>
      </c>
      <c r="B11" s="1402" t="s">
        <v>3475</v>
      </c>
      <c r="C11">
        <v>3960</v>
      </c>
      <c r="E11" s="1402" t="s">
        <v>3460</v>
      </c>
      <c r="F11">
        <v>45</v>
      </c>
      <c r="H11" s="3250"/>
    </row>
    <row r="12" spans="1:9">
      <c r="A12" s="1402" t="s">
        <v>3481</v>
      </c>
      <c r="B12" s="1402" t="s">
        <v>3485</v>
      </c>
      <c r="C12">
        <v>12300</v>
      </c>
      <c r="E12" s="1402" t="s">
        <v>3487</v>
      </c>
      <c r="F12">
        <v>45</v>
      </c>
      <c r="H12" s="3250"/>
    </row>
    <row r="13" spans="1:9">
      <c r="A13" s="1402" t="s">
        <v>3515</v>
      </c>
      <c r="B13" s="1402" t="s">
        <v>3475</v>
      </c>
      <c r="C13">
        <v>4221.8</v>
      </c>
      <c r="E13" s="1402" t="s">
        <v>3460</v>
      </c>
      <c r="F13">
        <v>45</v>
      </c>
      <c r="H13" s="3250"/>
    </row>
    <row r="14" spans="1:9">
      <c r="A14" s="1402" t="s">
        <v>3516</v>
      </c>
      <c r="B14" s="1402" t="s">
        <v>3514</v>
      </c>
      <c r="D14">
        <v>40236.400000000001</v>
      </c>
      <c r="E14" s="1402" t="s">
        <v>3459</v>
      </c>
      <c r="F14">
        <v>45</v>
      </c>
      <c r="H14" s="3250"/>
    </row>
    <row r="15" spans="1:9">
      <c r="A15" s="1402" t="s">
        <v>3482</v>
      </c>
      <c r="B15" s="1402" t="s">
        <v>3406</v>
      </c>
      <c r="C15">
        <v>65</v>
      </c>
      <c r="E15" s="1402" t="s">
        <v>3488</v>
      </c>
      <c r="F15">
        <v>3.9</v>
      </c>
      <c r="H15" s="3250"/>
    </row>
    <row r="16" spans="1:9">
      <c r="B16" s="1402" t="s">
        <v>3517</v>
      </c>
      <c r="C16">
        <f>SUM(C3:C15)</f>
        <v>63719.4</v>
      </c>
      <c r="D16">
        <f>SUM(D3:D15)</f>
        <v>44531.1</v>
      </c>
      <c r="G16" s="1402"/>
    </row>
    <row r="17" spans="1:12">
      <c r="B17" s="1402"/>
      <c r="G17" s="1402"/>
    </row>
    <row r="18" spans="1:12">
      <c r="A18" s="1402" t="s">
        <v>3519</v>
      </c>
      <c r="B18" s="1402"/>
      <c r="G18" s="1402"/>
    </row>
    <row r="19" spans="1:12">
      <c r="A19" s="1402" t="s">
        <v>3520</v>
      </c>
      <c r="B19" s="1402" t="s">
        <v>3522</v>
      </c>
      <c r="C19" s="1402" t="s">
        <v>3525</v>
      </c>
      <c r="D19" s="1402" t="s">
        <v>3526</v>
      </c>
      <c r="E19" s="1402" t="s">
        <v>3527</v>
      </c>
      <c r="F19" s="1402" t="s">
        <v>3528</v>
      </c>
      <c r="G19" s="1402" t="s">
        <v>3529</v>
      </c>
      <c r="H19" s="1402" t="s">
        <v>3530</v>
      </c>
      <c r="I19" s="1402" t="s">
        <v>3531</v>
      </c>
      <c r="K19" s="1402" t="s">
        <v>3534</v>
      </c>
    </row>
    <row r="20" spans="1:12">
      <c r="G20" s="1402"/>
      <c r="I20" s="1402" t="s">
        <v>3532</v>
      </c>
      <c r="J20" s="1402" t="s">
        <v>3533</v>
      </c>
      <c r="K20" s="1402" t="s">
        <v>3535</v>
      </c>
      <c r="L20" s="1402" t="s">
        <v>3536</v>
      </c>
    </row>
    <row r="21" spans="1:12">
      <c r="A21" s="1402" t="s">
        <v>3521</v>
      </c>
      <c r="B21" s="1402" t="s">
        <v>3523</v>
      </c>
      <c r="C21">
        <v>1</v>
      </c>
      <c r="D21">
        <v>1</v>
      </c>
      <c r="E21" s="1402" t="s">
        <v>3537</v>
      </c>
      <c r="F21" s="1402" t="s">
        <v>3538</v>
      </c>
      <c r="G21" s="1402" t="s">
        <v>3539</v>
      </c>
      <c r="H21">
        <v>2024.24</v>
      </c>
      <c r="I21" s="3247">
        <v>51.01</v>
      </c>
      <c r="J21" s="3247"/>
      <c r="K21" s="3247">
        <v>1973.23</v>
      </c>
      <c r="L21" s="3247"/>
    </row>
    <row r="22" spans="1:12">
      <c r="I22" s="1402" t="s">
        <v>3540</v>
      </c>
      <c r="J22">
        <v>51.01</v>
      </c>
      <c r="K22">
        <v>1851.92</v>
      </c>
      <c r="L22">
        <v>121.31</v>
      </c>
    </row>
    <row r="23" spans="1:12">
      <c r="A23" s="1402" t="s">
        <v>3521</v>
      </c>
      <c r="B23" s="1402" t="s">
        <v>3524</v>
      </c>
      <c r="C23">
        <v>2</v>
      </c>
      <c r="D23">
        <v>1</v>
      </c>
      <c r="E23" s="1402" t="s">
        <v>3537</v>
      </c>
      <c r="F23" s="1402" t="s">
        <v>3538</v>
      </c>
      <c r="G23" s="1402" t="s">
        <v>3539</v>
      </c>
      <c r="H23">
        <v>1805.74</v>
      </c>
      <c r="I23" s="3247">
        <v>16.899999999999999</v>
      </c>
      <c r="J23" s="3247"/>
      <c r="K23" s="3247">
        <v>1788.84</v>
      </c>
      <c r="L23" s="3247"/>
    </row>
    <row r="24" spans="1:12">
      <c r="A24" s="1402"/>
      <c r="B24" s="1402"/>
      <c r="G24" s="1402"/>
      <c r="I24" s="1402" t="s">
        <v>3540</v>
      </c>
      <c r="J24">
        <v>16.899999999999999</v>
      </c>
      <c r="K24">
        <v>1761.44</v>
      </c>
      <c r="L24">
        <v>27.4</v>
      </c>
    </row>
    <row r="25" spans="1:12">
      <c r="A25" s="1402"/>
      <c r="B25" s="1402"/>
      <c r="G25" s="1402"/>
      <c r="I25" s="3247">
        <v>67.91</v>
      </c>
      <c r="J25" s="3247"/>
      <c r="K25" s="3247">
        <v>3762.07</v>
      </c>
      <c r="L25" s="3247"/>
    </row>
    <row r="26" spans="1:12">
      <c r="G26" s="1402" t="s">
        <v>3541</v>
      </c>
      <c r="H26" s="1402">
        <f>SUM(H21:H25)</f>
        <v>3829.98</v>
      </c>
      <c r="J26">
        <v>67.91</v>
      </c>
      <c r="K26">
        <v>3613.36</v>
      </c>
      <c r="L26">
        <v>148.71</v>
      </c>
    </row>
    <row r="27" spans="1:12">
      <c r="G27" s="1402"/>
      <c r="H27" s="1402"/>
    </row>
    <row r="28" spans="1:12">
      <c r="G28" s="1402"/>
      <c r="H28" s="1402"/>
    </row>
    <row r="29" spans="1:12">
      <c r="A29" s="1402" t="s">
        <v>3452</v>
      </c>
    </row>
    <row r="30" spans="1:12">
      <c r="A30" s="1402" t="s">
        <v>3463</v>
      </c>
      <c r="B30" s="1402" t="s">
        <v>3464</v>
      </c>
      <c r="C30" s="1402" t="s">
        <v>3465</v>
      </c>
      <c r="D30" s="1402" t="s">
        <v>3466</v>
      </c>
      <c r="E30" s="1402" t="s">
        <v>3467</v>
      </c>
      <c r="F30" s="1402" t="s">
        <v>3468</v>
      </c>
      <c r="G30" s="1402" t="s">
        <v>3469</v>
      </c>
      <c r="I30" s="1402" t="s">
        <v>3543</v>
      </c>
    </row>
    <row r="31" spans="1:12">
      <c r="A31" s="1402" t="s">
        <v>3471</v>
      </c>
      <c r="B31" s="1402" t="s">
        <v>3472</v>
      </c>
      <c r="C31">
        <v>14617.9</v>
      </c>
      <c r="D31">
        <v>4294.7</v>
      </c>
      <c r="E31" s="1402" t="s">
        <v>3473</v>
      </c>
      <c r="F31">
        <v>45</v>
      </c>
      <c r="G31" s="1402" t="s">
        <v>3542</v>
      </c>
      <c r="H31">
        <v>-11.3</v>
      </c>
      <c r="I31" s="1402" t="s">
        <v>3544</v>
      </c>
    </row>
    <row r="32" spans="1:12">
      <c r="A32" s="3151" t="s">
        <v>3453</v>
      </c>
      <c r="B32" s="3151" t="s">
        <v>3474</v>
      </c>
      <c r="C32" s="3155">
        <v>3705.93</v>
      </c>
      <c r="D32" s="3155"/>
      <c r="E32" s="3151" t="s">
        <v>3458</v>
      </c>
      <c r="F32" s="3155">
        <v>26</v>
      </c>
      <c r="G32" s="3151" t="s">
        <v>3462</v>
      </c>
      <c r="I32" s="3248" t="s">
        <v>3545</v>
      </c>
    </row>
    <row r="33" spans="1:9">
      <c r="A33" s="3151" t="s">
        <v>3454</v>
      </c>
      <c r="B33" s="3151" t="s">
        <v>3475</v>
      </c>
      <c r="C33" s="3155">
        <v>3148.33</v>
      </c>
      <c r="D33" s="3155"/>
      <c r="E33" s="3151" t="s">
        <v>3461</v>
      </c>
      <c r="F33" s="3155">
        <v>45</v>
      </c>
      <c r="G33" s="3151" t="s">
        <v>3462</v>
      </c>
      <c r="I33" s="3247"/>
    </row>
    <row r="34" spans="1:9">
      <c r="A34" s="3151" t="s">
        <v>3455</v>
      </c>
      <c r="B34" s="3151" t="s">
        <v>3475</v>
      </c>
      <c r="C34" s="3151">
        <v>3148.33</v>
      </c>
      <c r="D34" s="3155"/>
      <c r="E34" s="3151" t="s">
        <v>3461</v>
      </c>
      <c r="F34" s="3155">
        <v>45</v>
      </c>
      <c r="G34" s="3151" t="s">
        <v>3462</v>
      </c>
      <c r="I34" s="3247"/>
    </row>
    <row r="35" spans="1:9">
      <c r="A35" s="3151" t="s">
        <v>3456</v>
      </c>
      <c r="B35" s="3151" t="s">
        <v>3476</v>
      </c>
      <c r="C35" s="3151">
        <v>4281.75</v>
      </c>
      <c r="D35" s="3155"/>
      <c r="E35" s="3151" t="s">
        <v>3460</v>
      </c>
      <c r="F35" s="3155">
        <v>45</v>
      </c>
      <c r="G35" s="3151" t="s">
        <v>3462</v>
      </c>
      <c r="I35" s="3247"/>
    </row>
    <row r="36" spans="1:9">
      <c r="A36" s="3151" t="s">
        <v>3457</v>
      </c>
      <c r="B36" s="3151" t="s">
        <v>3477</v>
      </c>
      <c r="C36" s="3155"/>
      <c r="D36" s="3151">
        <v>15246.96</v>
      </c>
      <c r="E36" s="3151" t="s">
        <v>3459</v>
      </c>
      <c r="F36" s="3155"/>
      <c r="G36" s="3155"/>
    </row>
    <row r="37" spans="1:9">
      <c r="A37" s="1402" t="s">
        <v>3490</v>
      </c>
      <c r="B37" s="1402" t="s">
        <v>3475</v>
      </c>
      <c r="C37">
        <v>4281.75</v>
      </c>
      <c r="E37" s="1402" t="s">
        <v>3460</v>
      </c>
      <c r="F37">
        <v>45</v>
      </c>
    </row>
    <row r="38" spans="1:9">
      <c r="A38" s="1402" t="s">
        <v>3491</v>
      </c>
      <c r="B38" s="1402" t="s">
        <v>3492</v>
      </c>
      <c r="C38">
        <v>5316.91</v>
      </c>
      <c r="E38" s="1402" t="s">
        <v>3460</v>
      </c>
      <c r="F38">
        <v>45</v>
      </c>
    </row>
    <row r="39" spans="1:9">
      <c r="A39" s="1402" t="s">
        <v>3479</v>
      </c>
      <c r="B39" s="1402" t="s">
        <v>3484</v>
      </c>
      <c r="C39">
        <v>4965.1000000000004</v>
      </c>
      <c r="E39" s="1402" t="s">
        <v>3460</v>
      </c>
      <c r="F39">
        <v>45</v>
      </c>
    </row>
    <row r="40" spans="1:9">
      <c r="A40" s="1402" t="s">
        <v>3480</v>
      </c>
      <c r="B40" s="1402" t="s">
        <v>3475</v>
      </c>
      <c r="C40">
        <v>3960</v>
      </c>
      <c r="E40" s="1402" t="s">
        <v>3460</v>
      </c>
      <c r="F40">
        <v>45</v>
      </c>
    </row>
    <row r="41" spans="1:9">
      <c r="A41" s="1402" t="s">
        <v>3481</v>
      </c>
      <c r="B41" s="1402" t="s">
        <v>3485</v>
      </c>
      <c r="C41">
        <v>12300</v>
      </c>
      <c r="E41" s="1402" t="s">
        <v>3487</v>
      </c>
      <c r="F41">
        <v>45</v>
      </c>
    </row>
    <row r="42" spans="1:9">
      <c r="A42" s="1402" t="s">
        <v>3515</v>
      </c>
      <c r="B42" s="1402" t="s">
        <v>3475</v>
      </c>
      <c r="C42">
        <v>4221.8</v>
      </c>
      <c r="E42" s="1402" t="s">
        <v>3460</v>
      </c>
      <c r="F42">
        <v>45</v>
      </c>
    </row>
    <row r="43" spans="1:9">
      <c r="A43" s="1402"/>
      <c r="B43" s="1402"/>
      <c r="D43" s="1402"/>
      <c r="E43" s="1402"/>
    </row>
    <row r="44" spans="1:9">
      <c r="A44" s="1402"/>
      <c r="B44" s="1402"/>
      <c r="D44" s="1402"/>
      <c r="E44" s="1402"/>
    </row>
    <row r="45" spans="1:9">
      <c r="A45" s="1402"/>
      <c r="B45" s="1402"/>
      <c r="D45" s="1402"/>
      <c r="E45" s="1402"/>
    </row>
    <row r="48" spans="1:9">
      <c r="A48" s="1402" t="s">
        <v>3478</v>
      </c>
    </row>
    <row r="49" spans="1:7">
      <c r="A49" s="1402" t="s">
        <v>3463</v>
      </c>
      <c r="B49" s="1402" t="s">
        <v>3464</v>
      </c>
      <c r="C49" s="1402" t="s">
        <v>3465</v>
      </c>
      <c r="D49" s="1402" t="s">
        <v>3466</v>
      </c>
      <c r="E49" s="1402" t="s">
        <v>3467</v>
      </c>
      <c r="F49" s="1402" t="s">
        <v>3468</v>
      </c>
      <c r="G49" s="1402" t="s">
        <v>3469</v>
      </c>
    </row>
    <row r="50" spans="1:7">
      <c r="A50" s="1402" t="s">
        <v>3479</v>
      </c>
      <c r="B50" s="1402" t="s">
        <v>3484</v>
      </c>
      <c r="C50">
        <v>8979.7000000000007</v>
      </c>
      <c r="E50" s="1402" t="s">
        <v>3460</v>
      </c>
      <c r="F50">
        <v>45</v>
      </c>
      <c r="G50" s="1402" t="s">
        <v>3462</v>
      </c>
    </row>
    <row r="51" spans="1:7">
      <c r="A51" s="1402" t="s">
        <v>3480</v>
      </c>
      <c r="B51" s="1402" t="s">
        <v>3475</v>
      </c>
      <c r="C51">
        <v>4281.75</v>
      </c>
      <c r="E51" s="1402" t="s">
        <v>3460</v>
      </c>
      <c r="F51">
        <v>45</v>
      </c>
      <c r="G51" s="1402" t="s">
        <v>3462</v>
      </c>
    </row>
    <row r="52" spans="1:7">
      <c r="A52" s="1402" t="s">
        <v>3481</v>
      </c>
      <c r="B52" s="1402" t="s">
        <v>3485</v>
      </c>
      <c r="C52">
        <v>11862.65</v>
      </c>
      <c r="E52" s="1402" t="s">
        <v>3487</v>
      </c>
      <c r="F52">
        <v>45</v>
      </c>
      <c r="G52" s="1402" t="s">
        <v>3462</v>
      </c>
    </row>
    <row r="53" spans="1:7">
      <c r="A53" s="1402" t="s">
        <v>3482</v>
      </c>
      <c r="B53" s="1402" t="s">
        <v>3486</v>
      </c>
      <c r="C53">
        <v>90</v>
      </c>
      <c r="E53" s="1402" t="s">
        <v>3488</v>
      </c>
      <c r="F53">
        <v>3.9</v>
      </c>
    </row>
    <row r="54" spans="1:7">
      <c r="A54" s="1402" t="s">
        <v>3457</v>
      </c>
      <c r="B54" s="1402" t="s">
        <v>3483</v>
      </c>
      <c r="D54">
        <v>19865.36</v>
      </c>
      <c r="E54" s="1402" t="s">
        <v>3459</v>
      </c>
    </row>
    <row r="57" spans="1:7">
      <c r="A57" s="1402" t="s">
        <v>3489</v>
      </c>
    </row>
    <row r="58" spans="1:7">
      <c r="A58" s="1402" t="s">
        <v>3463</v>
      </c>
      <c r="B58" s="1402" t="s">
        <v>3464</v>
      </c>
      <c r="C58" s="1402" t="s">
        <v>3465</v>
      </c>
      <c r="D58" s="1402" t="s">
        <v>3466</v>
      </c>
      <c r="E58" s="1402" t="s">
        <v>3467</v>
      </c>
      <c r="F58" s="1402" t="s">
        <v>3468</v>
      </c>
      <c r="G58" s="1402" t="s">
        <v>3469</v>
      </c>
    </row>
    <row r="59" spans="1:7">
      <c r="A59" s="1402" t="s">
        <v>3490</v>
      </c>
      <c r="B59" s="1402" t="s">
        <v>3475</v>
      </c>
      <c r="C59">
        <v>4281.75</v>
      </c>
      <c r="E59" s="1402" t="s">
        <v>3460</v>
      </c>
      <c r="F59">
        <v>45</v>
      </c>
      <c r="G59" s="1402" t="s">
        <v>3462</v>
      </c>
    </row>
    <row r="60" spans="1:7">
      <c r="A60" s="1402" t="s">
        <v>3491</v>
      </c>
      <c r="B60" s="1402" t="s">
        <v>3492</v>
      </c>
      <c r="C60">
        <v>5316.91</v>
      </c>
      <c r="E60" s="1402" t="s">
        <v>3460</v>
      </c>
      <c r="F60">
        <v>45</v>
      </c>
      <c r="G60" s="1402" t="s">
        <v>3462</v>
      </c>
    </row>
    <row r="64" spans="1:7">
      <c r="B64">
        <f>C60+C59+C53+C52+C51+C50+C35+C34+C33+C32+C3</f>
        <v>63685</v>
      </c>
      <c r="C64">
        <f>D54+D36+D3</f>
        <v>39407.019999999997</v>
      </c>
      <c r="D64">
        <f>B64+C64</f>
        <v>103092.01999999999</v>
      </c>
    </row>
    <row r="65" spans="8:9">
      <c r="H65">
        <f>C50+C51+C52+C53+C59+C60</f>
        <v>34812.759999999995</v>
      </c>
      <c r="I65">
        <f>D54</f>
        <v>19865.36</v>
      </c>
    </row>
    <row r="66" spans="8:9">
      <c r="H66">
        <f>H65+I65</f>
        <v>54678.119999999995</v>
      </c>
    </row>
  </sheetData>
  <mergeCells count="8">
    <mergeCell ref="K21:L21"/>
    <mergeCell ref="K23:L23"/>
    <mergeCell ref="K25:L25"/>
    <mergeCell ref="I32:I35"/>
    <mergeCell ref="H4:H15"/>
    <mergeCell ref="I21:J21"/>
    <mergeCell ref="I23:J23"/>
    <mergeCell ref="I25:J25"/>
  </mergeCells>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H33" sqref="H33"/>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2168</v>
      </c>
      <c r="B1" s="3258" t="str">
        <f>IF(B10="北京市","北京市",C10)&amp;F10&amp;IF(结果表!G1="在建","出让国有建设用地使用权及在建建筑物",IF(结果表!G1="土地","出让国有建设用地使用权",))&amp;B9&amp;"预评估"</f>
        <v>北京市房地产抵押价值预评估</v>
      </c>
      <c r="C1" s="3259"/>
      <c r="D1" s="3259"/>
      <c r="E1" s="3259"/>
      <c r="F1" s="3259"/>
      <c r="G1" s="3259"/>
      <c r="H1" s="3259"/>
      <c r="I1" s="3260"/>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9" t="s">
        <v>2169</v>
      </c>
      <c r="B2" s="122"/>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3" t="s">
        <v>2170</v>
      </c>
      <c r="B3" s="2182">
        <v>45607</v>
      </c>
      <c r="C3" s="2183" t="s">
        <v>2171</v>
      </c>
      <c r="D3" s="2182">
        <f>B3</f>
        <v>45607</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5" thickBot="1">
      <c r="A4" s="1025"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3"/>
      <c r="P4" s="2179"/>
      <c r="Q4" s="2179"/>
      <c r="R4" s="2179"/>
      <c r="S4" s="1558"/>
      <c r="T4" s="1615"/>
      <c r="U4" s="1615"/>
      <c r="V4" s="1615"/>
      <c r="W4" s="1615"/>
      <c r="X4" s="1615"/>
      <c r="Y4" s="1615"/>
      <c r="Z4" s="1615"/>
      <c r="AA4" s="1615"/>
      <c r="AB4" s="1615"/>
    </row>
    <row r="5" spans="1:30" ht="13.5"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2175</v>
      </c>
      <c r="B7" s="2195"/>
      <c r="C7" s="2193"/>
      <c r="D7" s="2194"/>
      <c r="E7" s="2438"/>
      <c r="F7" s="2439"/>
      <c r="G7" s="2439"/>
      <c r="H7" s="2439"/>
      <c r="I7" s="2439"/>
      <c r="J7" s="2242"/>
      <c r="K7" s="2399"/>
      <c r="L7" s="2396"/>
      <c r="M7" s="2396"/>
      <c r="N7" s="2242"/>
      <c r="O7" s="1667"/>
      <c r="P7" s="2242"/>
      <c r="Q7" s="2242"/>
      <c r="R7" s="2242"/>
    </row>
    <row r="8" spans="1:30">
      <c r="A8" s="2196" t="s">
        <v>2176</v>
      </c>
      <c r="B8" s="2197" t="s">
        <v>3390</v>
      </c>
      <c r="C8" s="2198"/>
      <c r="D8" s="3261" t="s">
        <v>2177</v>
      </c>
      <c r="E8" s="2199" t="s">
        <v>3391</v>
      </c>
      <c r="F8" s="2200"/>
      <c r="G8" s="2439"/>
      <c r="H8" s="2439"/>
      <c r="I8" s="2439"/>
      <c r="J8" s="2242"/>
      <c r="K8" s="2397"/>
      <c r="L8" s="2396"/>
      <c r="M8" s="2396"/>
      <c r="N8" s="2242"/>
      <c r="O8" s="1667"/>
      <c r="P8" s="2242"/>
      <c r="Q8" s="2242"/>
      <c r="R8" s="2242"/>
    </row>
    <row r="9" spans="1:30" ht="13.5" thickBot="1">
      <c r="A9" s="2201" t="s">
        <v>2178</v>
      </c>
      <c r="B9" s="2202" t="s">
        <v>3391</v>
      </c>
      <c r="C9" s="2203"/>
      <c r="D9" s="3262"/>
      <c r="E9" s="2202"/>
      <c r="F9" s="2204"/>
      <c r="G9" s="2440"/>
      <c r="H9" s="2440"/>
      <c r="I9" s="2440"/>
      <c r="J9" s="2242"/>
      <c r="K9" s="2399"/>
      <c r="L9" s="2396"/>
      <c r="M9" s="2396"/>
      <c r="N9" s="2242"/>
      <c r="O9" s="1667"/>
      <c r="P9" s="2242"/>
      <c r="Q9" s="2242"/>
      <c r="R9" s="2242"/>
    </row>
    <row r="10" spans="1:30" ht="13.5" thickTop="1">
      <c r="A10" s="2205" t="s">
        <v>2179</v>
      </c>
      <c r="B10" s="2206" t="s">
        <v>3392</v>
      </c>
      <c r="C10" s="2207"/>
      <c r="D10" s="2190"/>
      <c r="E10" s="2208" t="s">
        <v>2180</v>
      </c>
      <c r="F10" s="2441"/>
      <c r="G10" s="2442"/>
      <c r="H10" s="2443"/>
      <c r="I10" s="2444"/>
      <c r="J10" s="2242"/>
      <c r="K10" s="2399"/>
      <c r="L10" s="2396"/>
      <c r="M10" s="2396"/>
      <c r="N10" s="2242"/>
      <c r="O10" s="1667"/>
      <c r="P10" s="2242"/>
      <c r="Q10" s="2242"/>
      <c r="R10" s="2242"/>
    </row>
    <row r="11" spans="1:30">
      <c r="A11" s="2209" t="s">
        <v>2181</v>
      </c>
      <c r="B11" s="2210" t="s">
        <v>3393</v>
      </c>
      <c r="C11" s="2211"/>
      <c r="D11" s="2212"/>
      <c r="E11" s="2179"/>
      <c r="F11" s="2179"/>
      <c r="G11" s="2179"/>
      <c r="H11" s="2179"/>
      <c r="I11" s="2179"/>
      <c r="J11" s="2799"/>
      <c r="K11" s="2396"/>
      <c r="L11" s="2396"/>
      <c r="M11" s="2396"/>
      <c r="N11" s="2242"/>
      <c r="O11" s="1667"/>
      <c r="P11" s="2242"/>
      <c r="Q11" s="2242"/>
      <c r="R11" s="2242"/>
    </row>
    <row r="12" spans="1:30">
      <c r="A12" s="2213" t="s">
        <v>2182</v>
      </c>
      <c r="B12" s="314" t="s">
        <v>2183</v>
      </c>
      <c r="C12" s="2214" t="s">
        <v>2184</v>
      </c>
      <c r="D12" s="2214" t="s">
        <v>2185</v>
      </c>
      <c r="E12" s="2214" t="s">
        <v>2186</v>
      </c>
      <c r="F12" s="2214" t="s">
        <v>2187</v>
      </c>
      <c r="G12" s="2214" t="s">
        <v>2188</v>
      </c>
      <c r="H12" s="2214" t="s">
        <v>2189</v>
      </c>
      <c r="I12" s="2798" t="s">
        <v>2578</v>
      </c>
      <c r="J12" s="2800"/>
      <c r="K12" s="2396"/>
      <c r="L12" s="2396"/>
      <c r="M12" s="2242"/>
      <c r="N12" s="1667"/>
      <c r="O12" s="2242"/>
      <c r="P12" s="2242"/>
      <c r="Q12" s="2242"/>
      <c r="AD12" s="1615"/>
    </row>
    <row r="13" spans="1:30">
      <c r="A13" s="3119" t="s">
        <v>3334</v>
      </c>
      <c r="B13" s="2215" t="s">
        <v>2190</v>
      </c>
      <c r="C13" s="801"/>
      <c r="D13" s="801"/>
      <c r="E13" s="801"/>
      <c r="F13" s="801"/>
      <c r="G13" s="801"/>
      <c r="H13" s="801">
        <v>60714</v>
      </c>
      <c r="I13" s="801"/>
      <c r="J13" s="2800"/>
      <c r="K13" s="2396"/>
      <c r="L13" s="2396"/>
      <c r="M13" s="2242"/>
      <c r="N13" s="1667"/>
      <c r="O13" s="2242"/>
      <c r="P13" s="2242"/>
      <c r="Q13" s="2242"/>
      <c r="AD13" s="1615"/>
    </row>
    <row r="14" spans="1:30">
      <c r="A14" s="1016"/>
      <c r="B14" s="2215" t="s">
        <v>2191</v>
      </c>
      <c r="C14" s="2216"/>
      <c r="D14" s="2216"/>
      <c r="E14" s="2216"/>
      <c r="F14" s="2216"/>
      <c r="G14" s="2216"/>
      <c r="H14" s="2216">
        <v>50</v>
      </c>
      <c r="I14" s="2216"/>
      <c r="J14" s="2801"/>
      <c r="K14" s="2396"/>
      <c r="L14" s="2396"/>
      <c r="M14" s="2242"/>
      <c r="N14" s="1667"/>
      <c r="O14" s="2242"/>
      <c r="P14" s="2242"/>
      <c r="Q14" s="2242"/>
      <c r="AD14" s="1615"/>
    </row>
    <row r="15" spans="1:30">
      <c r="A15" s="311"/>
      <c r="B15" s="2217" t="s">
        <v>2192</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f>IF(A13="出让",IF(H13="","",ROUNDDOWN(MIN((H13-$D$3)/365,H14),2)),H14)</f>
        <v>41.38</v>
      </c>
      <c r="I15" s="2218" t="str">
        <f>IF(A13="出让",IF(I13="","",ROUNDDOWN(MIN((I13-$D$3)/365,I14),2)),I14)</f>
        <v/>
      </c>
      <c r="J15" s="2802"/>
      <c r="K15" s="1667"/>
      <c r="L15" s="1667"/>
      <c r="M15" s="2242"/>
      <c r="N15" s="1667"/>
      <c r="O15" s="2242"/>
      <c r="P15" s="2242"/>
      <c r="Q15" s="2242"/>
      <c r="AD15" s="1615"/>
    </row>
    <row r="16" spans="1:30">
      <c r="A16" s="2208" t="s">
        <v>2193</v>
      </c>
      <c r="B16" s="3268"/>
      <c r="C16" s="3269"/>
      <c r="D16" s="3270"/>
      <c r="E16" s="2219" t="s">
        <v>2194</v>
      </c>
      <c r="F16" s="3271"/>
      <c r="G16" s="3272"/>
      <c r="H16" s="3272"/>
      <c r="I16" s="3273"/>
      <c r="J16" s="2242"/>
      <c r="K16" s="2400"/>
      <c r="L16" s="1667"/>
      <c r="M16" s="1667"/>
      <c r="N16" s="2242"/>
      <c r="O16" s="1667"/>
      <c r="P16" s="2242"/>
      <c r="Q16" s="2242"/>
      <c r="R16" s="2242"/>
    </row>
    <row r="17" spans="1:28">
      <c r="A17" s="304" t="s">
        <v>2195</v>
      </c>
      <c r="B17" s="293" t="s">
        <v>2196</v>
      </c>
      <c r="C17" s="8">
        <f>'数据-汇总表'!E3</f>
        <v>48377.229999999996</v>
      </c>
      <c r="D17" s="1253" t="s">
        <v>2197</v>
      </c>
      <c r="E17" s="3274" t="s">
        <v>2198</v>
      </c>
      <c r="F17" s="3275"/>
      <c r="G17" s="3275"/>
      <c r="H17" s="3275"/>
      <c r="I17" s="3276"/>
      <c r="J17" s="2242"/>
      <c r="K17" s="2401"/>
      <c r="L17" s="1667"/>
      <c r="M17" s="1667"/>
      <c r="N17" s="2242"/>
      <c r="O17" s="1667"/>
      <c r="P17" s="2242"/>
      <c r="Q17" s="2242"/>
      <c r="R17" s="2242"/>
      <c r="S17" s="2242"/>
      <c r="T17" s="2242"/>
      <c r="U17" s="2242"/>
      <c r="V17" s="2242"/>
    </row>
    <row r="18" spans="1:28" ht="24.75" thickBot="1">
      <c r="A18" s="2220" t="s">
        <v>2199</v>
      </c>
      <c r="B18" s="1025" t="s">
        <v>2200</v>
      </c>
      <c r="C18" s="2221">
        <f>'数据-汇总表'!D3</f>
        <v>14991.03</v>
      </c>
      <c r="D18" s="1027" t="s">
        <v>2201</v>
      </c>
      <c r="E18" s="3277" t="s">
        <v>2202</v>
      </c>
      <c r="F18" s="3278"/>
      <c r="G18" s="3278"/>
      <c r="H18" s="3278"/>
      <c r="I18" s="3279"/>
      <c r="J18" s="2242"/>
      <c r="K18" s="2401"/>
      <c r="L18" s="1667"/>
      <c r="M18" s="1667"/>
      <c r="N18" s="2242"/>
      <c r="O18" s="1667"/>
      <c r="P18" s="2242"/>
      <c r="Q18" s="2242"/>
      <c r="R18" s="2242"/>
      <c r="S18" s="2242"/>
      <c r="T18" s="2242"/>
      <c r="U18" s="2242"/>
      <c r="V18" s="2242"/>
    </row>
    <row r="19" spans="1:28" ht="37.5" thickTop="1" thickBot="1">
      <c r="A19" s="318" t="s">
        <v>1055</v>
      </c>
      <c r="B19" s="298" t="s">
        <v>2203</v>
      </c>
      <c r="C19" s="1452" t="s">
        <v>3567</v>
      </c>
      <c r="D19" s="1453" t="s">
        <v>2204</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2205</v>
      </c>
      <c r="B20" s="3264" t="s">
        <v>2206</v>
      </c>
      <c r="C20" s="3265"/>
      <c r="D20" s="3266" t="s">
        <v>2207</v>
      </c>
      <c r="E20" s="3267"/>
      <c r="F20" s="2427" t="s">
        <v>1056</v>
      </c>
      <c r="G20" s="2439"/>
      <c r="H20" s="2439"/>
      <c r="I20" s="2439"/>
      <c r="J20" s="2242"/>
      <c r="K20" s="3263"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3"/>
      <c r="P20" s="2179"/>
      <c r="Q20" s="2179"/>
      <c r="R20" s="2179"/>
      <c r="S20" s="2179"/>
      <c r="T20" s="2179"/>
      <c r="U20" s="2179"/>
      <c r="V20" s="2179"/>
      <c r="W20" s="1615"/>
      <c r="X20" s="1615"/>
      <c r="Y20" s="1615"/>
      <c r="Z20" s="1615"/>
      <c r="AA20" s="1615"/>
      <c r="AB20" s="1615"/>
    </row>
    <row r="21" spans="1:28" ht="24.75" thickBot="1">
      <c r="A21" s="2414"/>
      <c r="B21" s="2415" t="s">
        <v>2209</v>
      </c>
      <c r="C21" s="2293" t="s">
        <v>1057</v>
      </c>
      <c r="D21" s="1457" t="s">
        <v>2210</v>
      </c>
      <c r="E21" s="2416" t="s">
        <v>1057</v>
      </c>
      <c r="F21" s="2428"/>
      <c r="G21" s="2439"/>
      <c r="H21" s="2439"/>
      <c r="I21" s="2439"/>
      <c r="J21" s="2242"/>
      <c r="K21" s="3263"/>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4"/>
      <c r="B22" s="2417" t="s">
        <v>2211</v>
      </c>
      <c r="C22" s="2293" t="s">
        <v>1058</v>
      </c>
      <c r="D22" s="2439"/>
      <c r="E22" s="2439"/>
      <c r="F22" s="2439"/>
      <c r="G22" s="2439"/>
      <c r="H22" s="2439"/>
      <c r="I22" s="2439"/>
      <c r="J22" s="2242"/>
      <c r="K22" s="3263"/>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2212</v>
      </c>
      <c r="B23" s="2290" t="s">
        <v>2213</v>
      </c>
      <c r="C23" s="2419"/>
      <c r="D23" s="2420" t="s">
        <v>2213</v>
      </c>
      <c r="E23" s="2421"/>
      <c r="F23" s="2439"/>
      <c r="G23" s="2439"/>
      <c r="H23" s="2439"/>
      <c r="I23" s="2439"/>
      <c r="J23" s="2242"/>
      <c r="K23" s="2398"/>
      <c r="L23" s="121"/>
      <c r="M23" s="2396"/>
      <c r="N23" s="2242"/>
      <c r="O23" s="1667"/>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7"/>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7"/>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7"/>
      <c r="P26" s="2242"/>
      <c r="Q26" s="2242"/>
      <c r="R26" s="2242"/>
      <c r="S26" s="2242"/>
      <c r="T26" s="2242"/>
      <c r="U26" s="2242"/>
      <c r="V26" s="2242"/>
    </row>
    <row r="27" spans="1:28" ht="13.5" thickTop="1">
      <c r="A27" s="3252" t="s">
        <v>2214</v>
      </c>
      <c r="B27" s="311" t="s">
        <v>2215</v>
      </c>
      <c r="C27" s="2222" t="s">
        <v>3568</v>
      </c>
      <c r="D27" s="2223"/>
      <c r="E27" s="2439"/>
      <c r="F27" s="2439"/>
      <c r="G27" s="2439"/>
      <c r="H27" s="2439"/>
      <c r="I27" s="2439"/>
      <c r="J27" s="2242"/>
      <c r="K27" s="2400"/>
      <c r="L27" s="1667"/>
      <c r="M27" s="1667"/>
      <c r="N27" s="2242"/>
      <c r="O27" s="1667"/>
      <c r="P27" s="2242"/>
      <c r="Q27" s="2242"/>
      <c r="R27" s="2242"/>
      <c r="S27" s="2242"/>
      <c r="T27" s="2242"/>
      <c r="U27" s="2242"/>
      <c r="V27" s="2242"/>
    </row>
    <row r="28" spans="1:28">
      <c r="A28" s="3252"/>
      <c r="B28" s="293" t="s">
        <v>2216</v>
      </c>
      <c r="C28" s="2224"/>
      <c r="D28" s="2225"/>
      <c r="E28" s="2439"/>
      <c r="F28" s="2439"/>
      <c r="G28" s="2439"/>
      <c r="H28" s="2439"/>
      <c r="I28" s="2439"/>
      <c r="J28" s="2242"/>
      <c r="K28" s="2399"/>
      <c r="L28" s="2396"/>
      <c r="M28" s="2396"/>
      <c r="N28" s="2242"/>
      <c r="O28" s="1667"/>
      <c r="P28" s="2242"/>
      <c r="Q28" s="2242"/>
      <c r="R28" s="2242"/>
      <c r="S28" s="2242"/>
      <c r="T28" s="2242"/>
      <c r="U28" s="2242"/>
      <c r="V28" s="2242"/>
    </row>
    <row r="29" spans="1:28">
      <c r="A29" s="3252"/>
      <c r="B29" s="293" t="s">
        <v>2217</v>
      </c>
      <c r="C29" s="2226"/>
      <c r="D29" s="2227"/>
      <c r="E29" s="2439"/>
      <c r="F29" s="2439"/>
      <c r="G29" s="2439"/>
      <c r="H29" s="2439"/>
      <c r="I29" s="2439"/>
      <c r="J29" s="2242"/>
      <c r="K29" s="2399"/>
      <c r="L29" s="2396"/>
      <c r="M29" s="2396"/>
      <c r="N29" s="2242"/>
      <c r="O29" s="1667"/>
      <c r="P29" s="2242"/>
      <c r="Q29" s="2242"/>
      <c r="R29" s="2242"/>
      <c r="S29" s="2242"/>
      <c r="T29" s="2242"/>
      <c r="U29" s="2242"/>
      <c r="V29" s="2242"/>
    </row>
    <row r="30" spans="1:28">
      <c r="A30" s="3253"/>
      <c r="B30" s="293" t="s">
        <v>2218</v>
      </c>
      <c r="C30" s="3254"/>
      <c r="D30" s="3255"/>
      <c r="E30" s="2439"/>
      <c r="F30" s="2439"/>
      <c r="G30" s="2439"/>
      <c r="H30" s="2439"/>
      <c r="I30" s="2439"/>
      <c r="J30" s="2242"/>
      <c r="K30" s="2399"/>
      <c r="L30" s="2396"/>
      <c r="M30" s="2396"/>
      <c r="N30" s="2242"/>
      <c r="O30" s="1667"/>
      <c r="P30" s="2242"/>
      <c r="Q30" s="2242"/>
      <c r="R30" s="2242"/>
      <c r="S30" s="2242"/>
      <c r="T30" s="2242"/>
      <c r="U30" s="2242"/>
      <c r="V30" s="2242"/>
    </row>
    <row r="31" spans="1:28">
      <c r="A31" s="3256" t="s">
        <v>2219</v>
      </c>
      <c r="B31" s="2228" t="s">
        <v>3569</v>
      </c>
      <c r="C31" s="12" t="str">
        <f>IF(B31="现房","成新及维护状况正常否",IF(B31="在建","工程状态是否正常",IF(B31="土地","是否闲置","-")))</f>
        <v>成新及维护状况正常否</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57"/>
      <c r="B32" s="3173" t="s">
        <v>3570</v>
      </c>
      <c r="C32" s="12" t="str">
        <f>IF(B32="现房","成新及维护状况是否正常",IF(B32="在建","工程状态是否正常",IF(B32="土地","是否闲置","-")))</f>
        <v>工程状态是否正常</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57"/>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3" t="s">
        <v>2220</v>
      </c>
      <c r="B34" s="1867"/>
      <c r="C34" s="1867"/>
      <c r="D34" s="1867"/>
      <c r="E34" s="1867"/>
      <c r="F34" s="1867"/>
      <c r="G34" s="1867"/>
      <c r="H34" s="1867"/>
      <c r="I34" s="2439"/>
      <c r="J34" s="2242"/>
      <c r="K34" s="8">
        <f>COUNTIF(B34:H34,"——")</f>
        <v>0</v>
      </c>
      <c r="L34" s="314" t="s">
        <v>2221</v>
      </c>
      <c r="M34" s="314" t="s">
        <v>2222</v>
      </c>
      <c r="N34" s="314" t="s">
        <v>2223</v>
      </c>
      <c r="O34" s="314" t="s">
        <v>2224</v>
      </c>
      <c r="P34" s="314" t="s">
        <v>2225</v>
      </c>
      <c r="Q34" s="314" t="s">
        <v>2226</v>
      </c>
      <c r="R34" s="314" t="s">
        <v>2227</v>
      </c>
      <c r="S34" s="3251" t="s">
        <v>2228</v>
      </c>
      <c r="T34" s="314" t="str">
        <f>NUMBERSTRING(7-K34,1)&amp;"通"</f>
        <v>七通</v>
      </c>
      <c r="U34" s="2242"/>
      <c r="V34" s="2242"/>
    </row>
    <row r="35" spans="1:30">
      <c r="A35" s="2233"/>
      <c r="B35" s="3251" t="s">
        <v>2229</v>
      </c>
      <c r="C35" s="3251"/>
      <c r="D35" s="3251"/>
      <c r="E35" s="3251"/>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1"/>
      <c r="T35" s="137" t="str">
        <f>IF(T34="一通",L35,IF(T34="二通",M35,IF(T34="三通",N35,IF(T34="四通",O35,IF(T34="五通",P35,IF(T34="六通",Q35,R35))))))</f>
        <v>、、、、、、</v>
      </c>
      <c r="U35" s="2242"/>
      <c r="V35" s="2242"/>
    </row>
    <row r="36" spans="1:30">
      <c r="A36" s="2180"/>
      <c r="B36" s="8" t="s">
        <v>2185</v>
      </c>
      <c r="C36" s="8" t="s">
        <v>2186</v>
      </c>
      <c r="D36" s="8" t="s">
        <v>2184</v>
      </c>
      <c r="E36" s="8" t="s">
        <v>2189</v>
      </c>
      <c r="F36" s="2798" t="s">
        <v>2581</v>
      </c>
      <c r="G36" s="2439"/>
      <c r="H36" s="2439"/>
      <c r="I36" s="2439"/>
      <c r="J36" s="2242"/>
      <c r="K36" s="2399"/>
      <c r="L36" s="2396"/>
      <c r="M36" s="2396"/>
      <c r="N36" s="2242"/>
      <c r="O36" s="1667"/>
      <c r="P36" s="2242"/>
      <c r="Q36" s="2242"/>
      <c r="R36" s="2242"/>
      <c r="S36" s="2242"/>
      <c r="T36" s="2242"/>
      <c r="U36" s="2242"/>
      <c r="V36" s="2242"/>
    </row>
    <row r="37" spans="1:30">
      <c r="A37" s="2412" t="s">
        <v>2230</v>
      </c>
      <c r="B37" s="2234"/>
      <c r="C37" s="2234"/>
      <c r="D37" s="2234"/>
      <c r="E37" s="2234" t="s">
        <v>304</v>
      </c>
      <c r="F37" s="2234"/>
      <c r="G37" s="2439"/>
      <c r="H37" s="2439"/>
      <c r="I37" s="2439"/>
      <c r="J37" s="2242"/>
      <c r="K37" s="2399"/>
      <c r="L37" s="2396"/>
      <c r="M37" s="2396"/>
      <c r="N37" s="2242"/>
      <c r="O37" s="1667"/>
      <c r="P37" s="2242"/>
      <c r="Q37" s="2242"/>
      <c r="R37" s="2242"/>
      <c r="S37" s="2242"/>
      <c r="T37" s="2242"/>
      <c r="U37" s="2242"/>
      <c r="V37" s="2242"/>
    </row>
    <row r="38" spans="1:30" ht="13.5" thickBot="1">
      <c r="A38" s="2413" t="s">
        <v>2231</v>
      </c>
      <c r="B38" s="2235"/>
      <c r="C38" s="2235"/>
      <c r="D38" s="2235"/>
      <c r="E38" s="2235" t="s">
        <v>3617</v>
      </c>
      <c r="F38" s="2235"/>
      <c r="G38" s="2440"/>
      <c r="H38" s="2440"/>
      <c r="I38" s="2440"/>
      <c r="J38" s="2242"/>
      <c r="K38" s="2399"/>
      <c r="L38" s="2396"/>
      <c r="M38" s="2396"/>
      <c r="N38" s="2242"/>
      <c r="O38" s="1667"/>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5">
      <c r="A42" s="314"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3" customFormat="1">
      <c r="A43" s="1459"/>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3" customFormat="1">
      <c r="A44" s="1459"/>
      <c r="B44" s="1459"/>
      <c r="C44" s="627"/>
      <c r="D44" s="627"/>
      <c r="E44" s="627"/>
      <c r="F44" s="627"/>
      <c r="G44" s="627"/>
      <c r="H44" s="627"/>
      <c r="I44" s="627"/>
      <c r="J44" s="2240"/>
      <c r="K44" s="2241"/>
      <c r="L44" s="2241"/>
      <c r="M44" s="627"/>
      <c r="N44" s="627"/>
      <c r="O44" s="627"/>
      <c r="P44" s="627"/>
      <c r="Q44" s="627"/>
      <c r="R44" s="627"/>
      <c r="S44" s="2242"/>
      <c r="T44" s="2242"/>
      <c r="U44" s="2242"/>
      <c r="V44" s="2242"/>
    </row>
    <row r="45" spans="1:30" s="1613" customFormat="1">
      <c r="A45" s="1459"/>
      <c r="B45" s="1459"/>
      <c r="C45" s="627"/>
      <c r="D45" s="627"/>
      <c r="E45" s="627"/>
      <c r="F45" s="627"/>
      <c r="G45" s="627"/>
      <c r="H45" s="627"/>
      <c r="I45" s="627"/>
      <c r="J45" s="2240"/>
      <c r="K45" s="2241"/>
      <c r="L45" s="2241"/>
      <c r="M45" s="627"/>
      <c r="N45" s="627"/>
      <c r="O45" s="627"/>
      <c r="P45" s="627"/>
      <c r="Q45" s="627"/>
      <c r="R45" s="627"/>
      <c r="S45" s="2242"/>
      <c r="T45" s="2242"/>
      <c r="U45" s="2242"/>
      <c r="V45" s="2242"/>
    </row>
    <row r="46" spans="1:30" s="1613" customFormat="1">
      <c r="A46" s="1459"/>
      <c r="B46" s="1459"/>
      <c r="C46" s="627"/>
      <c r="D46" s="627"/>
      <c r="E46" s="627"/>
      <c r="F46" s="627"/>
      <c r="G46" s="627"/>
      <c r="H46" s="627"/>
      <c r="I46" s="627"/>
      <c r="J46" s="2240"/>
      <c r="K46" s="2241"/>
      <c r="L46" s="2241"/>
      <c r="M46" s="627"/>
      <c r="N46" s="627"/>
      <c r="O46" s="627"/>
      <c r="P46" s="627"/>
      <c r="Q46" s="627"/>
      <c r="R46" s="627"/>
      <c r="S46" s="2242"/>
      <c r="T46" s="2242"/>
      <c r="U46" s="2242"/>
      <c r="V46" s="2242"/>
    </row>
    <row r="47" spans="1:30" s="1613" customFormat="1">
      <c r="A47" s="1459"/>
      <c r="B47" s="1459"/>
      <c r="C47" s="627"/>
      <c r="D47" s="627"/>
      <c r="E47" s="627"/>
      <c r="F47" s="627"/>
      <c r="G47" s="627"/>
      <c r="H47" s="627"/>
      <c r="I47" s="627"/>
      <c r="J47" s="2240"/>
      <c r="K47" s="2241"/>
      <c r="L47" s="2241"/>
      <c r="M47" s="627"/>
      <c r="N47" s="627"/>
      <c r="O47" s="627"/>
      <c r="P47" s="627"/>
      <c r="Q47" s="627"/>
      <c r="R47" s="627"/>
      <c r="S47" s="2242"/>
      <c r="T47" s="2242"/>
      <c r="U47" s="2242"/>
      <c r="V47" s="2242"/>
    </row>
    <row r="48" spans="1:30" s="1613" customFormat="1">
      <c r="A48" s="1459"/>
      <c r="B48" s="1459"/>
      <c r="C48" s="627"/>
      <c r="D48" s="627"/>
      <c r="E48" s="627"/>
      <c r="F48" s="627"/>
      <c r="G48" s="627"/>
      <c r="H48" s="627"/>
      <c r="I48" s="627"/>
      <c r="J48" s="2240"/>
      <c r="K48" s="2241"/>
      <c r="L48" s="2241"/>
      <c r="M48" s="627"/>
      <c r="N48" s="627"/>
      <c r="O48" s="627"/>
      <c r="P48" s="627"/>
      <c r="Q48" s="627"/>
      <c r="R48" s="627"/>
      <c r="S48" s="2242"/>
      <c r="T48" s="2242"/>
      <c r="U48" s="2242"/>
      <c r="V48" s="2242"/>
    </row>
    <row r="49" spans="1:22" s="1613" customFormat="1">
      <c r="A49" s="1459"/>
      <c r="B49" s="1459"/>
      <c r="C49" s="627"/>
      <c r="D49" s="627"/>
      <c r="E49" s="627"/>
      <c r="F49" s="627"/>
      <c r="G49" s="627"/>
      <c r="H49" s="627"/>
      <c r="I49" s="627"/>
      <c r="J49" s="2240"/>
      <c r="K49" s="2241"/>
      <c r="L49" s="2241"/>
      <c r="M49" s="627"/>
      <c r="N49" s="627"/>
      <c r="O49" s="627"/>
      <c r="P49" s="627"/>
      <c r="Q49" s="627"/>
      <c r="R49" s="627"/>
      <c r="S49" s="2242"/>
      <c r="T49" s="2242"/>
      <c r="U49" s="2242"/>
      <c r="V49" s="2242"/>
    </row>
    <row r="50" spans="1:22" s="1613" customFormat="1">
      <c r="A50" s="1459"/>
      <c r="B50" s="1459"/>
      <c r="C50" s="627"/>
      <c r="D50" s="627"/>
      <c r="E50" s="627"/>
      <c r="F50" s="627"/>
      <c r="G50" s="627"/>
      <c r="H50" s="627"/>
      <c r="I50" s="627"/>
      <c r="J50" s="2240"/>
      <c r="K50" s="2241"/>
      <c r="L50" s="2241"/>
      <c r="M50" s="627"/>
      <c r="N50" s="627"/>
      <c r="O50" s="627"/>
      <c r="P50" s="627"/>
      <c r="Q50" s="627"/>
      <c r="R50" s="627"/>
      <c r="S50" s="2242"/>
      <c r="T50" s="2242"/>
      <c r="U50" s="2242"/>
      <c r="V50" s="2242"/>
    </row>
    <row r="51" spans="1:22" s="1613" customFormat="1">
      <c r="A51" s="1459"/>
      <c r="B51" s="1459"/>
      <c r="C51" s="627"/>
      <c r="D51" s="627"/>
      <c r="E51" s="627"/>
      <c r="F51" s="627"/>
      <c r="G51" s="627"/>
      <c r="H51" s="627"/>
      <c r="I51" s="627"/>
      <c r="J51" s="2240"/>
      <c r="K51" s="2241"/>
      <c r="L51" s="2241"/>
      <c r="M51" s="627"/>
      <c r="N51" s="627"/>
      <c r="O51" s="627"/>
      <c r="P51" s="627"/>
      <c r="Q51" s="627"/>
      <c r="R51" s="627"/>
    </row>
    <row r="52" spans="1:22" s="1613" customFormat="1">
      <c r="A52" s="1459"/>
      <c r="B52" s="1459"/>
      <c r="C52" s="1459"/>
      <c r="D52" s="1459"/>
      <c r="E52" s="1459"/>
      <c r="F52" s="627"/>
      <c r="G52" s="1459"/>
      <c r="H52" s="1459"/>
      <c r="I52" s="1459"/>
      <c r="J52" s="2243"/>
      <c r="K52" s="2241"/>
      <c r="L52" s="2241"/>
      <c r="M52" s="2241"/>
      <c r="N52" s="1459"/>
      <c r="O52" s="1459"/>
      <c r="P52" s="1459"/>
      <c r="Q52" s="1459"/>
      <c r="R52" s="1459"/>
    </row>
    <row r="53" spans="1:22" s="1613" customFormat="1">
      <c r="A53" s="1459"/>
      <c r="B53" s="1459"/>
      <c r="C53" s="1459"/>
      <c r="D53" s="1459"/>
      <c r="E53" s="1459"/>
      <c r="F53" s="627"/>
      <c r="G53" s="1459"/>
      <c r="H53" s="1459"/>
      <c r="I53" s="1459"/>
      <c r="J53" s="2243"/>
      <c r="K53" s="2241"/>
      <c r="L53" s="2241"/>
      <c r="M53" s="2241"/>
      <c r="N53" s="1459"/>
      <c r="O53" s="1459"/>
      <c r="P53" s="1459"/>
      <c r="Q53" s="1459"/>
      <c r="R53" s="1459"/>
    </row>
    <row r="54" spans="1:22" s="1613" customFormat="1">
      <c r="A54" s="1459"/>
      <c r="B54" s="1459"/>
      <c r="C54" s="1459"/>
      <c r="D54" s="1459"/>
      <c r="E54" s="1459"/>
      <c r="F54" s="627"/>
      <c r="G54" s="1459"/>
      <c r="H54" s="1459"/>
      <c r="I54" s="1459"/>
      <c r="J54" s="2243"/>
      <c r="K54" s="2241"/>
      <c r="L54" s="2241"/>
      <c r="M54" s="2241"/>
      <c r="N54" s="1459"/>
      <c r="O54" s="1459"/>
      <c r="P54" s="1459"/>
      <c r="Q54" s="1459"/>
      <c r="R54" s="1459"/>
    </row>
    <row r="55" spans="1:22" s="1613" customFormat="1">
      <c r="A55" s="1459"/>
      <c r="B55" s="1459"/>
      <c r="C55" s="1459"/>
      <c r="D55" s="1459"/>
      <c r="E55" s="1459"/>
      <c r="F55" s="627"/>
      <c r="G55" s="1459"/>
      <c r="H55" s="1459"/>
      <c r="I55" s="1459"/>
      <c r="J55" s="2243"/>
      <c r="K55" s="2241"/>
      <c r="L55" s="2241"/>
      <c r="M55" s="2241"/>
      <c r="N55" s="1459"/>
      <c r="O55" s="1459"/>
      <c r="P55" s="1459"/>
      <c r="Q55" s="1459"/>
      <c r="R55" s="1459"/>
    </row>
    <row r="56" spans="1:22" s="1613" customFormat="1">
      <c r="A56" s="1459"/>
      <c r="B56" s="1459"/>
      <c r="C56" s="1459"/>
      <c r="D56" s="1459"/>
      <c r="E56" s="1459"/>
      <c r="F56" s="627"/>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38" sqref="P38"/>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f>面积清单!H3</f>
        <v>31860</v>
      </c>
      <c r="B3" s="11">
        <f>IF(C3="否",G5-AT5,G5)</f>
        <v>102814.69</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7"/>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106671.44</v>
      </c>
      <c r="H5" s="13">
        <f t="shared" ref="H5:AT5" si="0">SUM(H13:H656)</f>
        <v>102232.35</v>
      </c>
      <c r="I5" s="13">
        <f t="shared" si="0"/>
        <v>63040.22</v>
      </c>
      <c r="J5" s="13">
        <f t="shared" si="0"/>
        <v>0</v>
      </c>
      <c r="K5" s="13">
        <f t="shared" si="0"/>
        <v>39192.130000000005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582.34</v>
      </c>
      <c r="AD5" s="13">
        <f t="shared" si="0"/>
        <v>0</v>
      </c>
      <c r="AE5" s="13">
        <f t="shared" si="0"/>
        <v>0</v>
      </c>
      <c r="AF5" s="13">
        <f t="shared" si="0"/>
        <v>0</v>
      </c>
      <c r="AG5" s="13">
        <f t="shared" si="0"/>
        <v>0</v>
      </c>
      <c r="AH5" s="13">
        <f t="shared" si="0"/>
        <v>0</v>
      </c>
      <c r="AI5" s="13">
        <f t="shared" si="0"/>
        <v>0</v>
      </c>
      <c r="AJ5" s="13">
        <f t="shared" si="0"/>
        <v>0</v>
      </c>
      <c r="AK5" s="13">
        <f t="shared" si="0"/>
        <v>0</v>
      </c>
      <c r="AL5" s="13">
        <f t="shared" si="0"/>
        <v>582.34</v>
      </c>
      <c r="AM5" s="13">
        <f t="shared" si="0"/>
        <v>0</v>
      </c>
      <c r="AN5" s="13">
        <f t="shared" si="0"/>
        <v>0</v>
      </c>
      <c r="AO5" s="13">
        <f t="shared" si="0"/>
        <v>0</v>
      </c>
      <c r="AP5" s="13">
        <f t="shared" si="0"/>
        <v>0</v>
      </c>
      <c r="AQ5" s="13">
        <f t="shared" si="0"/>
        <v>0</v>
      </c>
      <c r="AR5" s="13">
        <f t="shared" si="0"/>
        <v>0</v>
      </c>
      <c r="AS5" s="13">
        <f t="shared" si="0"/>
        <v>0</v>
      </c>
      <c r="AT5" s="13">
        <f t="shared" si="0"/>
        <v>3856.75</v>
      </c>
      <c r="AU5" s="1255"/>
      <c r="AV5" s="12" t="s">
        <v>1071</v>
      </c>
      <c r="AW5" s="1256"/>
      <c r="AX5" s="1256"/>
      <c r="AY5" s="14" t="s">
        <v>2</v>
      </c>
      <c r="AZ5" s="15">
        <f t="shared" ref="AZ5:BT5" si="1">SUM(AZ13:AZ656)</f>
        <v>48377.229999999996</v>
      </c>
      <c r="BA5" s="15">
        <f t="shared" si="1"/>
        <v>47794.89</v>
      </c>
      <c r="BB5" s="15">
        <f t="shared" si="1"/>
        <v>28321.48</v>
      </c>
      <c r="BC5" s="15">
        <f t="shared" si="1"/>
        <v>19473.41</v>
      </c>
      <c r="BD5" s="15">
        <f t="shared" si="1"/>
        <v>0</v>
      </c>
      <c r="BE5" s="15">
        <f t="shared" si="1"/>
        <v>0</v>
      </c>
      <c r="BF5" s="15">
        <f t="shared" si="1"/>
        <v>0</v>
      </c>
      <c r="BG5" s="15">
        <f t="shared" si="1"/>
        <v>0</v>
      </c>
      <c r="BH5" s="15">
        <f t="shared" si="1"/>
        <v>0</v>
      </c>
      <c r="BI5" s="15">
        <f t="shared" si="1"/>
        <v>0</v>
      </c>
      <c r="BJ5" s="15">
        <f t="shared" si="1"/>
        <v>0</v>
      </c>
      <c r="BK5" s="15">
        <f t="shared" si="1"/>
        <v>0</v>
      </c>
      <c r="BL5" s="15">
        <f t="shared" si="1"/>
        <v>582.34</v>
      </c>
      <c r="BM5" s="15">
        <f t="shared" si="1"/>
        <v>0</v>
      </c>
      <c r="BN5" s="15">
        <f t="shared" si="1"/>
        <v>0</v>
      </c>
      <c r="BO5" s="15">
        <f t="shared" si="1"/>
        <v>0</v>
      </c>
      <c r="BP5" s="15">
        <f t="shared" si="1"/>
        <v>0</v>
      </c>
      <c r="BQ5" s="15">
        <f t="shared" si="1"/>
        <v>582.34</v>
      </c>
      <c r="BR5" s="15">
        <f t="shared" si="1"/>
        <v>0</v>
      </c>
      <c r="BS5" s="15">
        <f t="shared" si="1"/>
        <v>0</v>
      </c>
      <c r="BT5" s="16">
        <f t="shared" si="1"/>
        <v>0</v>
      </c>
    </row>
    <row r="6" spans="1:72" s="1474" customFormat="1" ht="12.75">
      <c r="A6" s="12" t="s">
        <v>1072</v>
      </c>
      <c r="B6" s="1471"/>
      <c r="C6" s="1471"/>
      <c r="D6" s="1472"/>
      <c r="E6" s="13">
        <f>H6+AC6+AT6</f>
        <v>31859.99</v>
      </c>
      <c r="F6" s="13" t="s">
        <v>0</v>
      </c>
      <c r="G6" s="13" t="s">
        <v>1</v>
      </c>
      <c r="H6" s="17">
        <f>SUMIF(I$12:AB$12,"总值",I6:AB6)</f>
        <v>31679.54</v>
      </c>
      <c r="I6" s="13">
        <f t="shared" ref="I6:AB6" si="2">ROUND($A$3*I5/$B$3,2)</f>
        <v>19534.77</v>
      </c>
      <c r="J6" s="13">
        <f t="shared" si="2"/>
        <v>0</v>
      </c>
      <c r="K6" s="13">
        <f t="shared" si="2"/>
        <v>12144.77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180.45</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180.45</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14991.03</v>
      </c>
      <c r="AZ6" s="13" t="s">
        <v>2</v>
      </c>
      <c r="BA6" s="13">
        <f>ROUND($AY$6*BA5/$AZ$5,2)</f>
        <v>14810.58</v>
      </c>
      <c r="BB6" s="13">
        <f>ROUND($AY$6*BB5/$AZ$5,2)</f>
        <v>8776.2000000000007</v>
      </c>
      <c r="BC6" s="13">
        <f t="shared" ref="BC6:BH6" si="4">ROUND($AY$6*BC5/$AZ$5,2)</f>
        <v>6034.38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180.45</v>
      </c>
      <c r="BM6" s="13">
        <f t="shared" si="5"/>
        <v>0</v>
      </c>
      <c r="BN6" s="13">
        <f t="shared" si="5"/>
        <v>0</v>
      </c>
      <c r="BO6" s="13">
        <f t="shared" si="5"/>
        <v>0</v>
      </c>
      <c r="BP6" s="13">
        <f t="shared" si="5"/>
        <v>0</v>
      </c>
      <c r="BQ6" s="13">
        <f t="shared" si="5"/>
        <v>180.45</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3573</v>
      </c>
      <c r="J9" s="759"/>
      <c r="K9" s="1488" t="s">
        <v>3574</v>
      </c>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3</v>
      </c>
      <c r="J10" s="759"/>
      <c r="K10" s="1494" t="s">
        <v>3335</v>
      </c>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工业</v>
      </c>
      <c r="BC11" s="1484" t="str">
        <f>K10</f>
        <v>车库</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7"/>
      <c r="B13" s="627"/>
      <c r="C13" s="3159" t="s">
        <v>3571</v>
      </c>
      <c r="D13" s="1510" t="s">
        <v>3567</v>
      </c>
      <c r="E13" s="13">
        <f>IF($C$3="是",ROUND($A$3*G13/$B$3,2),ROUND($A$3*(G13-AT13)/$B$3,2))</f>
        <v>14991.03</v>
      </c>
      <c r="F13" s="29"/>
      <c r="G13" s="30">
        <f>H13+AC13+AT13</f>
        <v>48377.229999999996</v>
      </c>
      <c r="H13" s="17">
        <f>SUMIF(I$12:AB$12,"总值",I13:AB13)</f>
        <v>47794.89</v>
      </c>
      <c r="I13" s="1511">
        <f>面积清单!D14</f>
        <v>28321.48</v>
      </c>
      <c r="J13" s="1511"/>
      <c r="K13" s="1511">
        <f>面积清单!D15</f>
        <v>19473.41</v>
      </c>
      <c r="L13" s="1511"/>
      <c r="M13" s="1511"/>
      <c r="N13" s="1511"/>
      <c r="O13" s="1511"/>
      <c r="P13" s="1511"/>
      <c r="Q13" s="1511"/>
      <c r="R13" s="1511"/>
      <c r="S13" s="1511"/>
      <c r="T13" s="1511"/>
      <c r="U13" s="1511"/>
      <c r="V13" s="1511"/>
      <c r="W13" s="1511"/>
      <c r="X13" s="1511"/>
      <c r="Y13" s="1511"/>
      <c r="Z13" s="1511"/>
      <c r="AA13" s="1511"/>
      <c r="AB13" s="1511"/>
      <c r="AC13" s="13">
        <f>SUMIF(AD$12:AS$12,"总值",AD13:AS13)</f>
        <v>582.34</v>
      </c>
      <c r="AD13" s="987"/>
      <c r="AE13" s="987"/>
      <c r="AF13" s="987"/>
      <c r="AG13" s="987"/>
      <c r="AH13" s="987"/>
      <c r="AI13" s="987"/>
      <c r="AJ13" s="987"/>
      <c r="AK13" s="987"/>
      <c r="AL13" s="987">
        <f>面积清单!D16</f>
        <v>582.34</v>
      </c>
      <c r="AM13" s="987"/>
      <c r="AN13" s="987"/>
      <c r="AO13" s="987"/>
      <c r="AP13" s="987"/>
      <c r="AQ13" s="987"/>
      <c r="AR13" s="987"/>
      <c r="AS13" s="987"/>
      <c r="AT13" s="29"/>
      <c r="AU13" s="1512"/>
      <c r="AV13" s="8">
        <f t="shared" ref="AV13:AX17" si="6">A13</f>
        <v>0</v>
      </c>
      <c r="AW13" s="8">
        <f t="shared" si="6"/>
        <v>0</v>
      </c>
      <c r="AX13" s="8" t="str">
        <f t="shared" si="6"/>
        <v>一、二期</v>
      </c>
      <c r="AY13" s="1257">
        <f>ROUND($AY$6*AZ13/$AZ$5,2)</f>
        <v>14991.03</v>
      </c>
      <c r="AZ13" s="13">
        <f>BA13+BL13</f>
        <v>48377.229999999996</v>
      </c>
      <c r="BA13" s="13">
        <f>SUM(BB13:BK13)</f>
        <v>47794.89</v>
      </c>
      <c r="BB13" s="13">
        <f>IF($D13="是",I13-J13,0)</f>
        <v>28321.48</v>
      </c>
      <c r="BC13" s="13">
        <f>IF($D13="是",K13-L13,0)</f>
        <v>19473.41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582.34</v>
      </c>
      <c r="BM13" s="13">
        <f>IF($D13="是",AD13-AE13,0)</f>
        <v>0</v>
      </c>
      <c r="BN13" s="13">
        <f>IF($D13="是",AF13-AG13,0)</f>
        <v>0</v>
      </c>
      <c r="BO13" s="13">
        <f>IF($D13="是",AH13-AI13,0)</f>
        <v>0</v>
      </c>
      <c r="BP13" s="13">
        <f>IF($D13="是",AJ13-AK13,0)</f>
        <v>0</v>
      </c>
      <c r="BQ13" s="13">
        <f>IF($D13="是",AL13-AM13,0)</f>
        <v>582.34</v>
      </c>
      <c r="BR13" s="13">
        <f>IF($D13="是",AN13-AO13,0)</f>
        <v>0</v>
      </c>
      <c r="BS13" s="13">
        <f>IF($D13="是",AP13-AQ13,0)</f>
        <v>0</v>
      </c>
      <c r="BT13" s="19">
        <f>IF($D13="是",AR13-AS13,0)</f>
        <v>0</v>
      </c>
    </row>
    <row r="14" spans="1:72" s="1465" customFormat="1" ht="25.5">
      <c r="A14" s="627"/>
      <c r="B14" s="3159" t="s">
        <v>3575</v>
      </c>
      <c r="C14" s="3160" t="s">
        <v>3572</v>
      </c>
      <c r="D14" s="1510" t="s">
        <v>3614</v>
      </c>
      <c r="E14" s="13">
        <f>IF($C$3="是",ROUND($A$3*G14/$B$3,2),ROUND($A$3*(G14-AT14)/$B$3,2))</f>
        <v>16868.97</v>
      </c>
      <c r="F14" s="29"/>
      <c r="G14" s="30">
        <f>H14+AC14+AT14</f>
        <v>58294.210000000006</v>
      </c>
      <c r="H14" s="17">
        <f>SUMIF(I$12:AB$12,"总值",I14:AB14)</f>
        <v>54437.460000000006</v>
      </c>
      <c r="I14" s="1511">
        <f>面积清单!C47</f>
        <v>34718.740000000005</v>
      </c>
      <c r="J14" s="1511"/>
      <c r="K14" s="1511">
        <f>面积清单!D47</f>
        <v>19718.72</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f>面积清单!D43+面积清单!C41</f>
        <v>3856.75</v>
      </c>
      <c r="AU14" s="1512"/>
      <c r="AV14" s="8">
        <f t="shared" si="6"/>
        <v>0</v>
      </c>
      <c r="AW14" s="8" t="str">
        <f t="shared" si="6"/>
        <v>竣工多测合一</v>
      </c>
      <c r="AX14" s="8" t="str">
        <f t="shared" si="6"/>
        <v>三、四期</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7"/>
      <c r="B15" s="627"/>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7"/>
      <c r="B16" s="627"/>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7"/>
      <c r="B17" s="627"/>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 sqref="I4"/>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289" t="s">
        <v>1131</v>
      </c>
      <c r="B2" s="3289"/>
      <c r="C2" s="3289"/>
      <c r="D2" s="746" t="s">
        <v>1107</v>
      </c>
      <c r="E2" s="1520" t="s">
        <v>1108</v>
      </c>
      <c r="F2" s="2436"/>
      <c r="G2" s="2429"/>
      <c r="H2" s="2430"/>
      <c r="I2" s="2143" t="s">
        <v>1132</v>
      </c>
      <c r="J2" s="2436"/>
      <c r="K2" s="2436"/>
      <c r="L2" s="2436"/>
      <c r="M2" s="2436"/>
      <c r="N2" s="2437"/>
      <c r="O2" s="2436"/>
      <c r="P2" s="2436"/>
    </row>
    <row r="3" spans="1:16" ht="15.75" thickBot="1">
      <c r="A3" s="3290" t="s">
        <v>1105</v>
      </c>
      <c r="B3" s="3290"/>
      <c r="C3" s="3290"/>
      <c r="D3" s="41">
        <f>'数据-基础表'!AY6</f>
        <v>14991.03</v>
      </c>
      <c r="E3" s="41">
        <f>'数据-基础表'!AZ5</f>
        <v>48377.229999999996</v>
      </c>
      <c r="F3" s="2436"/>
      <c r="G3" s="42"/>
      <c r="H3" s="43" t="s">
        <v>1106</v>
      </c>
      <c r="I3" s="800">
        <f>ROUND('数据-基础表'!B3/'数据-基础表'!A3,2)</f>
        <v>3.23</v>
      </c>
      <c r="J3" s="2436"/>
      <c r="K3" s="2436"/>
      <c r="L3" s="2436"/>
      <c r="M3" s="2436"/>
      <c r="N3" s="2437"/>
      <c r="O3" s="2436"/>
      <c r="P3" s="2436"/>
    </row>
    <row r="4" spans="1:16" ht="15">
      <c r="A4" s="3291"/>
      <c r="B4" s="3292"/>
      <c r="C4" s="3293"/>
      <c r="D4" s="1521" t="s">
        <v>1107</v>
      </c>
      <c r="E4" s="1522" t="s">
        <v>1108</v>
      </c>
      <c r="F4" s="2436"/>
      <c r="G4" s="2431" t="s">
        <v>1133</v>
      </c>
      <c r="H4" s="43" t="s">
        <v>1113</v>
      </c>
      <c r="I4" s="800">
        <f>ROUND(SUMIF('数据-基础表'!I9:AS9,"地上",'数据-基础表'!I5:AS5)/'数据-基础表'!A3,2)</f>
        <v>2</v>
      </c>
      <c r="J4" s="2436"/>
      <c r="K4" s="2436"/>
      <c r="L4" s="2436"/>
      <c r="M4" s="2436"/>
      <c r="N4" s="2437"/>
      <c r="O4" s="2436"/>
      <c r="P4" s="2436"/>
    </row>
    <row r="5" spans="1:16">
      <c r="A5" s="42" t="s">
        <v>1109</v>
      </c>
      <c r="B5" s="3294" t="s">
        <v>1110</v>
      </c>
      <c r="C5" s="3294"/>
      <c r="D5" s="43">
        <f>ROUND($D$3*E5/$E$3,2)</f>
        <v>0</v>
      </c>
      <c r="E5" s="44">
        <f>SUMIF('数据-基础表'!$11:$11,"住宅",'数据-基础表'!$5:$5)</f>
        <v>0</v>
      </c>
      <c r="F5" s="2436"/>
      <c r="G5" s="42"/>
      <c r="H5" s="43" t="s">
        <v>1106</v>
      </c>
      <c r="I5" s="800">
        <f>ROUND(E31/D31,2)</f>
        <v>3.23</v>
      </c>
      <c r="J5" s="2436"/>
      <c r="K5" s="2436"/>
      <c r="L5" s="2436"/>
      <c r="M5" s="2436"/>
      <c r="N5" s="2436"/>
      <c r="O5" s="2436"/>
      <c r="P5" s="2436"/>
    </row>
    <row r="6" spans="1:16" ht="15" thickBot="1">
      <c r="A6" s="1524"/>
      <c r="B6" s="3294" t="s">
        <v>1111</v>
      </c>
      <c r="C6" s="3294"/>
      <c r="D6" s="43">
        <f>ROUND($D$3*E6/$E$3,2)</f>
        <v>14991.03</v>
      </c>
      <c r="E6" s="44">
        <f>E3-E5</f>
        <v>48377.229999999996</v>
      </c>
      <c r="F6" s="2436"/>
      <c r="G6" s="1526" t="s">
        <v>1112</v>
      </c>
      <c r="H6" s="45" t="s">
        <v>1113</v>
      </c>
      <c r="I6" s="2432">
        <f>ROUND(F31/D31,2)</f>
        <v>1.93</v>
      </c>
      <c r="J6" s="2436"/>
      <c r="K6" s="2436"/>
      <c r="L6" s="2436"/>
      <c r="M6" s="2436"/>
      <c r="N6" s="2436"/>
      <c r="O6" s="2436"/>
      <c r="P6" s="2436"/>
    </row>
    <row r="7" spans="1:16" ht="15.75" thickBot="1">
      <c r="A7" s="3286"/>
      <c r="B7" s="3287"/>
      <c r="C7" s="3288"/>
      <c r="D7" s="1521" t="s">
        <v>1107</v>
      </c>
      <c r="E7" s="1525"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8776.2000000000007</v>
      </c>
      <c r="E8" s="46">
        <f>SUMIF('数据-基础表'!BB10:BK10,"地上",'数据-基础表'!BB5:BK5)</f>
        <v>28321.48</v>
      </c>
      <c r="F8" s="2436"/>
      <c r="G8" s="2436"/>
      <c r="H8" s="2436"/>
      <c r="I8" s="2436"/>
      <c r="J8" s="2436"/>
      <c r="K8" s="2436"/>
      <c r="L8" s="2436"/>
      <c r="M8" s="2436"/>
      <c r="N8" s="2436"/>
      <c r="O8" s="2436"/>
      <c r="P8" s="2436"/>
    </row>
    <row r="9" spans="1:16">
      <c r="A9" s="1526"/>
      <c r="B9" s="1527"/>
      <c r="C9" s="43" t="s">
        <v>1119</v>
      </c>
      <c r="D9" s="43">
        <f t="shared" si="0"/>
        <v>0</v>
      </c>
      <c r="E9" s="47">
        <v>0</v>
      </c>
      <c r="F9" s="2436"/>
      <c r="G9" s="2436"/>
      <c r="H9" s="2436"/>
      <c r="I9" s="2436"/>
      <c r="J9" s="2436"/>
      <c r="K9" s="2436"/>
      <c r="L9" s="2436"/>
      <c r="M9" s="2436"/>
      <c r="N9" s="2436"/>
      <c r="O9" s="2436"/>
      <c r="P9" s="2436"/>
    </row>
    <row r="10" spans="1:16">
      <c r="A10" s="1526"/>
      <c r="B10" s="1527"/>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6"/>
      <c r="B11" s="1527"/>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6"/>
      <c r="B12" s="1527"/>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6"/>
      <c r="B13" s="1527"/>
      <c r="C13" s="43" t="s">
        <v>1122</v>
      </c>
      <c r="D13" s="43">
        <f t="shared" si="0"/>
        <v>6034.38</v>
      </c>
      <c r="E13" s="46">
        <f>SUMPRODUCT(('数据-基础表'!BB10:BK10="地下")*('数据-基础表'!BB11:BK11="车库")*('数据-基础表'!BB5:BK5))</f>
        <v>19473.41</v>
      </c>
      <c r="F13" s="2436"/>
      <c r="G13" s="2436"/>
      <c r="H13" s="2436"/>
      <c r="I13" s="2436"/>
      <c r="J13" s="2436"/>
      <c r="K13" s="2436"/>
      <c r="L13" s="2436"/>
      <c r="M13" s="2436"/>
      <c r="N13" s="2436"/>
      <c r="O13" s="2436"/>
      <c r="P13" s="2436"/>
    </row>
    <row r="14" spans="1:16">
      <c r="A14" s="1526"/>
      <c r="B14" s="1527"/>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6"/>
      <c r="B15" s="1527"/>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4"/>
      <c r="B16" s="1527"/>
      <c r="C16" s="45" t="s">
        <v>1123</v>
      </c>
      <c r="D16" s="45">
        <f>SUM(D8:D15)</f>
        <v>14810.580000000002</v>
      </c>
      <c r="E16" s="48">
        <f>SUM(E8:E15)</f>
        <v>47794.89</v>
      </c>
      <c r="F16" s="2436"/>
      <c r="G16" s="2436"/>
      <c r="H16" s="1528" t="s">
        <v>1135</v>
      </c>
      <c r="I16" s="1529"/>
      <c r="J16" s="1068"/>
      <c r="K16" s="3283" t="s">
        <v>1135</v>
      </c>
      <c r="L16" s="3284"/>
      <c r="M16" s="3284"/>
      <c r="N16" s="3284"/>
      <c r="O16" s="3284"/>
      <c r="P16" s="3285"/>
    </row>
    <row r="17" spans="1:19" ht="15">
      <c r="A17" s="1530" t="s">
        <v>1136</v>
      </c>
      <c r="B17" s="1531" t="s">
        <v>1137</v>
      </c>
      <c r="C17" s="1532" t="s">
        <v>1138</v>
      </c>
      <c r="D17" s="1533" t="s">
        <v>1126</v>
      </c>
      <c r="E17" s="1534" t="s">
        <v>1127</v>
      </c>
      <c r="F17" s="1535"/>
      <c r="G17" s="1536"/>
      <c r="H17" s="1537" t="s">
        <v>1139</v>
      </c>
      <c r="I17" s="1538" t="s">
        <v>1124</v>
      </c>
      <c r="J17" s="1068"/>
      <c r="K17" s="3280" t="s">
        <v>1140</v>
      </c>
      <c r="L17" s="3281"/>
      <c r="M17" s="3282"/>
      <c r="N17" s="3280" t="s">
        <v>1141</v>
      </c>
      <c r="O17" s="3281"/>
      <c r="P17" s="3282"/>
      <c r="R17" s="767" t="s">
        <v>1142</v>
      </c>
      <c r="S17" s="54"/>
    </row>
    <row r="18" spans="1:19" ht="15">
      <c r="A18" s="1526"/>
      <c r="B18" s="1523"/>
      <c r="C18" s="1539"/>
      <c r="D18" s="1540"/>
      <c r="E18" s="1541" t="s">
        <v>1143</v>
      </c>
      <c r="F18" s="1542" t="s">
        <v>1144</v>
      </c>
      <c r="G18" s="1543" t="s">
        <v>1145</v>
      </c>
      <c r="H18" s="978" t="s">
        <v>1146</v>
      </c>
      <c r="I18" s="1544" t="s">
        <v>1147</v>
      </c>
      <c r="J18" s="1068"/>
      <c r="K18" s="978" t="s">
        <v>1148</v>
      </c>
      <c r="L18" s="1545" t="s">
        <v>1149</v>
      </c>
      <c r="M18" s="800" t="s">
        <v>1150</v>
      </c>
      <c r="N18" s="978" t="s">
        <v>1148</v>
      </c>
      <c r="O18" s="1545" t="s">
        <v>1149</v>
      </c>
      <c r="P18" s="800" t="s">
        <v>1150</v>
      </c>
      <c r="R18" s="43" t="s">
        <v>1151</v>
      </c>
      <c r="S18" s="43" t="s">
        <v>1152</v>
      </c>
    </row>
    <row r="19" spans="1:19">
      <c r="A19" s="1546"/>
      <c r="B19" s="45" t="s">
        <v>1125</v>
      </c>
      <c r="C19" s="3113" t="s">
        <v>3648</v>
      </c>
      <c r="D19" s="43">
        <f>ROUND($D$3*E19/$E$3,2)</f>
        <v>8776.2000000000007</v>
      </c>
      <c r="E19" s="51">
        <f t="shared" ref="E19:E26" si="1">SUM(F19:G19)</f>
        <v>28321.48</v>
      </c>
      <c r="F19" s="2555">
        <f>'数据-基础表'!I13</f>
        <v>28321.48</v>
      </c>
      <c r="G19" s="1240"/>
      <c r="H19" s="636">
        <f>ROUND($D$3*I19/$E$3,2)</f>
        <v>106.93</v>
      </c>
      <c r="I19" s="46">
        <f t="shared" ref="I19:I26" si="2">IF($I$17="自定义",P19,M19)</f>
        <v>345.07</v>
      </c>
      <c r="J19" s="1068"/>
      <c r="K19" s="636">
        <f t="shared" ref="K19:K26" si="3">ROUND(E$28*E19/E$27,2)</f>
        <v>345.07</v>
      </c>
      <c r="L19" s="43">
        <f t="shared" ref="L19:L26" si="4">ROUND(IF(COUNTIF(C19,"*住宅*")&gt;0,E$29*E19/E$32,0),2)</f>
        <v>0</v>
      </c>
      <c r="M19" s="46">
        <f>K19+L19</f>
        <v>345.07</v>
      </c>
      <c r="N19" s="1547"/>
      <c r="O19" s="1548"/>
      <c r="P19" s="46">
        <f>N19+O19</f>
        <v>0</v>
      </c>
      <c r="R19" s="43">
        <f t="shared" ref="R19:S26" si="5">D19+H19</f>
        <v>8883.130000000001</v>
      </c>
      <c r="S19" s="51">
        <f t="shared" si="5"/>
        <v>28666.55</v>
      </c>
    </row>
    <row r="20" spans="1:19">
      <c r="A20" s="1546"/>
      <c r="B20" s="45" t="s">
        <v>1153</v>
      </c>
      <c r="C20" s="3113" t="s">
        <v>3623</v>
      </c>
      <c r="D20" s="43">
        <f t="shared" ref="D20:D26" si="6">ROUND($D$3*E20/$E$3,2)</f>
        <v>6034.38</v>
      </c>
      <c r="E20" s="51">
        <f t="shared" si="1"/>
        <v>19473.41</v>
      </c>
      <c r="F20" s="2555"/>
      <c r="G20" s="1240">
        <f>'数据-基础表'!K13</f>
        <v>19473.41</v>
      </c>
      <c r="H20" s="636">
        <f t="shared" ref="H20:H26" si="7">ROUND($D$3*I20/$E$3,2)</f>
        <v>73.52</v>
      </c>
      <c r="I20" s="46">
        <f t="shared" si="2"/>
        <v>237.27</v>
      </c>
      <c r="J20" s="1068"/>
      <c r="K20" s="636">
        <f t="shared" si="3"/>
        <v>237.27</v>
      </c>
      <c r="L20" s="43">
        <f t="shared" si="4"/>
        <v>0</v>
      </c>
      <c r="M20" s="46">
        <f t="shared" ref="M20:M26" si="8">K20+L20</f>
        <v>237.27</v>
      </c>
      <c r="N20" s="1547"/>
      <c r="O20" s="1548"/>
      <c r="P20" s="46">
        <f t="shared" ref="P20:P26" si="9">N20+O20</f>
        <v>0</v>
      </c>
      <c r="R20" s="43">
        <f t="shared" si="5"/>
        <v>6107.9000000000005</v>
      </c>
      <c r="S20" s="51">
        <f t="shared" si="5"/>
        <v>19710.68</v>
      </c>
    </row>
    <row r="21" spans="1:19">
      <c r="A21" s="1546"/>
      <c r="B21" s="45" t="s">
        <v>1153</v>
      </c>
      <c r="C21" s="3113"/>
      <c r="D21" s="43">
        <f t="shared" si="6"/>
        <v>0</v>
      </c>
      <c r="E21" s="51">
        <f t="shared" si="1"/>
        <v>0</v>
      </c>
      <c r="F21" s="2555"/>
      <c r="G21" s="1240"/>
      <c r="H21" s="636">
        <f t="shared" si="7"/>
        <v>0</v>
      </c>
      <c r="I21" s="46">
        <f t="shared" si="2"/>
        <v>0</v>
      </c>
      <c r="J21" s="1068"/>
      <c r="K21" s="636">
        <f t="shared" si="3"/>
        <v>0</v>
      </c>
      <c r="L21" s="43">
        <f t="shared" si="4"/>
        <v>0</v>
      </c>
      <c r="M21" s="46">
        <f t="shared" si="8"/>
        <v>0</v>
      </c>
      <c r="N21" s="1547"/>
      <c r="O21" s="1548"/>
      <c r="P21" s="46">
        <f t="shared" si="9"/>
        <v>0</v>
      </c>
      <c r="R21" s="43">
        <f t="shared" si="5"/>
        <v>0</v>
      </c>
      <c r="S21" s="51">
        <f t="shared" si="5"/>
        <v>0</v>
      </c>
    </row>
    <row r="22" spans="1:19">
      <c r="A22" s="1546"/>
      <c r="B22" s="45" t="s">
        <v>1153</v>
      </c>
      <c r="C22" s="3114"/>
      <c r="D22" s="43">
        <f t="shared" si="6"/>
        <v>0</v>
      </c>
      <c r="E22" s="51">
        <f t="shared" si="1"/>
        <v>0</v>
      </c>
      <c r="F22" s="2556"/>
      <c r="G22" s="2557"/>
      <c r="H22" s="636">
        <f t="shared" si="7"/>
        <v>0</v>
      </c>
      <c r="I22" s="46">
        <f t="shared" si="2"/>
        <v>0</v>
      </c>
      <c r="J22" s="1068"/>
      <c r="K22" s="636">
        <f t="shared" si="3"/>
        <v>0</v>
      </c>
      <c r="L22" s="43">
        <f t="shared" si="4"/>
        <v>0</v>
      </c>
      <c r="M22" s="46">
        <f t="shared" si="8"/>
        <v>0</v>
      </c>
      <c r="N22" s="1547"/>
      <c r="O22" s="1548"/>
      <c r="P22" s="46">
        <f t="shared" si="9"/>
        <v>0</v>
      </c>
      <c r="R22" s="43">
        <f t="shared" si="5"/>
        <v>0</v>
      </c>
      <c r="S22" s="51">
        <f t="shared" si="5"/>
        <v>0</v>
      </c>
    </row>
    <row r="23" spans="1:19">
      <c r="A23" s="1546"/>
      <c r="B23" s="45" t="s">
        <v>1153</v>
      </c>
      <c r="C23" s="3114"/>
      <c r="D23" s="43">
        <f>ROUND($D$3*E23/$E$3,2)</f>
        <v>0</v>
      </c>
      <c r="E23" s="51">
        <f>SUM(F23:G23)</f>
        <v>0</v>
      </c>
      <c r="F23" s="2556"/>
      <c r="G23" s="2557"/>
      <c r="H23" s="636">
        <f>ROUND($D$3*I23/$E$3,2)</f>
        <v>0</v>
      </c>
      <c r="I23" s="46">
        <f t="shared" si="2"/>
        <v>0</v>
      </c>
      <c r="J23" s="1068"/>
      <c r="K23" s="636">
        <f t="shared" si="3"/>
        <v>0</v>
      </c>
      <c r="L23" s="43">
        <f t="shared" si="4"/>
        <v>0</v>
      </c>
      <c r="M23" s="46">
        <f t="shared" si="8"/>
        <v>0</v>
      </c>
      <c r="N23" s="1547"/>
      <c r="O23" s="1548"/>
      <c r="P23" s="46">
        <f t="shared" si="9"/>
        <v>0</v>
      </c>
      <c r="R23" s="43">
        <f t="shared" si="5"/>
        <v>0</v>
      </c>
      <c r="S23" s="51">
        <f t="shared" si="5"/>
        <v>0</v>
      </c>
    </row>
    <row r="24" spans="1:19">
      <c r="A24" s="1546"/>
      <c r="B24" s="45" t="s">
        <v>1153</v>
      </c>
      <c r="C24" s="3114"/>
      <c r="D24" s="43">
        <f>ROUND($D$3*E24/$E$3,2)</f>
        <v>0</v>
      </c>
      <c r="E24" s="51">
        <f>SUM(F24:G24)</f>
        <v>0</v>
      </c>
      <c r="F24" s="2556"/>
      <c r="G24" s="2557"/>
      <c r="H24" s="636">
        <f>ROUND($D$3*I24/$E$3,2)</f>
        <v>0</v>
      </c>
      <c r="I24" s="46">
        <f t="shared" si="2"/>
        <v>0</v>
      </c>
      <c r="J24" s="1068"/>
      <c r="K24" s="636">
        <f t="shared" si="3"/>
        <v>0</v>
      </c>
      <c r="L24" s="43">
        <f t="shared" si="4"/>
        <v>0</v>
      </c>
      <c r="M24" s="46">
        <f t="shared" si="8"/>
        <v>0</v>
      </c>
      <c r="N24" s="1547"/>
      <c r="O24" s="1548"/>
      <c r="P24" s="46">
        <f t="shared" si="9"/>
        <v>0</v>
      </c>
      <c r="R24" s="43">
        <f t="shared" si="5"/>
        <v>0</v>
      </c>
      <c r="S24" s="51">
        <f t="shared" si="5"/>
        <v>0</v>
      </c>
    </row>
    <row r="25" spans="1:19">
      <c r="A25" s="1546"/>
      <c r="B25" s="45" t="s">
        <v>1153</v>
      </c>
      <c r="C25" s="3114"/>
      <c r="D25" s="43">
        <f t="shared" si="6"/>
        <v>0</v>
      </c>
      <c r="E25" s="51">
        <f t="shared" si="1"/>
        <v>0</v>
      </c>
      <c r="F25" s="2556"/>
      <c r="G25" s="2557"/>
      <c r="H25" s="42">
        <f t="shared" si="7"/>
        <v>0</v>
      </c>
      <c r="I25" s="46">
        <f t="shared" si="2"/>
        <v>0</v>
      </c>
      <c r="J25" s="1068"/>
      <c r="K25" s="636">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6"/>
      <c r="G26" s="2557"/>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14810.580000000002</v>
      </c>
      <c r="E27" s="1070">
        <f>IF(SUM(E19:E26)='数据-基础表'!BA5,SUM(E19:E26),IF(F27="地上面积有误","面积有误","地下面积有误"))</f>
        <v>47794.89</v>
      </c>
      <c r="F27" s="1069">
        <f>IF(SUM(F19:F26)=E8,SUM(F19:F26),"地上面积有误")</f>
        <v>28321.48</v>
      </c>
      <c r="G27" s="1071">
        <f>SUM(G19:G26)</f>
        <v>19473.41</v>
      </c>
      <c r="H27" s="1072">
        <f>SUM(H19:H26)</f>
        <v>180.45</v>
      </c>
      <c r="I27" s="1073">
        <f>SUM(I19:I26)</f>
        <v>582.34</v>
      </c>
      <c r="J27" s="1068"/>
      <c r="K27" s="1074">
        <f>SUM(K19:K26)</f>
        <v>582.34</v>
      </c>
      <c r="L27" s="783">
        <f>SUM(L19:L26)</f>
        <v>0</v>
      </c>
      <c r="M27" s="1075">
        <f>SUM(M19:M26)</f>
        <v>582.34</v>
      </c>
      <c r="N27" s="1074">
        <f t="shared" ref="N27:O27" si="10">SUM(N19:N26)</f>
        <v>0</v>
      </c>
      <c r="O27" s="783">
        <f t="shared" si="10"/>
        <v>0</v>
      </c>
      <c r="P27" s="94">
        <f>SUM(P19:P26)</f>
        <v>0</v>
      </c>
      <c r="R27" s="966">
        <f>IF(SUM(R19:R26)=$D$3,SUM(R19:R26),SUM(R19:R26)&amp;"误差"&amp;ROUND(SUM(R19:R26)-$D$3,2))</f>
        <v>14991.030000000002</v>
      </c>
      <c r="S27" s="43">
        <f>IF(SUM(S19:S26)=$E$3,SUM(S19:S26),SUM(S19:S26)&amp;"误差"&amp;ROUND(SUM(S19:S26)-E3,2))</f>
        <v>48377.229999999996</v>
      </c>
    </row>
    <row r="28" spans="1:19">
      <c r="A28" s="1546"/>
      <c r="B28" s="45" t="s">
        <v>1155</v>
      </c>
      <c r="C28" s="54" t="s">
        <v>1156</v>
      </c>
      <c r="D28" s="43">
        <f>ROUND($D$3*E28/$E$3,2)</f>
        <v>180.45</v>
      </c>
      <c r="E28" s="51">
        <f>SUM(F28:G28)</f>
        <v>582.34</v>
      </c>
      <c r="F28" s="54">
        <f>'数据-基础表'!BQ5+'数据-基础表'!BS5</f>
        <v>582.34</v>
      </c>
      <c r="G28" s="55">
        <f>'数据-基础表'!BR5+'数据-基础表'!BT5</f>
        <v>0</v>
      </c>
      <c r="H28" s="2436"/>
      <c r="I28" s="2436"/>
      <c r="J28" s="2436"/>
      <c r="K28" s="2436"/>
      <c r="L28" s="2436"/>
      <c r="M28" s="2436"/>
      <c r="N28" s="2436"/>
      <c r="O28" s="2436"/>
      <c r="P28" s="2436"/>
    </row>
    <row r="29" spans="1:19">
      <c r="A29" s="1546"/>
      <c r="B29" s="45" t="s">
        <v>1155</v>
      </c>
      <c r="C29" s="1552"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6"/>
      <c r="B30" s="45"/>
      <c r="C30" s="1553" t="s">
        <v>1154</v>
      </c>
      <c r="D30" s="1069">
        <f>SUM(D28:D29)</f>
        <v>180.45</v>
      </c>
      <c r="E30" s="1069">
        <f>SUM(E28:E29)</f>
        <v>582.34</v>
      </c>
      <c r="F30" s="1069">
        <f>SUM(F28:F29)</f>
        <v>582.34</v>
      </c>
      <c r="G30" s="1071">
        <f>SUM(G28:G29)</f>
        <v>0</v>
      </c>
      <c r="H30" s="2436"/>
      <c r="I30" s="2436"/>
      <c r="J30" s="2436"/>
      <c r="K30" s="2436"/>
      <c r="L30" s="2436"/>
      <c r="M30" s="2436"/>
      <c r="N30" s="2436"/>
      <c r="O30" s="2436"/>
      <c r="P30" s="2436"/>
    </row>
    <row r="31" spans="1:19" ht="15.75" thickBot="1">
      <c r="A31" s="1554"/>
      <c r="B31" s="96"/>
      <c r="C31" s="783" t="s">
        <v>1158</v>
      </c>
      <c r="D31" s="641">
        <f>D27+D30</f>
        <v>14991.030000000002</v>
      </c>
      <c r="E31" s="641">
        <f>E27+E30</f>
        <v>48377.229999999996</v>
      </c>
      <c r="F31" s="642">
        <f>F27+F30</f>
        <v>28903.82</v>
      </c>
      <c r="G31" s="643">
        <f>G27+G30</f>
        <v>19473.41</v>
      </c>
      <c r="H31" s="2436"/>
      <c r="I31" s="2436"/>
      <c r="J31" s="2436"/>
      <c r="K31" s="2436"/>
      <c r="L31" s="2436"/>
      <c r="M31" s="2436"/>
      <c r="N31" s="2436"/>
      <c r="O31" s="2436"/>
      <c r="P31" s="2436"/>
    </row>
    <row r="32" spans="1:19">
      <c r="A32" s="1523"/>
      <c r="B32" s="1523" t="s">
        <v>1159</v>
      </c>
      <c r="C32" s="1523"/>
      <c r="D32" s="1523"/>
      <c r="E32" s="988">
        <f>SUMIF(C19:C26,"*住宅*",E19:E26)</f>
        <v>0</v>
      </c>
      <c r="F32" s="1523"/>
      <c r="G32" s="1523"/>
      <c r="H32" s="2436"/>
      <c r="I32" s="2436"/>
      <c r="J32" s="2436"/>
      <c r="K32" s="2436"/>
      <c r="L32" s="2436"/>
      <c r="M32" s="2436"/>
      <c r="N32" s="2436"/>
      <c r="O32" s="2436"/>
      <c r="P32" s="2436"/>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O27" sqref="O27"/>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5" width="11.87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3" width="7.25" style="1558" customWidth="1"/>
    <col min="34" max="34" width="11.5" style="1558" customWidth="1"/>
    <col min="35" max="39" width="8" style="1558" customWidth="1"/>
    <col min="40" max="40" width="13.75" style="122"/>
    <col min="41" max="41" width="11.625" style="122" customWidth="1"/>
    <col min="42" max="42" width="9.75" style="122" customWidth="1"/>
    <col min="43" max="67" width="13.75" style="122"/>
    <col min="68" max="16384" width="13.75" style="1558"/>
  </cols>
  <sheetData>
    <row r="1" spans="1:67" ht="19.5" thickBot="1">
      <c r="A1" s="1556" t="s">
        <v>1160</v>
      </c>
      <c r="B1" s="644"/>
      <c r="C1" s="121"/>
      <c r="D1" s="1557"/>
      <c r="E1" s="121"/>
      <c r="F1" s="121"/>
      <c r="G1" s="121"/>
      <c r="H1" s="121"/>
      <c r="I1" s="121"/>
      <c r="J1" s="121"/>
      <c r="K1" s="150"/>
      <c r="L1" s="150"/>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48" customFormat="1" ht="15.75" thickBot="1">
      <c r="A2" s="1559" t="s">
        <v>1161</v>
      </c>
      <c r="B2" s="982">
        <f>项目基本情况!D3</f>
        <v>45607</v>
      </c>
      <c r="C2" s="1068"/>
      <c r="D2" s="1560"/>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5"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0.5">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3576</v>
      </c>
      <c r="O5" s="1574" t="s">
        <v>1181</v>
      </c>
      <c r="P5" s="1577" t="s">
        <v>1182</v>
      </c>
      <c r="Q5" s="58" t="s">
        <v>1183</v>
      </c>
      <c r="R5" s="1578" t="s">
        <v>1184</v>
      </c>
      <c r="S5" s="1579" t="s">
        <v>1185</v>
      </c>
      <c r="T5" s="1580" t="s">
        <v>1186</v>
      </c>
      <c r="U5" s="983" t="s">
        <v>1187</v>
      </c>
      <c r="V5" s="503" t="s">
        <v>1188</v>
      </c>
      <c r="W5" s="503" t="s">
        <v>1189</v>
      </c>
      <c r="X5" s="60"/>
      <c r="Y5" s="59" t="s">
        <v>1190</v>
      </c>
      <c r="Z5" s="1098" t="s">
        <v>1187</v>
      </c>
      <c r="AA5" s="503" t="s">
        <v>1188</v>
      </c>
      <c r="AB5" s="503" t="s">
        <v>1189</v>
      </c>
      <c r="AC5" s="60"/>
      <c r="AD5" s="60" t="s">
        <v>1190</v>
      </c>
      <c r="AE5" s="983" t="s">
        <v>1191</v>
      </c>
      <c r="AF5" s="503" t="s">
        <v>1192</v>
      </c>
      <c r="AG5" s="59" t="s">
        <v>1193</v>
      </c>
      <c r="AH5" s="983"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3" t="str">
        <f>'数据-汇总表'!C19</f>
        <v>办公</v>
      </c>
      <c r="B6" s="1584" t="str">
        <f>IF(A6=0,"","经营性")</f>
        <v>经营性</v>
      </c>
      <c r="C6" s="1585" t="s">
        <v>3</v>
      </c>
      <c r="D6" s="803">
        <f>SUMIF(项目基本情况!C$12:I$12,C6,项目基本情况!C$14:I$14)</f>
        <v>50</v>
      </c>
      <c r="E6" s="802">
        <f>IF(B6="","",SUMIF(项目基本情况!C$12:I$12,C6,项目基本情况!C$13:I$13))</f>
        <v>60714</v>
      </c>
      <c r="F6" s="61">
        <f>SUMIF(项目基本情况!C$12:I$12,C6,项目基本情况!C$15:I$15)</f>
        <v>41.38</v>
      </c>
      <c r="G6" s="62">
        <f>IF(ISERROR(ROUND(POWER(1+H6,D6-F6)*(POWER(1+H6,F6)-1)/(POWER(1+H6,D6)-1),3)),0,ROUND(POWER(1+H6,D6-F6)*(POWER(1+H6,F6)-1)/(POWER(1+H6,D6)-1),3))</f>
        <v>0.95</v>
      </c>
      <c r="H6" s="689">
        <v>0.05</v>
      </c>
      <c r="I6" s="689">
        <v>5.5E-2</v>
      </c>
      <c r="J6" s="63">
        <v>7.0000000000000007E-2</v>
      </c>
      <c r="K6" s="968">
        <f>SUMIF('数据-汇总表'!C$19:C$33,A6,'数据-汇总表'!E$19:E$33)</f>
        <v>28321.48</v>
      </c>
      <c r="L6" s="3556">
        <v>5000</v>
      </c>
      <c r="M6" s="64">
        <f t="shared" ref="M6:M14" si="0">ROUND(K6*L6/10000,0)</f>
        <v>14161</v>
      </c>
      <c r="N6" s="688">
        <f>N19</f>
        <v>0.93</v>
      </c>
      <c r="O6" s="64" t="str">
        <f>IF($N$5="成新度","——",ROUND(M6*N6,0))</f>
        <v>——</v>
      </c>
      <c r="P6" s="65" t="str">
        <f>IF($N$5="成新度","——",M6-O6)</f>
        <v>——</v>
      </c>
      <c r="Q6" s="691">
        <v>0.1</v>
      </c>
      <c r="R6" s="66">
        <f ca="1">SUMIF('数据-汇总表'!C$19:C$33,A6,'数据-汇总表'!R$19:R$27)</f>
        <v>8883.130000000001</v>
      </c>
      <c r="S6" s="49">
        <f>IF('数据-汇总表'!$I$17="按面积比例",SUMIF('数据-汇总表'!C$19:C$33,A6,'数据-汇总表'!K$19:K$33),SUMIF('数据-汇总表'!C$19:C$33,A6,'数据-汇总表'!N$19:N$33))</f>
        <v>345.07</v>
      </c>
      <c r="T6" s="1089">
        <f>ROUND($L$14*S6/10000,0)</f>
        <v>0</v>
      </c>
      <c r="U6" s="3558">
        <f>面积清单!Z18</f>
        <v>2.65</v>
      </c>
      <c r="V6" s="67">
        <v>0.02</v>
      </c>
      <c r="W6" s="67">
        <v>0.1</v>
      </c>
      <c r="X6" s="977"/>
      <c r="Y6" s="68">
        <f>N6</f>
        <v>0.93</v>
      </c>
      <c r="Z6" s="69"/>
      <c r="AA6" s="63"/>
      <c r="AB6" s="63"/>
      <c r="AC6" s="977"/>
      <c r="AD6" s="70"/>
      <c r="AE6" s="978">
        <f ca="1">IF(AN6="",0,SUMIF(INDIRECT("'"&amp;AN6&amp;"'"&amp;"!E:E"),$AE$5,INDIRECT("'"&amp;AN6&amp;"'"&amp;"!F:F")))</f>
        <v>41.38</v>
      </c>
      <c r="AF6" s="74"/>
      <c r="AG6" s="130">
        <f>IF(AF6="",0,AE6-AF6)</f>
        <v>0</v>
      </c>
      <c r="AH6" s="3174">
        <f>'数据-汇总表'!F19</f>
        <v>28321.48</v>
      </c>
      <c r="AI6" s="73">
        <v>365</v>
      </c>
      <c r="AJ6" s="74"/>
      <c r="AK6" s="3559">
        <v>5.0000000000000001E-3</v>
      </c>
      <c r="AL6" s="76">
        <v>1E-3</v>
      </c>
      <c r="AM6" s="77">
        <v>0.01</v>
      </c>
      <c r="AN6" s="1586" t="s">
        <v>3624</v>
      </c>
      <c r="AO6" s="50">
        <f ca="1">SUMIF(INDIRECT("'"&amp;AN6&amp;"'"&amp;"!A:A"),"总价",INDIRECT("'"&amp;AN6&amp;"'"&amp;"!B:B"))</f>
        <v>41534</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车库</v>
      </c>
      <c r="B7" s="1584" t="str">
        <f t="shared" ref="B7:B13" si="1">IF(A7=0,"","经营性")</f>
        <v>经营性</v>
      </c>
      <c r="C7" s="1585" t="s">
        <v>3</v>
      </c>
      <c r="D7" s="803">
        <f>SUMIF(项目基本情况!C$12:I$12,C7,项目基本情况!C$14:I$14)</f>
        <v>50</v>
      </c>
      <c r="E7" s="802">
        <f>IF(B7="","",SUMIF(项目基本情况!C$12:I$12,C7,项目基本情况!C$13:I$13))</f>
        <v>60714</v>
      </c>
      <c r="F7" s="61">
        <f>SUMIF(项目基本情况!C$12:I$12,C7,项目基本情况!C$15:I$15)</f>
        <v>41.38</v>
      </c>
      <c r="G7" s="62">
        <f t="shared" ref="G7:G11" si="2">IF(ISERROR(ROUND(POWER(1+H7,D7-F7)*(POWER(1+H7,F7)-1)/(POWER(1+H7,D7)-1),3)),0,ROUND(POWER(1+H7,D7-F7)*(POWER(1+H7,F7)-1)/(POWER(1+H7,D7)-1),3))</f>
        <v>0.95</v>
      </c>
      <c r="H7" s="689">
        <f>H6</f>
        <v>0.05</v>
      </c>
      <c r="I7" s="689">
        <f>I6</f>
        <v>5.5E-2</v>
      </c>
      <c r="J7" s="63">
        <f>J6</f>
        <v>7.0000000000000007E-2</v>
      </c>
      <c r="K7" s="968">
        <f>SUMIF('数据-汇总表'!C$19:C$33,A7,'数据-汇总表'!E$19:E$33)</f>
        <v>19473.41</v>
      </c>
      <c r="L7" s="3556">
        <v>5000</v>
      </c>
      <c r="M7" s="64">
        <f t="shared" si="0"/>
        <v>9737</v>
      </c>
      <c r="N7" s="688">
        <f>N6</f>
        <v>0.93</v>
      </c>
      <c r="O7" s="64" t="str">
        <f t="shared" ref="O7:O14" si="3">IF($N$5="成新度","——",ROUND(M7*N7,0))</f>
        <v>——</v>
      </c>
      <c r="P7" s="65" t="str">
        <f t="shared" ref="P7:P14" si="4">IF($N$5="成新度","——",M7-O7)</f>
        <v>——</v>
      </c>
      <c r="Q7" s="691">
        <v>0.05</v>
      </c>
      <c r="R7" s="66">
        <f ca="1">SUMIF('数据-汇总表'!C$19:C$33,A7,'数据-汇总表'!R$19:R$27)</f>
        <v>6107.9000000000005</v>
      </c>
      <c r="S7" s="49">
        <f>IF('数据-汇总表'!$I$17="按面积比例",SUMIF('数据-汇总表'!C$19:C$33,A7,'数据-汇总表'!K$19:K$33),SUMIF('数据-汇总表'!C$19:C$33,A7,'数据-汇总表'!N$19:N$33))</f>
        <v>237.27</v>
      </c>
      <c r="T7" s="1089">
        <f t="shared" ref="T7:T13" si="5">ROUND($L$14*S7/10000,0)</f>
        <v>0</v>
      </c>
      <c r="U7" s="3124">
        <v>400</v>
      </c>
      <c r="V7" s="67">
        <v>0.02</v>
      </c>
      <c r="W7" s="67">
        <f>W6</f>
        <v>0.1</v>
      </c>
      <c r="X7" s="977"/>
      <c r="Y7" s="68">
        <f>Y6</f>
        <v>0.93</v>
      </c>
      <c r="Z7" s="69"/>
      <c r="AA7" s="63"/>
      <c r="AB7" s="63"/>
      <c r="AC7" s="977"/>
      <c r="AD7" s="70"/>
      <c r="AE7" s="978">
        <f t="shared" ref="AE7:AE13" ca="1" si="6">IF(AN7="",0,SUMIF(INDIRECT("'"&amp;AN7&amp;"'"&amp;"!E:E"),$AE$5,INDIRECT("'"&amp;AN7&amp;"'"&amp;"!F:F")))</f>
        <v>41.38</v>
      </c>
      <c r="AF7" s="74"/>
      <c r="AG7" s="130">
        <f t="shared" ref="AG7:AG13" si="7">IF(AF7="",0,AE7-AF7)</f>
        <v>0</v>
      </c>
      <c r="AH7" s="71">
        <v>315</v>
      </c>
      <c r="AI7" s="73">
        <v>12</v>
      </c>
      <c r="AJ7" s="74"/>
      <c r="AK7" s="75">
        <v>5.0000000000000001E-3</v>
      </c>
      <c r="AL7" s="76">
        <f>AL6</f>
        <v>1E-3</v>
      </c>
      <c r="AM7" s="77">
        <f>AM6</f>
        <v>0.01</v>
      </c>
      <c r="AN7" s="1586" t="s">
        <v>3625</v>
      </c>
      <c r="AO7" s="50">
        <f t="shared" ref="AO7:AO13" ca="1" si="8">SUMIF(INDIRECT("'"&amp;AN7&amp;"'"&amp;"!A:A"),"总价",INDIRECT("'"&amp;AN7&amp;"'"&amp;"!B:B"))</f>
        <v>1028</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89">
        <f t="shared" si="5"/>
        <v>0</v>
      </c>
      <c r="U8" s="3125"/>
      <c r="V8" s="692"/>
      <c r="W8" s="692"/>
      <c r="X8" s="977"/>
      <c r="Y8" s="68"/>
      <c r="Z8" s="69"/>
      <c r="AA8" s="63"/>
      <c r="AB8" s="63"/>
      <c r="AC8" s="977"/>
      <c r="AD8" s="70"/>
      <c r="AE8" s="978">
        <f t="shared" ca="1" si="6"/>
        <v>0</v>
      </c>
      <c r="AF8" s="74"/>
      <c r="AG8" s="130">
        <f t="shared" si="7"/>
        <v>0</v>
      </c>
      <c r="AH8" s="693"/>
      <c r="AI8" s="73"/>
      <c r="AJ8" s="74"/>
      <c r="AK8" s="694"/>
      <c r="AL8" s="695"/>
      <c r="AM8" s="106"/>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4"/>
      <c r="V9" s="67"/>
      <c r="W9" s="67"/>
      <c r="X9" s="977"/>
      <c r="Y9" s="68"/>
      <c r="Z9" s="69"/>
      <c r="AA9" s="63"/>
      <c r="AB9" s="63"/>
      <c r="AC9" s="977"/>
      <c r="AD9" s="70"/>
      <c r="AE9" s="978">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4"/>
      <c r="V10" s="67"/>
      <c r="W10" s="67"/>
      <c r="X10" s="977"/>
      <c r="Y10" s="68"/>
      <c r="Z10" s="69"/>
      <c r="AA10" s="63"/>
      <c r="AB10" s="63"/>
      <c r="AC10" s="977"/>
      <c r="AD10" s="70"/>
      <c r="AE10" s="978">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4"/>
      <c r="V11" s="63"/>
      <c r="W11" s="63"/>
      <c r="X11" s="977"/>
      <c r="Y11" s="68"/>
      <c r="Z11" s="81"/>
      <c r="AA11" s="63"/>
      <c r="AB11" s="63"/>
      <c r="AC11" s="977"/>
      <c r="AD11" s="70"/>
      <c r="AE11" s="978">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4"/>
      <c r="V12" s="63"/>
      <c r="W12" s="63"/>
      <c r="X12" s="977"/>
      <c r="Y12" s="68"/>
      <c r="Z12" s="81"/>
      <c r="AA12" s="63"/>
      <c r="AB12" s="63"/>
      <c r="AC12" s="977"/>
      <c r="AD12" s="70"/>
      <c r="AE12" s="978">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6"/>
      <c r="V13" s="67"/>
      <c r="W13" s="67"/>
      <c r="X13" s="977"/>
      <c r="Y13" s="68"/>
      <c r="Z13" s="69"/>
      <c r="AA13" s="63"/>
      <c r="AB13" s="63"/>
      <c r="AC13" s="977"/>
      <c r="AD13" s="70"/>
      <c r="AE13" s="978">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582.34</v>
      </c>
      <c r="L14" s="3555"/>
      <c r="M14" s="64">
        <f t="shared" si="0"/>
        <v>0</v>
      </c>
      <c r="N14" s="3557"/>
      <c r="O14" s="64" t="str">
        <f t="shared" si="3"/>
        <v>——</v>
      </c>
      <c r="P14" s="65" t="str">
        <f t="shared" si="4"/>
        <v>——</v>
      </c>
      <c r="Q14" s="971"/>
      <c r="R14" s="66"/>
      <c r="S14" s="49"/>
      <c r="T14" s="1089"/>
      <c r="U14" s="636"/>
      <c r="V14" s="973"/>
      <c r="W14" s="973"/>
      <c r="X14" s="974"/>
      <c r="Y14" s="975"/>
      <c r="Z14" s="54"/>
      <c r="AA14" s="976"/>
      <c r="AB14" s="976"/>
      <c r="AC14" s="977"/>
      <c r="AD14" s="974"/>
      <c r="AE14" s="978"/>
      <c r="AF14" s="50"/>
      <c r="AG14" s="130"/>
      <c r="AH14" s="978"/>
      <c r="AI14" s="1263"/>
      <c r="AJ14" s="50"/>
      <c r="AK14" s="979"/>
      <c r="AL14" s="980"/>
      <c r="AM14" s="981"/>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89"/>
      <c r="U15" s="636"/>
      <c r="V15" s="973"/>
      <c r="W15" s="973"/>
      <c r="X15" s="974"/>
      <c r="Y15" s="975"/>
      <c r="Z15" s="54"/>
      <c r="AA15" s="976"/>
      <c r="AB15" s="976"/>
      <c r="AC15" s="977"/>
      <c r="AD15" s="974"/>
      <c r="AE15" s="978"/>
      <c r="AF15" s="50"/>
      <c r="AG15" s="130"/>
      <c r="AH15" s="978"/>
      <c r="AI15" s="1263"/>
      <c r="AJ15" s="50"/>
      <c r="AK15" s="979"/>
      <c r="AL15" s="980"/>
      <c r="AM15" s="981"/>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0.95</v>
      </c>
      <c r="H16" s="84">
        <f>ROUND(SUMPRODUCT(H6:H13,K6:K13)/SUMPRODUCT((H6:H13&gt;0)*(K6:K13)),3)</f>
        <v>0.05</v>
      </c>
      <c r="I16" s="85"/>
      <c r="J16" s="85"/>
      <c r="K16" s="86">
        <f>SUM(K6:K15)</f>
        <v>48377.229999999996</v>
      </c>
      <c r="L16" s="87">
        <f>ROUND(M16*10000/SUM(K6:K14),0)</f>
        <v>4940</v>
      </c>
      <c r="M16" s="87">
        <f>SUM(M6:M14)</f>
        <v>23898</v>
      </c>
      <c r="N16" s="88">
        <f>ROUND(SUMPRODUCT(M6:M14,N6:N14)/M16,3)</f>
        <v>0.93</v>
      </c>
      <c r="O16" s="87">
        <f>SUM(O6:O14)</f>
        <v>0</v>
      </c>
      <c r="P16" s="87">
        <f>SUM(P6:P14)</f>
        <v>0</v>
      </c>
      <c r="Q16" s="89">
        <f>ROUND(SUMPRODUCT(Q6:Q13,K6:K13)/SUMPRODUCT((Q6:Q13&gt;0)*(K6:K13)),2)</f>
        <v>0.08</v>
      </c>
      <c r="R16" s="972">
        <f ca="1">SUM(R6:R13)</f>
        <v>14991.030000000002</v>
      </c>
      <c r="S16" s="90">
        <f>SUM(S6:S13)</f>
        <v>582.34</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46"/>
      <c r="J18" s="2446"/>
      <c r="K18" s="2446"/>
      <c r="L18" s="2446"/>
      <c r="M18" s="3161" t="s">
        <v>3577</v>
      </c>
      <c r="N18" s="2446">
        <v>2020</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3" t="s">
        <v>1211</v>
      </c>
      <c r="B19" s="97">
        <v>0</v>
      </c>
      <c r="C19" s="2558" t="s">
        <v>2303</v>
      </c>
      <c r="D19" s="2449"/>
      <c r="E19" s="2436"/>
      <c r="F19" s="2436"/>
      <c r="G19" s="2436"/>
      <c r="H19" s="2436"/>
      <c r="I19" s="2446"/>
      <c r="J19" s="2446"/>
      <c r="K19" s="2446"/>
      <c r="L19" s="2446"/>
      <c r="M19" s="3161" t="s">
        <v>3578</v>
      </c>
      <c r="N19" s="2446">
        <f>ROUND(1-(1-0)*(2024-N18)/60,2)</f>
        <v>0.93</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4" t="s">
        <v>1212</v>
      </c>
      <c r="B20" s="98">
        <v>2</v>
      </c>
      <c r="C20" s="2559" t="s">
        <v>2301</v>
      </c>
      <c r="D20" s="2449"/>
      <c r="E20" s="2436"/>
      <c r="F20" s="2436"/>
      <c r="G20" s="2436"/>
      <c r="H20" s="2436"/>
      <c r="I20" s="2446"/>
      <c r="J20" s="2446"/>
      <c r="K20" s="2446"/>
      <c r="L20" s="2446"/>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5" t="s">
        <v>1213</v>
      </c>
      <c r="B21" s="98">
        <v>2</v>
      </c>
      <c r="C21" s="2436"/>
      <c r="D21" s="2449"/>
      <c r="E21" s="2436"/>
      <c r="F21" s="2436"/>
      <c r="G21" s="2436"/>
      <c r="H21" s="2436"/>
      <c r="I21" s="2446"/>
      <c r="J21" s="2446"/>
      <c r="K21" s="2446"/>
      <c r="L21" s="2446"/>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4" t="s">
        <v>1214</v>
      </c>
      <c r="B22" s="99">
        <f>B19+B20</f>
        <v>2</v>
      </c>
      <c r="C22" s="2436"/>
      <c r="D22" s="2449"/>
      <c r="E22" s="2436"/>
      <c r="F22" s="2436"/>
      <c r="G22" s="2436"/>
      <c r="H22" s="2436"/>
      <c r="I22" s="2446"/>
      <c r="J22" s="2446"/>
      <c r="K22" s="2446"/>
      <c r="L22" s="2446"/>
      <c r="M22" s="3161"/>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5" t="s">
        <v>1215</v>
      </c>
      <c r="B23" s="99">
        <f>B19+B21</f>
        <v>2</v>
      </c>
      <c r="C23" s="2436"/>
      <c r="D23" s="2449"/>
      <c r="E23" s="2436"/>
      <c r="F23" s="2436"/>
      <c r="G23" s="2436"/>
      <c r="H23" s="2436"/>
      <c r="I23" s="2446"/>
      <c r="J23" s="2446"/>
      <c r="K23" s="2439"/>
      <c r="L23" s="2446"/>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1216</v>
      </c>
      <c r="B24" s="100">
        <f>B20-B21</f>
        <v>0</v>
      </c>
      <c r="C24" s="2436"/>
      <c r="D24" s="2449"/>
      <c r="E24" s="2436"/>
      <c r="F24" s="2436"/>
      <c r="G24" s="2436"/>
      <c r="H24" s="2436"/>
      <c r="I24" s="2446"/>
      <c r="J24" s="2446"/>
      <c r="K24" s="2439"/>
      <c r="L24" s="2446"/>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6"/>
      <c r="B25" s="1539"/>
      <c r="C25" s="2436"/>
      <c r="D25" s="2449"/>
      <c r="E25" s="2436"/>
      <c r="F25" s="2436"/>
      <c r="G25" s="2436"/>
      <c r="H25" s="2436"/>
      <c r="I25" s="2446"/>
      <c r="J25" s="2446"/>
      <c r="K25" s="2439"/>
      <c r="L25" s="2446"/>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1217</v>
      </c>
      <c r="B26" s="1597" t="s">
        <v>1218</v>
      </c>
      <c r="C26" s="2450" t="s">
        <v>1219</v>
      </c>
      <c r="D26" s="2449"/>
      <c r="E26" s="2436"/>
      <c r="F26" s="2436"/>
      <c r="G26" s="2436"/>
      <c r="H26" s="2436"/>
      <c r="I26" s="2446"/>
      <c r="J26" s="2446"/>
      <c r="K26" s="2439"/>
      <c r="L26" s="2446"/>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598" t="s">
        <v>1220</v>
      </c>
      <c r="B27" s="101">
        <v>160</v>
      </c>
      <c r="C27" s="2560" t="s">
        <v>2305</v>
      </c>
      <c r="D27" s="2452"/>
      <c r="E27" s="2437"/>
      <c r="F27" s="2437"/>
      <c r="G27" s="2436"/>
      <c r="H27" s="2436"/>
      <c r="I27" s="2446"/>
      <c r="J27" s="2446"/>
      <c r="K27" s="2439"/>
      <c r="L27" s="2446"/>
      <c r="M27" s="122"/>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599" t="s">
        <v>1221</v>
      </c>
      <c r="B28" s="103">
        <v>200</v>
      </c>
      <c r="C28" s="2453"/>
      <c r="D28" s="2452"/>
      <c r="E28" s="2437"/>
      <c r="F28" s="2437"/>
      <c r="G28" s="2436"/>
      <c r="H28" s="2436"/>
      <c r="I28" s="2446"/>
      <c r="J28" s="3161"/>
      <c r="K28" s="2446"/>
      <c r="L28" s="2446"/>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0" t="s">
        <v>1222</v>
      </c>
      <c r="B29" s="105"/>
      <c r="C29" s="2561" t="s">
        <v>2294</v>
      </c>
      <c r="D29" s="2452"/>
      <c r="E29" s="2437"/>
      <c r="F29" s="2437"/>
      <c r="G29" s="2436"/>
      <c r="H29" s="2436"/>
      <c r="I29" s="2446"/>
      <c r="J29" s="2446"/>
      <c r="K29" s="2446"/>
      <c r="L29" s="2446"/>
      <c r="M29" s="2446"/>
      <c r="N29" s="3161"/>
      <c r="O29" s="2446"/>
      <c r="P29" s="3161"/>
      <c r="Q29" s="2446"/>
      <c r="R29" s="2446"/>
      <c r="S29" s="2446"/>
      <c r="T29" s="2446"/>
      <c r="U29" s="2446"/>
      <c r="V29" s="2446"/>
      <c r="W29" s="3161" t="s">
        <v>3711</v>
      </c>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1" t="s">
        <v>1223</v>
      </c>
      <c r="B30" s="637">
        <v>200</v>
      </c>
      <c r="C30" s="2453"/>
      <c r="D30" s="2452"/>
      <c r="E30" s="2437"/>
      <c r="F30" s="2437"/>
      <c r="G30" s="2436"/>
      <c r="H30" s="2436"/>
      <c r="I30" s="2446"/>
      <c r="J30" s="2446"/>
      <c r="K30" s="2446"/>
      <c r="L30" s="2446"/>
      <c r="M30" s="2446"/>
      <c r="N30" s="3161"/>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599" t="s">
        <v>1224</v>
      </c>
      <c r="B31" s="104">
        <f>B30-B32</f>
        <v>200</v>
      </c>
      <c r="C31" s="2451"/>
      <c r="D31" s="2452"/>
      <c r="E31" s="2437"/>
      <c r="F31" s="2437"/>
      <c r="G31" s="2436"/>
      <c r="H31" s="2436"/>
      <c r="I31" s="2446"/>
      <c r="J31" s="2446"/>
      <c r="K31" s="2446"/>
      <c r="L31" s="2446"/>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2" t="s">
        <v>1225</v>
      </c>
      <c r="B32" s="3562"/>
      <c r="C32" s="2453"/>
      <c r="D32" s="2449"/>
      <c r="E32" s="2436"/>
      <c r="F32" s="2436"/>
      <c r="G32" s="2436"/>
      <c r="H32" s="2436"/>
      <c r="I32" s="2446"/>
      <c r="J32" s="2446"/>
      <c r="K32" s="2446"/>
      <c r="L32" s="2446"/>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8" t="s">
        <v>1226</v>
      </c>
      <c r="B33" s="638">
        <v>0.03</v>
      </c>
      <c r="C33" s="2562" t="s">
        <v>3378</v>
      </c>
      <c r="D33" s="2449"/>
      <c r="E33" s="2436"/>
      <c r="F33" s="2436"/>
      <c r="G33" s="2436"/>
      <c r="H33" s="2436"/>
      <c r="I33" s="2446"/>
      <c r="J33" s="2446"/>
      <c r="K33" s="2446"/>
      <c r="L33" s="2446"/>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599" t="s">
        <v>1227</v>
      </c>
      <c r="B34" s="106">
        <v>0</v>
      </c>
      <c r="C34" s="2562" t="s">
        <v>2295</v>
      </c>
      <c r="D34" s="2457" t="s">
        <v>2302</v>
      </c>
      <c r="E34" s="2455"/>
      <c r="F34" s="2436"/>
      <c r="G34" s="2436"/>
      <c r="H34" s="2436"/>
      <c r="I34" s="2446"/>
      <c r="J34" s="2446"/>
      <c r="K34" s="2446"/>
      <c r="L34" s="2446"/>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599" t="s">
        <v>1228</v>
      </c>
      <c r="B35" s="103">
        <v>200</v>
      </c>
      <c r="C35" s="2562" t="s">
        <v>2296</v>
      </c>
      <c r="D35" s="2452"/>
      <c r="E35" s="2437"/>
      <c r="F35" s="2437"/>
      <c r="G35" s="2436"/>
      <c r="H35" s="2436"/>
      <c r="I35" s="2446"/>
      <c r="J35" s="2446"/>
      <c r="K35" s="2446"/>
      <c r="L35" s="2446"/>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1229</v>
      </c>
      <c r="B36" s="107">
        <v>0.02</v>
      </c>
      <c r="C36" s="2562" t="s">
        <v>3379</v>
      </c>
      <c r="D36" s="2449"/>
      <c r="E36" s="2436"/>
      <c r="F36" s="2436"/>
      <c r="G36" s="2436"/>
      <c r="H36" s="2436"/>
      <c r="I36" s="2446"/>
      <c r="J36" s="2446"/>
      <c r="K36" s="2446"/>
      <c r="L36" s="2446"/>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1" t="s">
        <v>1230</v>
      </c>
      <c r="B37" s="108">
        <v>0.02</v>
      </c>
      <c r="C37" s="2562" t="s">
        <v>2297</v>
      </c>
      <c r="D37" s="2449"/>
      <c r="E37" s="2436"/>
      <c r="F37" s="2436"/>
      <c r="G37" s="2436"/>
      <c r="H37" s="2436"/>
      <c r="I37" s="2446"/>
      <c r="J37" s="2446"/>
      <c r="K37" s="2446"/>
      <c r="L37" s="2446"/>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599" t="s">
        <v>1231</v>
      </c>
      <c r="B38" s="106">
        <v>0.02</v>
      </c>
      <c r="C38" s="2562" t="s">
        <v>2297</v>
      </c>
      <c r="D38" s="2449"/>
      <c r="E38" s="2436"/>
      <c r="F38" s="2436"/>
      <c r="G38" s="2436"/>
      <c r="H38" s="2436"/>
      <c r="I38" s="2446"/>
      <c r="J38" s="2446"/>
      <c r="K38" s="2446"/>
      <c r="L38" s="2446"/>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2" t="s">
        <v>1232</v>
      </c>
      <c r="B39" s="308">
        <f ca="1">存贷款利率!I1</f>
        <v>1.4999999999999999E-2</v>
      </c>
      <c r="C39" s="2454"/>
      <c r="D39" s="2449"/>
      <c r="E39" s="2436"/>
      <c r="F39" s="2436"/>
      <c r="G39" s="2436"/>
      <c r="H39" s="2436"/>
      <c r="I39" s="2446"/>
      <c r="J39" s="2446"/>
      <c r="K39" s="2446"/>
      <c r="L39" s="2446"/>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3">
        <f ca="1">IF(A40="利息：取LPR",存贷款利率!G1,存贷款利率!G1+C40)</f>
        <v>3.1E-2</v>
      </c>
      <c r="C40" s="2570">
        <v>5.0000000000000001E-3</v>
      </c>
      <c r="D40" s="2446"/>
      <c r="E40" s="2449"/>
      <c r="F40" s="2436"/>
      <c r="G40" s="2436"/>
      <c r="H40" s="2436"/>
      <c r="I40" s="2446"/>
      <c r="J40" s="2446"/>
      <c r="K40" s="2446"/>
      <c r="L40" s="2446"/>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8" t="s">
        <v>1233</v>
      </c>
      <c r="B41" s="109">
        <f>B42+B43</f>
        <v>5.6000000000000001E-2</v>
      </c>
      <c r="C41" s="2451"/>
      <c r="D41" s="2446"/>
      <c r="E41" s="2449"/>
      <c r="F41" s="2436"/>
      <c r="G41" s="2436"/>
      <c r="H41" s="2436"/>
      <c r="I41" s="2446"/>
      <c r="J41" s="2446"/>
      <c r="K41" s="2446"/>
      <c r="L41" s="2446"/>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3" t="s">
        <v>1234</v>
      </c>
      <c r="B42" s="110">
        <v>0.05</v>
      </c>
      <c r="C42" s="2456">
        <f>IF(B2&lt;DATE(2016,5,1),0,B42)</f>
        <v>0.05</v>
      </c>
      <c r="D42" s="2449"/>
      <c r="E42" s="2436"/>
      <c r="F42" s="2436"/>
      <c r="G42" s="2436"/>
      <c r="H42" s="2436"/>
      <c r="I42" s="2446"/>
      <c r="J42" s="2446"/>
      <c r="K42" s="2446"/>
      <c r="L42" s="2446"/>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3" t="s">
        <v>1235</v>
      </c>
      <c r="B43" s="111">
        <f>B42*(B44+B45+B46)+B47</f>
        <v>6.000000000000001E-3</v>
      </c>
      <c r="C43" s="2451"/>
      <c r="D43" s="2449"/>
      <c r="E43" s="2436"/>
      <c r="F43" s="2436"/>
      <c r="G43" s="2436"/>
      <c r="H43" s="2436"/>
      <c r="I43" s="2446"/>
      <c r="J43" s="2446"/>
      <c r="K43" s="2446"/>
      <c r="L43" s="2446"/>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4" t="s">
        <v>1236</v>
      </c>
      <c r="B44" s="112">
        <v>7.0000000000000007E-2</v>
      </c>
      <c r="C44" s="2562" t="s">
        <v>2306</v>
      </c>
      <c r="D44" s="2449"/>
      <c r="E44" s="2436"/>
      <c r="F44" s="2436"/>
      <c r="G44" s="2436"/>
      <c r="H44" s="2436"/>
      <c r="I44" s="2446"/>
      <c r="J44" s="2446"/>
      <c r="K44" s="2446"/>
      <c r="L44" s="2446"/>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4" t="s">
        <v>1237</v>
      </c>
      <c r="B45" s="110">
        <v>0.03</v>
      </c>
      <c r="C45" s="2561" t="s">
        <v>2298</v>
      </c>
      <c r="D45" s="2449"/>
      <c r="E45" s="2436"/>
      <c r="F45" s="2436"/>
      <c r="G45" s="2436"/>
      <c r="H45" s="2436"/>
      <c r="I45" s="2446"/>
      <c r="J45" s="2446"/>
      <c r="K45" s="2446"/>
      <c r="L45" s="2446"/>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4" t="s">
        <v>1238</v>
      </c>
      <c r="B46" s="110">
        <v>0.02</v>
      </c>
      <c r="C46" s="2561" t="s">
        <v>2299</v>
      </c>
      <c r="D46" s="2449"/>
      <c r="E46" s="2436"/>
      <c r="F46" s="2436"/>
      <c r="G46" s="2436"/>
      <c r="H46" s="2436"/>
      <c r="I46" s="2446"/>
      <c r="J46" s="2446"/>
      <c r="K46" s="2446"/>
      <c r="L46" s="2446"/>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1239</v>
      </c>
      <c r="B47" s="113"/>
      <c r="C47" s="2564" t="s">
        <v>2307</v>
      </c>
      <c r="D47" s="2449"/>
      <c r="E47" s="2436"/>
      <c r="F47" s="2436"/>
      <c r="G47" s="2436"/>
      <c r="H47" s="2436"/>
      <c r="I47" s="2446"/>
      <c r="J47" s="2446"/>
      <c r="K47" s="2446"/>
      <c r="L47" s="2446"/>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6" t="s">
        <v>1240</v>
      </c>
      <c r="B48" s="114">
        <v>0.03</v>
      </c>
      <c r="C48" s="2561" t="s">
        <v>2298</v>
      </c>
      <c r="D48" s="2449"/>
      <c r="E48" s="2436"/>
      <c r="F48" s="2436"/>
      <c r="G48" s="2436"/>
      <c r="H48" s="2436"/>
      <c r="I48" s="2446"/>
      <c r="J48" s="2446"/>
      <c r="K48" s="2446"/>
      <c r="L48" s="2446"/>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1241</v>
      </c>
      <c r="B49" s="110">
        <v>5.0000000000000001E-4</v>
      </c>
      <c r="C49" s="2561" t="s">
        <v>2300</v>
      </c>
      <c r="D49" s="2449"/>
      <c r="E49" s="2436"/>
      <c r="F49" s="2436"/>
      <c r="G49" s="2436"/>
      <c r="H49" s="2436"/>
      <c r="I49" s="2446"/>
      <c r="J49" s="2446"/>
      <c r="K49" s="2446"/>
      <c r="L49" s="2446"/>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7"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7" t="s">
        <v>1244</v>
      </c>
      <c r="B52" s="117">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599" t="s">
        <v>1245</v>
      </c>
      <c r="B53" s="1608" t="s">
        <v>29</v>
      </c>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09"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09"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09"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09"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09"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09" t="s">
        <v>1252</v>
      </c>
      <c r="B59" s="3560">
        <f>C59</f>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09"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09"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09"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2"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2"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2"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2"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2"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algorithmName="SHA-512" hashValue="uE5JdAtms+SWms3P84MEwoLcSQV4khJ8Ncks1kl5EXVkUEn2+Kbb7Zbmtj+QiQRcGpEOwgvV9E35Ox/GSWtE2w==" saltValue="Ehclx8talFviAVigrGorgQ==" spinCount="100000"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19" customWidth="1"/>
    <col min="2" max="3" width="24.5" style="507" customWidth="1"/>
    <col min="4" max="4" width="2.625" style="507" customWidth="1"/>
    <col min="5" max="5" width="5.875" style="507" customWidth="1"/>
    <col min="6" max="7" width="27" style="507"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9" customWidth="1"/>
    <col min="19" max="29" width="9" style="749"/>
    <col min="30" max="16384" width="9" style="1519"/>
  </cols>
  <sheetData>
    <row r="1" spans="1:29" s="2256" customFormat="1" ht="18.75" thickBot="1">
      <c r="A1" s="3295" t="s">
        <v>2286</v>
      </c>
      <c r="B1" s="3296"/>
      <c r="C1" s="3296"/>
      <c r="D1" s="3296"/>
      <c r="E1" s="3296"/>
      <c r="F1" s="3296"/>
      <c r="G1" s="3296"/>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2"/>
      <c r="E2" s="2257"/>
      <c r="F2" s="2260"/>
      <c r="G2" s="2259" t="s">
        <v>2282</v>
      </c>
      <c r="H2" s="749"/>
      <c r="I2" s="749"/>
      <c r="J2" s="749"/>
      <c r="K2" s="749"/>
      <c r="L2" s="749"/>
      <c r="M2" s="749"/>
      <c r="N2" s="749"/>
      <c r="O2" s="749"/>
      <c r="P2" s="749"/>
      <c r="Q2" s="749"/>
    </row>
    <row r="3" spans="1:29" ht="48">
      <c r="A3" s="2244" t="s">
        <v>2283</v>
      </c>
      <c r="B3" s="2261" t="s">
        <v>2252</v>
      </c>
      <c r="C3" s="2262" t="s">
        <v>2284</v>
      </c>
      <c r="D3" s="2263"/>
      <c r="E3" s="2245" t="s">
        <v>2283</v>
      </c>
      <c r="F3" s="2264" t="s">
        <v>2253</v>
      </c>
      <c r="G3" s="2265" t="s">
        <v>2285</v>
      </c>
      <c r="H3" s="749"/>
      <c r="I3" s="749"/>
      <c r="J3" s="749"/>
      <c r="K3" s="749"/>
      <c r="L3" s="749"/>
      <c r="M3" s="749"/>
      <c r="N3" s="749"/>
      <c r="O3" s="749"/>
      <c r="P3" s="749"/>
      <c r="Q3" s="749"/>
    </row>
    <row r="4" spans="1:29" ht="36.75">
      <c r="A4" s="2245"/>
      <c r="B4" s="314" t="s">
        <v>2254</v>
      </c>
      <c r="C4" s="2266" t="s">
        <v>2255</v>
      </c>
      <c r="D4" s="2263"/>
      <c r="E4" s="2267"/>
      <c r="F4" s="1278" t="s">
        <v>2256</v>
      </c>
      <c r="G4" s="2268" t="s">
        <v>2257</v>
      </c>
      <c r="H4" s="749"/>
      <c r="I4" s="749"/>
      <c r="J4" s="749"/>
      <c r="K4" s="749"/>
      <c r="L4" s="749"/>
      <c r="M4" s="749"/>
      <c r="N4" s="749"/>
      <c r="O4" s="749"/>
      <c r="P4" s="749"/>
      <c r="Q4" s="749"/>
    </row>
    <row r="5" spans="1:29" ht="36.75">
      <c r="A5" s="2245"/>
      <c r="B5" s="314" t="s">
        <v>2258</v>
      </c>
      <c r="C5" s="2266" t="s">
        <v>2259</v>
      </c>
      <c r="D5" s="2263"/>
      <c r="E5" s="2267"/>
      <c r="F5" s="314" t="s">
        <v>2260</v>
      </c>
      <c r="G5" s="2268" t="s">
        <v>2261</v>
      </c>
      <c r="H5" s="749"/>
      <c r="I5" s="749"/>
      <c r="J5" s="749"/>
      <c r="K5" s="749"/>
      <c r="L5" s="749"/>
      <c r="M5" s="749"/>
      <c r="N5" s="749"/>
      <c r="O5" s="749"/>
      <c r="P5" s="749"/>
      <c r="Q5" s="749"/>
    </row>
    <row r="6" spans="1:29" ht="36">
      <c r="A6" s="2245"/>
      <c r="B6" s="314" t="s">
        <v>2262</v>
      </c>
      <c r="C6" s="2268" t="s">
        <v>2257</v>
      </c>
      <c r="D6" s="2263"/>
      <c r="E6" s="2267"/>
      <c r="F6" s="314" t="s">
        <v>2263</v>
      </c>
      <c r="G6" s="2268" t="s">
        <v>2264</v>
      </c>
      <c r="H6" s="749"/>
      <c r="I6" s="749"/>
      <c r="J6" s="749"/>
      <c r="K6" s="749"/>
      <c r="L6" s="749"/>
      <c r="M6" s="749"/>
      <c r="N6" s="749"/>
      <c r="O6" s="749"/>
      <c r="P6" s="749"/>
      <c r="Q6" s="749"/>
    </row>
    <row r="7" spans="1:29" ht="24.75" thickBot="1">
      <c r="A7" s="2245"/>
      <c r="B7" s="314" t="s">
        <v>2260</v>
      </c>
      <c r="C7" s="2268" t="s">
        <v>2261</v>
      </c>
      <c r="D7" s="2242"/>
      <c r="E7" s="2269"/>
      <c r="F7" s="2270" t="s">
        <v>2265</v>
      </c>
      <c r="G7" s="2271" t="s">
        <v>2266</v>
      </c>
      <c r="H7" s="749"/>
      <c r="I7" s="749"/>
      <c r="J7" s="749"/>
      <c r="K7" s="749"/>
      <c r="L7" s="749"/>
      <c r="M7" s="749"/>
      <c r="N7" s="749"/>
      <c r="O7" s="749"/>
      <c r="P7" s="749"/>
      <c r="Q7" s="749"/>
    </row>
    <row r="8" spans="1:29">
      <c r="A8" s="2245"/>
      <c r="B8" s="314" t="s">
        <v>2263</v>
      </c>
      <c r="C8" s="2268" t="s">
        <v>2264</v>
      </c>
      <c r="D8" s="2242"/>
      <c r="E8" s="2242"/>
      <c r="F8" s="121"/>
      <c r="G8" s="121"/>
      <c r="H8" s="749"/>
      <c r="I8" s="749"/>
      <c r="J8" s="749"/>
      <c r="K8" s="749"/>
      <c r="L8" s="749"/>
      <c r="M8" s="749"/>
      <c r="N8" s="749"/>
      <c r="O8" s="749"/>
      <c r="P8" s="749"/>
      <c r="Q8" s="749"/>
    </row>
    <row r="9" spans="1:29" ht="24">
      <c r="A9" s="2245"/>
      <c r="B9" s="314" t="s">
        <v>2267</v>
      </c>
      <c r="C9" s="2266" t="s">
        <v>2268</v>
      </c>
      <c r="D9" s="2263"/>
      <c r="E9" s="2242"/>
      <c r="F9" s="121"/>
      <c r="G9" s="121"/>
      <c r="H9" s="749"/>
      <c r="I9" s="749"/>
      <c r="J9" s="749"/>
      <c r="K9" s="749"/>
      <c r="L9" s="749"/>
      <c r="M9" s="749"/>
      <c r="N9" s="749"/>
      <c r="O9" s="749"/>
      <c r="P9" s="749"/>
      <c r="Q9" s="749"/>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4"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4" t="s">
        <v>2263</v>
      </c>
      <c r="G20" s="2291" t="str">
        <f>G6</f>
        <v>估价对象所在区域基础设施水平</v>
      </c>
    </row>
    <row r="21" spans="1:17" ht="25.5">
      <c r="A21" s="2249"/>
      <c r="B21" s="314" t="s">
        <v>2260</v>
      </c>
      <c r="C21" s="2291" t="str">
        <f>C7</f>
        <v>估价对象所在区域公共配套设施齐备情况</v>
      </c>
      <c r="D21" s="2263"/>
      <c r="E21" s="2250"/>
      <c r="F21" s="2290" t="s">
        <v>2278</v>
      </c>
      <c r="G21" s="2293"/>
    </row>
    <row r="22" spans="1:17" ht="13.5" customHeight="1">
      <c r="A22" s="2249"/>
      <c r="B22" s="314" t="s">
        <v>2263</v>
      </c>
      <c r="C22" s="2291" t="str">
        <f>C8</f>
        <v>估价对象所在区域基础设施水平</v>
      </c>
      <c r="D22" s="2263"/>
      <c r="E22" s="2250"/>
      <c r="F22" s="2290" t="s">
        <v>2269</v>
      </c>
      <c r="G22" s="2292"/>
    </row>
    <row r="23" spans="1:17" s="749" customFormat="1" ht="15" thickBot="1">
      <c r="A23" s="2249"/>
      <c r="B23" s="2290" t="s">
        <v>2278</v>
      </c>
      <c r="C23" s="2293"/>
      <c r="D23" s="1611"/>
      <c r="E23" s="2251"/>
      <c r="F23" s="2294" t="s">
        <v>2279</v>
      </c>
      <c r="G23" s="2295"/>
      <c r="H23" s="2274"/>
      <c r="I23" s="2274"/>
      <c r="J23" s="2274"/>
      <c r="K23" s="2274"/>
      <c r="L23" s="2274"/>
      <c r="M23" s="2274"/>
      <c r="N23" s="2274"/>
      <c r="O23" s="2274"/>
      <c r="P23" s="2274"/>
      <c r="Q23" s="2274"/>
    </row>
    <row r="24" spans="1:17" s="749" customFormat="1" ht="15" thickBot="1">
      <c r="A24" s="2252"/>
      <c r="B24" s="2294" t="s">
        <v>2280</v>
      </c>
      <c r="C24" s="2296">
        <f>C10</f>
        <v>0</v>
      </c>
      <c r="D24" s="1611"/>
      <c r="E24" s="2242"/>
      <c r="F24" s="2242"/>
      <c r="G24" s="2242"/>
      <c r="H24" s="2274"/>
      <c r="I24" s="2274"/>
      <c r="J24" s="2274"/>
      <c r="K24" s="2274"/>
      <c r="L24" s="2274"/>
      <c r="M24" s="2274"/>
      <c r="N24" s="2274"/>
      <c r="O24" s="2274"/>
      <c r="P24" s="2274"/>
      <c r="Q24" s="2274"/>
    </row>
    <row r="25" spans="1:17" s="749" customFormat="1">
      <c r="B25" s="2274"/>
      <c r="C25" s="2274"/>
      <c r="D25" s="2274"/>
      <c r="H25" s="2274"/>
      <c r="I25" s="2274"/>
      <c r="J25" s="2274"/>
      <c r="K25" s="2274"/>
      <c r="L25" s="2274"/>
      <c r="M25" s="2274"/>
      <c r="N25" s="2274"/>
      <c r="O25" s="2274"/>
      <c r="P25" s="2274"/>
      <c r="Q25" s="2274"/>
    </row>
    <row r="26" spans="1:17" s="749" customFormat="1">
      <c r="B26" s="2274"/>
      <c r="C26" s="2274"/>
      <c r="D26" s="2274"/>
      <c r="H26" s="2274"/>
      <c r="I26" s="2274"/>
      <c r="J26" s="2274"/>
      <c r="K26" s="2274"/>
      <c r="L26" s="2274"/>
      <c r="M26" s="2274"/>
      <c r="N26" s="2274"/>
      <c r="O26" s="2274"/>
      <c r="P26" s="2274"/>
      <c r="Q26" s="2274"/>
    </row>
    <row r="27" spans="1:17" s="749" customFormat="1">
      <c r="B27" s="2274"/>
      <c r="C27" s="2274"/>
      <c r="D27" s="2274"/>
      <c r="H27" s="2274"/>
      <c r="I27" s="2274"/>
      <c r="J27" s="2274"/>
      <c r="K27" s="2274"/>
      <c r="L27" s="2274"/>
      <c r="M27" s="2274"/>
      <c r="N27" s="2274"/>
      <c r="O27" s="2274"/>
      <c r="P27" s="2274"/>
      <c r="Q27" s="2274"/>
    </row>
    <row r="28" spans="1:17" s="749" customFormat="1">
      <c r="B28" s="2274"/>
      <c r="C28" s="2274"/>
      <c r="D28" s="2274"/>
      <c r="H28" s="2274"/>
      <c r="I28" s="2274"/>
      <c r="J28" s="2274"/>
      <c r="K28" s="2274"/>
      <c r="L28" s="2274"/>
      <c r="M28" s="2274"/>
      <c r="N28" s="2274"/>
      <c r="O28" s="2274"/>
      <c r="P28" s="2274"/>
      <c r="Q28" s="2274"/>
    </row>
    <row r="29" spans="1:17" s="749" customFormat="1">
      <c r="B29" s="2274"/>
      <c r="C29" s="2274"/>
      <c r="D29" s="2274"/>
      <c r="H29" s="2274"/>
      <c r="I29" s="2274"/>
      <c r="J29" s="2274"/>
      <c r="K29" s="2274"/>
      <c r="L29" s="2274"/>
      <c r="M29" s="2274"/>
      <c r="N29" s="2274"/>
      <c r="O29" s="2274"/>
      <c r="P29" s="2274"/>
      <c r="Q29" s="2274"/>
    </row>
    <row r="30" spans="1:17" s="749" customFormat="1">
      <c r="B30" s="2274"/>
      <c r="C30" s="2274"/>
      <c r="D30" s="2274"/>
      <c r="H30" s="2274"/>
      <c r="I30" s="2274"/>
      <c r="J30" s="2274"/>
      <c r="K30" s="2274"/>
      <c r="L30" s="2274"/>
      <c r="M30" s="2274"/>
      <c r="N30" s="2274"/>
      <c r="O30" s="2274"/>
      <c r="P30" s="2274"/>
      <c r="Q30" s="2274"/>
    </row>
    <row r="31" spans="1:17" s="749" customFormat="1">
      <c r="B31" s="2274"/>
      <c r="C31" s="2274"/>
      <c r="D31" s="2274"/>
      <c r="H31" s="2274"/>
      <c r="I31" s="2274"/>
      <c r="J31" s="2274"/>
      <c r="K31" s="2274"/>
      <c r="L31" s="2274"/>
      <c r="M31" s="2274"/>
      <c r="N31" s="2274"/>
      <c r="O31" s="2274"/>
      <c r="P31" s="2274"/>
      <c r="Q31" s="2274"/>
    </row>
    <row r="32" spans="1:17" s="749" customFormat="1">
      <c r="B32" s="2274"/>
      <c r="C32" s="2274"/>
      <c r="D32" s="2274"/>
      <c r="H32" s="2274"/>
      <c r="I32" s="2274"/>
      <c r="J32" s="2274"/>
      <c r="K32" s="2274"/>
      <c r="L32" s="2274"/>
      <c r="M32" s="2274"/>
      <c r="N32" s="2274"/>
      <c r="O32" s="2274"/>
      <c r="P32" s="2274"/>
      <c r="Q32" s="2274"/>
    </row>
    <row r="33" spans="2:17" s="749" customFormat="1">
      <c r="B33" s="2274"/>
      <c r="C33" s="2274"/>
      <c r="D33" s="2274"/>
      <c r="H33" s="2274"/>
      <c r="I33" s="2274"/>
      <c r="J33" s="2274"/>
      <c r="K33" s="2274"/>
      <c r="L33" s="2274"/>
      <c r="M33" s="2274"/>
      <c r="N33" s="2274"/>
      <c r="O33" s="2274"/>
      <c r="P33" s="2274"/>
      <c r="Q33" s="2274"/>
    </row>
    <row r="34" spans="2:17" s="749" customFormat="1">
      <c r="B34" s="2274"/>
      <c r="C34" s="2274"/>
      <c r="D34" s="2274"/>
      <c r="H34" s="2274"/>
      <c r="I34" s="2274"/>
      <c r="J34" s="2274"/>
      <c r="K34" s="2274"/>
      <c r="L34" s="2274"/>
      <c r="M34" s="2274"/>
      <c r="N34" s="2274"/>
      <c r="O34" s="2274"/>
      <c r="P34" s="2274"/>
      <c r="Q34" s="2274"/>
    </row>
    <row r="35" spans="2:17" s="749" customFormat="1">
      <c r="B35" s="2274"/>
      <c r="C35" s="2274"/>
      <c r="D35" s="2274"/>
      <c r="H35" s="2274"/>
      <c r="I35" s="2274"/>
      <c r="J35" s="2274"/>
      <c r="K35" s="2274"/>
      <c r="L35" s="2274"/>
      <c r="M35" s="2274"/>
      <c r="N35" s="2274"/>
      <c r="O35" s="2274"/>
      <c r="P35" s="2274"/>
      <c r="Q35" s="2274"/>
    </row>
    <row r="36" spans="2:17" s="749" customFormat="1">
      <c r="B36" s="2274"/>
      <c r="C36" s="2274"/>
      <c r="D36" s="2274"/>
      <c r="H36" s="2274"/>
      <c r="I36" s="2274"/>
      <c r="J36" s="2274"/>
      <c r="K36" s="2274"/>
      <c r="L36" s="2274"/>
      <c r="M36" s="2274"/>
      <c r="N36" s="2274"/>
      <c r="O36" s="2274"/>
      <c r="P36" s="2274"/>
      <c r="Q36" s="2274"/>
    </row>
    <row r="37" spans="2:17" s="749" customFormat="1">
      <c r="B37" s="2274"/>
      <c r="C37" s="2274"/>
      <c r="D37" s="2274"/>
      <c r="H37" s="2274"/>
      <c r="I37" s="2274"/>
      <c r="J37" s="2274"/>
      <c r="K37" s="2274"/>
      <c r="L37" s="2274"/>
      <c r="M37" s="2274"/>
      <c r="N37" s="2274"/>
      <c r="O37" s="2274"/>
      <c r="P37" s="2274"/>
      <c r="Q37" s="2274"/>
    </row>
    <row r="38" spans="2:17" s="749" customFormat="1">
      <c r="B38" s="2274"/>
      <c r="C38" s="2274"/>
      <c r="D38" s="2274"/>
      <c r="E38" s="2274"/>
      <c r="F38" s="2274"/>
      <c r="G38" s="2274"/>
      <c r="H38" s="2274"/>
      <c r="I38" s="2274"/>
      <c r="J38" s="2274"/>
      <c r="K38" s="2274"/>
      <c r="L38" s="2274"/>
      <c r="M38" s="2274"/>
      <c r="N38" s="2274"/>
      <c r="O38" s="2274"/>
      <c r="P38" s="2274"/>
      <c r="Q38" s="2274"/>
    </row>
    <row r="39" spans="2:17" s="749" customFormat="1">
      <c r="B39" s="2274"/>
      <c r="C39" s="2274"/>
      <c r="D39" s="2274"/>
      <c r="E39" s="2274"/>
      <c r="F39" s="2274"/>
      <c r="G39" s="2274"/>
      <c r="H39" s="2274"/>
      <c r="I39" s="2274"/>
      <c r="J39" s="2274"/>
      <c r="K39" s="2274"/>
      <c r="L39" s="2274"/>
      <c r="M39" s="2274"/>
      <c r="N39" s="2274"/>
      <c r="O39" s="2274"/>
      <c r="P39" s="2274"/>
      <c r="Q39" s="2274"/>
    </row>
    <row r="40" spans="2:17" s="749" customFormat="1">
      <c r="B40" s="2274"/>
      <c r="C40" s="2274"/>
      <c r="D40" s="2274"/>
      <c r="E40" s="2274"/>
      <c r="F40" s="2274"/>
      <c r="G40" s="2274"/>
      <c r="H40" s="2274"/>
      <c r="I40" s="2274"/>
      <c r="J40" s="2274"/>
      <c r="K40" s="2274"/>
      <c r="L40" s="2274"/>
      <c r="M40" s="2274"/>
      <c r="N40" s="2274"/>
      <c r="O40" s="2274"/>
      <c r="P40" s="2274"/>
      <c r="Q40" s="2274"/>
    </row>
    <row r="41" spans="2:17" s="749" customFormat="1">
      <c r="B41" s="2274"/>
      <c r="C41" s="2274"/>
      <c r="D41" s="2274"/>
      <c r="E41" s="2274"/>
      <c r="F41" s="2274"/>
      <c r="G41" s="2274"/>
      <c r="H41" s="2274"/>
      <c r="I41" s="2274"/>
      <c r="J41" s="2274"/>
      <c r="K41" s="2274"/>
      <c r="L41" s="2274"/>
      <c r="M41" s="2274"/>
      <c r="N41" s="2274"/>
      <c r="O41" s="2274"/>
      <c r="P41" s="2274"/>
      <c r="Q41" s="2274"/>
    </row>
    <row r="42" spans="2:17" s="749" customFormat="1">
      <c r="B42" s="2274"/>
      <c r="C42" s="2274"/>
      <c r="D42" s="2274"/>
      <c r="E42" s="2274"/>
      <c r="F42" s="2274"/>
      <c r="G42" s="2274"/>
      <c r="H42" s="2274"/>
      <c r="I42" s="2274"/>
      <c r="J42" s="2274"/>
      <c r="K42" s="2274"/>
      <c r="L42" s="2274"/>
      <c r="M42" s="2274"/>
      <c r="N42" s="2274"/>
      <c r="O42" s="2274"/>
      <c r="P42" s="2274"/>
      <c r="Q42" s="2274"/>
    </row>
    <row r="43" spans="2:17" s="749" customFormat="1">
      <c r="B43" s="2274"/>
      <c r="C43" s="2274"/>
      <c r="D43" s="2274"/>
      <c r="E43" s="2274"/>
      <c r="F43" s="2274"/>
      <c r="G43" s="2274"/>
      <c r="H43" s="2274"/>
      <c r="I43" s="2274"/>
      <c r="J43" s="2274"/>
      <c r="K43" s="2274"/>
      <c r="L43" s="2274"/>
      <c r="M43" s="2274"/>
      <c r="N43" s="2274"/>
      <c r="O43" s="2274"/>
      <c r="P43" s="2274"/>
      <c r="Q43" s="2274"/>
    </row>
    <row r="44" spans="2:17" s="749" customFormat="1">
      <c r="B44" s="2274"/>
      <c r="C44" s="2274"/>
      <c r="D44" s="2274"/>
      <c r="E44" s="2274"/>
      <c r="F44" s="2274"/>
      <c r="G44" s="2274"/>
      <c r="H44" s="2274"/>
      <c r="I44" s="2274"/>
      <c r="J44" s="2274"/>
      <c r="K44" s="2274"/>
      <c r="L44" s="2274"/>
      <c r="M44" s="2274"/>
      <c r="N44" s="2274"/>
      <c r="O44" s="2274"/>
      <c r="P44" s="2274"/>
      <c r="Q44" s="2274"/>
    </row>
    <row r="45" spans="2:17" s="749" customFormat="1">
      <c r="B45" s="2274"/>
      <c r="C45" s="2274"/>
      <c r="D45" s="2274"/>
      <c r="E45" s="2274"/>
      <c r="F45" s="2274"/>
      <c r="G45" s="2274"/>
      <c r="H45" s="2274"/>
      <c r="I45" s="2274"/>
      <c r="J45" s="2274"/>
      <c r="K45" s="2274"/>
      <c r="L45" s="2274"/>
      <c r="M45" s="2274"/>
      <c r="N45" s="2274"/>
      <c r="O45" s="2274"/>
      <c r="P45" s="2274"/>
      <c r="Q45" s="2274"/>
    </row>
    <row r="46" spans="2:17" s="749" customFormat="1">
      <c r="B46" s="2274"/>
      <c r="C46" s="2274"/>
      <c r="D46" s="2274"/>
      <c r="E46" s="2274"/>
      <c r="F46" s="2274"/>
      <c r="G46" s="2274"/>
      <c r="H46" s="2274"/>
      <c r="I46" s="2274"/>
      <c r="J46" s="2274"/>
      <c r="K46" s="2274"/>
      <c r="L46" s="2274"/>
      <c r="M46" s="2274"/>
      <c r="N46" s="2274"/>
      <c r="O46" s="2274"/>
      <c r="P46" s="2274"/>
      <c r="Q46" s="2274"/>
    </row>
    <row r="47" spans="2:17" s="749" customFormat="1">
      <c r="B47" s="2274"/>
      <c r="C47" s="2274"/>
      <c r="D47" s="2274"/>
      <c r="E47" s="2274"/>
      <c r="F47" s="2274"/>
      <c r="G47" s="2274"/>
      <c r="H47" s="2274"/>
      <c r="I47" s="2274"/>
      <c r="J47" s="2274"/>
      <c r="K47" s="2274"/>
      <c r="L47" s="2274"/>
      <c r="M47" s="2274"/>
      <c r="N47" s="2274"/>
      <c r="O47" s="2274"/>
      <c r="P47" s="2274"/>
      <c r="Q47" s="2274"/>
    </row>
    <row r="48" spans="2:17" s="749" customFormat="1">
      <c r="B48" s="2274"/>
      <c r="C48" s="2274"/>
      <c r="D48" s="2274"/>
      <c r="E48" s="2274"/>
      <c r="F48" s="2274"/>
      <c r="G48" s="2274"/>
      <c r="H48" s="2274"/>
      <c r="I48" s="2274"/>
      <c r="J48" s="2274"/>
      <c r="K48" s="2274"/>
      <c r="L48" s="2274"/>
      <c r="M48" s="2274"/>
      <c r="N48" s="2274"/>
      <c r="O48" s="2274"/>
      <c r="P48" s="2274"/>
      <c r="Q48" s="2274"/>
    </row>
    <row r="49" spans="2:17" s="749" customFormat="1">
      <c r="B49" s="2274"/>
      <c r="C49" s="2274"/>
      <c r="D49" s="2274"/>
      <c r="E49" s="2274"/>
      <c r="F49" s="2274"/>
      <c r="G49" s="2274"/>
      <c r="H49" s="2274"/>
      <c r="I49" s="2274"/>
      <c r="J49" s="2274"/>
      <c r="K49" s="2274"/>
      <c r="L49" s="2274"/>
      <c r="M49" s="2274"/>
      <c r="N49" s="2274"/>
      <c r="O49" s="2274"/>
      <c r="P49" s="2274"/>
      <c r="Q49" s="2274"/>
    </row>
    <row r="50" spans="2:17" s="749" customFormat="1">
      <c r="B50" s="2274"/>
      <c r="C50" s="2274"/>
      <c r="D50" s="2274"/>
      <c r="E50" s="2274"/>
      <c r="F50" s="2274"/>
      <c r="G50" s="2274"/>
      <c r="H50" s="2274"/>
      <c r="I50" s="2274"/>
      <c r="J50" s="2274"/>
      <c r="K50" s="2274"/>
      <c r="L50" s="2274"/>
      <c r="M50" s="2274"/>
      <c r="N50" s="2274"/>
      <c r="O50" s="2274"/>
      <c r="P50" s="2274"/>
      <c r="Q50" s="2274"/>
    </row>
    <row r="51" spans="2:17" s="749" customFormat="1">
      <c r="B51" s="2274"/>
      <c r="C51" s="2274"/>
      <c r="D51" s="2274"/>
      <c r="E51" s="2274"/>
      <c r="F51" s="2274"/>
      <c r="G51" s="2274"/>
      <c r="H51" s="2274"/>
      <c r="I51" s="2274"/>
      <c r="J51" s="2274"/>
      <c r="K51" s="2274"/>
      <c r="L51" s="2274"/>
      <c r="M51" s="2274"/>
      <c r="N51" s="2274"/>
      <c r="O51" s="2274"/>
      <c r="P51" s="2274"/>
      <c r="Q51" s="2274"/>
    </row>
    <row r="52" spans="2:17" s="749" customFormat="1">
      <c r="B52" s="2274"/>
      <c r="C52" s="2274"/>
      <c r="D52" s="2274"/>
      <c r="E52" s="2274"/>
      <c r="F52" s="2274"/>
      <c r="G52" s="2274"/>
      <c r="H52" s="2274"/>
      <c r="I52" s="2274"/>
      <c r="J52" s="2274"/>
      <c r="K52" s="2274"/>
      <c r="L52" s="2274"/>
      <c r="M52" s="2274"/>
      <c r="N52" s="2274"/>
      <c r="O52" s="2274"/>
      <c r="P52" s="2274"/>
      <c r="Q52" s="2274"/>
    </row>
    <row r="53" spans="2:17" s="749" customFormat="1">
      <c r="B53" s="2274"/>
      <c r="C53" s="2274"/>
      <c r="D53" s="2274"/>
      <c r="E53" s="2274"/>
      <c r="F53" s="2274"/>
      <c r="G53" s="2274"/>
      <c r="H53" s="2274"/>
      <c r="I53" s="2274"/>
      <c r="J53" s="2274"/>
      <c r="K53" s="2274"/>
      <c r="L53" s="2274"/>
      <c r="M53" s="2274"/>
      <c r="N53" s="2274"/>
      <c r="O53" s="2274"/>
      <c r="P53" s="2274"/>
      <c r="Q53" s="2274"/>
    </row>
    <row r="54" spans="2:17" s="749" customFormat="1">
      <c r="B54" s="2274"/>
      <c r="C54" s="2274"/>
      <c r="D54" s="2274"/>
      <c r="E54" s="2274"/>
      <c r="F54" s="2274"/>
      <c r="G54" s="2274"/>
      <c r="H54" s="2274"/>
      <c r="I54" s="2274"/>
      <c r="J54" s="2274"/>
      <c r="K54" s="2274"/>
      <c r="L54" s="2274"/>
      <c r="M54" s="2274"/>
      <c r="N54" s="2274"/>
      <c r="O54" s="2274"/>
      <c r="P54" s="2274"/>
      <c r="Q54" s="2274"/>
    </row>
    <row r="55" spans="2:17" s="749" customFormat="1">
      <c r="B55" s="2274"/>
      <c r="C55" s="2274"/>
      <c r="D55" s="2274"/>
      <c r="E55" s="2274"/>
      <c r="F55" s="2274"/>
      <c r="G55" s="2274"/>
      <c r="H55" s="2274"/>
      <c r="I55" s="2274"/>
      <c r="J55" s="2274"/>
      <c r="K55" s="2274"/>
      <c r="L55" s="2274"/>
      <c r="M55" s="2274"/>
      <c r="N55" s="2274"/>
      <c r="O55" s="2274"/>
      <c r="P55" s="2274"/>
      <c r="Q55" s="2274"/>
    </row>
    <row r="56" spans="2:17" s="749" customFormat="1">
      <c r="B56" s="2274"/>
      <c r="C56" s="2274"/>
      <c r="D56" s="2274"/>
      <c r="E56" s="2274"/>
      <c r="F56" s="2274"/>
      <c r="G56" s="2274"/>
      <c r="H56" s="2274"/>
      <c r="I56" s="2274"/>
      <c r="J56" s="2274"/>
      <c r="K56" s="2274"/>
      <c r="L56" s="2274"/>
      <c r="M56" s="2274"/>
      <c r="N56" s="2274"/>
      <c r="O56" s="2274"/>
      <c r="P56" s="2274"/>
      <c r="Q56" s="2274"/>
    </row>
    <row r="57" spans="2:17" s="749" customFormat="1">
      <c r="B57" s="2274"/>
      <c r="C57" s="2274"/>
      <c r="D57" s="2274"/>
      <c r="E57" s="2274"/>
      <c r="F57" s="2274"/>
      <c r="G57" s="2274"/>
      <c r="H57" s="2274"/>
      <c r="I57" s="2274"/>
      <c r="J57" s="2274"/>
      <c r="K57" s="2274"/>
      <c r="L57" s="2274"/>
      <c r="M57" s="2274"/>
      <c r="N57" s="2274"/>
      <c r="O57" s="2274"/>
      <c r="P57" s="2274"/>
      <c r="Q57" s="2274"/>
    </row>
    <row r="58" spans="2:17" s="749" customFormat="1">
      <c r="B58" s="2274"/>
      <c r="C58" s="2274"/>
      <c r="D58" s="2274"/>
      <c r="E58" s="2274"/>
      <c r="F58" s="2274"/>
      <c r="G58" s="2274"/>
      <c r="H58" s="2274"/>
      <c r="I58" s="2274"/>
      <c r="J58" s="2274"/>
      <c r="K58" s="2274"/>
      <c r="L58" s="2274"/>
      <c r="M58" s="2274"/>
      <c r="N58" s="2274"/>
      <c r="O58" s="2274"/>
      <c r="P58" s="2274"/>
      <c r="Q58" s="2274"/>
    </row>
    <row r="59" spans="2:17" s="749" customFormat="1">
      <c r="B59" s="2274"/>
      <c r="C59" s="2274"/>
      <c r="D59" s="2274"/>
      <c r="E59" s="2274"/>
      <c r="F59" s="2274"/>
      <c r="G59" s="2274"/>
      <c r="H59" s="2274"/>
      <c r="I59" s="2274"/>
      <c r="J59" s="2274"/>
      <c r="K59" s="2274"/>
      <c r="L59" s="2274"/>
      <c r="M59" s="2274"/>
      <c r="N59" s="2274"/>
      <c r="O59" s="2274"/>
      <c r="P59" s="2274"/>
      <c r="Q59" s="2274"/>
    </row>
    <row r="60" spans="2:17" s="749" customFormat="1">
      <c r="B60" s="2274"/>
      <c r="C60" s="2274"/>
      <c r="D60" s="2274"/>
      <c r="E60" s="2274"/>
      <c r="F60" s="2274"/>
      <c r="G60" s="2274"/>
      <c r="H60" s="2274"/>
      <c r="I60" s="2274"/>
      <c r="J60" s="2274"/>
      <c r="K60" s="2274"/>
      <c r="L60" s="2274"/>
      <c r="M60" s="2274"/>
      <c r="N60" s="2274"/>
      <c r="O60" s="2274"/>
      <c r="P60" s="2274"/>
      <c r="Q60" s="2274"/>
    </row>
    <row r="61" spans="2:17" s="749" customFormat="1">
      <c r="B61" s="2274"/>
      <c r="C61" s="2274"/>
      <c r="D61" s="2274"/>
      <c r="E61" s="2274"/>
      <c r="F61" s="2274"/>
      <c r="G61" s="2274"/>
      <c r="H61" s="2274"/>
      <c r="I61" s="2274"/>
      <c r="J61" s="2274"/>
      <c r="K61" s="2274"/>
      <c r="L61" s="2274"/>
      <c r="M61" s="2274"/>
      <c r="N61" s="2274"/>
      <c r="O61" s="2274"/>
      <c r="P61" s="2274"/>
      <c r="Q61" s="2274"/>
    </row>
    <row r="62" spans="2:17" s="749" customFormat="1">
      <c r="B62" s="2274"/>
      <c r="C62" s="2274"/>
      <c r="D62" s="2274"/>
      <c r="E62" s="2274"/>
      <c r="F62" s="2274"/>
      <c r="G62" s="2274"/>
      <c r="H62" s="2274"/>
      <c r="I62" s="2274"/>
      <c r="J62" s="2274"/>
      <c r="K62" s="2274"/>
      <c r="L62" s="2274"/>
      <c r="M62" s="2274"/>
      <c r="N62" s="2274"/>
      <c r="O62" s="2274"/>
      <c r="P62" s="2274"/>
      <c r="Q62" s="2274"/>
    </row>
    <row r="63" spans="2:17" s="749" customFormat="1">
      <c r="B63" s="2274"/>
      <c r="C63" s="2274"/>
      <c r="D63" s="2274"/>
      <c r="E63" s="2274"/>
      <c r="F63" s="2274"/>
      <c r="G63" s="2274"/>
      <c r="H63" s="2274"/>
      <c r="I63" s="2274"/>
      <c r="J63" s="2274"/>
      <c r="K63" s="2274"/>
      <c r="L63" s="2274"/>
      <c r="M63" s="2274"/>
      <c r="N63" s="2274"/>
      <c r="O63" s="2274"/>
      <c r="P63" s="2274"/>
      <c r="Q63" s="2274"/>
    </row>
    <row r="64" spans="2:17" s="749" customFormat="1">
      <c r="B64" s="2274"/>
      <c r="C64" s="2274"/>
      <c r="D64" s="2274"/>
      <c r="E64" s="2274"/>
      <c r="F64" s="2274"/>
      <c r="G64" s="2274"/>
      <c r="H64" s="2274"/>
      <c r="I64" s="2274"/>
      <c r="J64" s="2274"/>
      <c r="K64" s="2274"/>
      <c r="L64" s="2274"/>
      <c r="M64" s="2274"/>
      <c r="N64" s="2274"/>
      <c r="O64" s="2274"/>
      <c r="P64" s="2274"/>
      <c r="Q64" s="2274"/>
    </row>
    <row r="65" spans="2:17" s="749" customFormat="1">
      <c r="B65" s="2274"/>
      <c r="C65" s="2274"/>
      <c r="D65" s="2274"/>
      <c r="E65" s="2274"/>
      <c r="F65" s="2274"/>
      <c r="G65" s="2274"/>
      <c r="H65" s="2274"/>
      <c r="I65" s="2274"/>
      <c r="J65" s="2274"/>
      <c r="K65" s="2274"/>
      <c r="L65" s="2274"/>
      <c r="M65" s="2274"/>
      <c r="N65" s="2274"/>
      <c r="O65" s="2274"/>
      <c r="P65" s="2274"/>
      <c r="Q65" s="2274"/>
    </row>
    <row r="66" spans="2:17" s="749" customFormat="1">
      <c r="B66" s="2274"/>
      <c r="C66" s="2274"/>
      <c r="D66" s="2274"/>
      <c r="E66" s="2274"/>
      <c r="F66" s="2274"/>
      <c r="G66" s="2274"/>
      <c r="H66" s="2274"/>
      <c r="I66" s="2274"/>
      <c r="J66" s="2274"/>
      <c r="K66" s="2274"/>
      <c r="L66" s="2274"/>
      <c r="M66" s="2274"/>
      <c r="N66" s="2274"/>
      <c r="O66" s="2274"/>
      <c r="P66" s="2274"/>
      <c r="Q66" s="2274"/>
    </row>
    <row r="67" spans="2:17" s="749" customFormat="1">
      <c r="B67" s="2274"/>
      <c r="C67" s="2274"/>
      <c r="D67" s="2274"/>
      <c r="E67" s="2274"/>
      <c r="F67" s="2274"/>
      <c r="G67" s="2274"/>
      <c r="H67" s="2274"/>
      <c r="I67" s="2274"/>
      <c r="J67" s="2274"/>
      <c r="K67" s="2274"/>
      <c r="L67" s="2274"/>
      <c r="M67" s="2274"/>
      <c r="N67" s="2274"/>
      <c r="O67" s="2274"/>
      <c r="P67" s="2274"/>
      <c r="Q67" s="2274"/>
    </row>
    <row r="68" spans="2:17" s="749" customFormat="1">
      <c r="B68" s="2274"/>
      <c r="C68" s="2274"/>
      <c r="D68" s="2274"/>
      <c r="E68" s="2274"/>
      <c r="F68" s="2274"/>
      <c r="G68" s="2274"/>
      <c r="H68" s="2274"/>
      <c r="I68" s="2274"/>
      <c r="J68" s="2274"/>
      <c r="K68" s="2274"/>
      <c r="L68" s="2274"/>
      <c r="M68" s="2274"/>
      <c r="N68" s="2274"/>
      <c r="O68" s="2274"/>
      <c r="P68" s="2274"/>
      <c r="Q68" s="2274"/>
    </row>
    <row r="69" spans="2:17" s="749" customFormat="1">
      <c r="B69" s="2274"/>
      <c r="C69" s="2274"/>
      <c r="D69" s="2274"/>
      <c r="E69" s="2274"/>
      <c r="F69" s="2274"/>
      <c r="G69" s="2274"/>
      <c r="H69" s="2274"/>
      <c r="I69" s="2274"/>
      <c r="J69" s="2274"/>
      <c r="K69" s="2274"/>
      <c r="L69" s="2274"/>
      <c r="M69" s="2274"/>
      <c r="N69" s="2274"/>
      <c r="O69" s="2274"/>
      <c r="P69" s="2274"/>
      <c r="Q69" s="2274"/>
    </row>
    <row r="70" spans="2:17" s="749" customFormat="1">
      <c r="B70" s="2274"/>
      <c r="C70" s="2274"/>
      <c r="D70" s="2274"/>
      <c r="E70" s="2274"/>
      <c r="F70" s="2274"/>
      <c r="G70" s="2274"/>
      <c r="H70" s="2274"/>
      <c r="I70" s="2274"/>
      <c r="J70" s="2274"/>
      <c r="K70" s="2274"/>
      <c r="L70" s="2274"/>
      <c r="M70" s="2274"/>
      <c r="N70" s="2274"/>
      <c r="O70" s="2274"/>
      <c r="P70" s="2274"/>
      <c r="Q70" s="2274"/>
    </row>
    <row r="71" spans="2:17" s="749" customFormat="1">
      <c r="B71" s="2274"/>
      <c r="C71" s="2274"/>
      <c r="D71" s="2274"/>
      <c r="E71" s="2274"/>
      <c r="F71" s="2274"/>
      <c r="G71" s="2274"/>
      <c r="H71" s="2274"/>
      <c r="I71" s="2274"/>
      <c r="J71" s="2274"/>
      <c r="K71" s="2274"/>
      <c r="L71" s="2274"/>
      <c r="M71" s="2274"/>
      <c r="N71" s="2274"/>
      <c r="O71" s="2274"/>
      <c r="P71" s="2274"/>
      <c r="Q71" s="2274"/>
    </row>
    <row r="72" spans="2:17" s="749" customFormat="1">
      <c r="B72" s="2274"/>
      <c r="C72" s="2274"/>
      <c r="D72" s="2274"/>
      <c r="E72" s="2274"/>
      <c r="F72" s="2274"/>
      <c r="G72" s="2274"/>
      <c r="H72" s="2274"/>
      <c r="I72" s="2274"/>
      <c r="J72" s="2274"/>
      <c r="K72" s="2274"/>
      <c r="L72" s="2274"/>
      <c r="M72" s="2274"/>
      <c r="N72" s="2274"/>
      <c r="O72" s="2274"/>
      <c r="P72" s="2274"/>
      <c r="Q72" s="2274"/>
    </row>
    <row r="73" spans="2:17" s="749" customFormat="1">
      <c r="B73" s="2274"/>
      <c r="C73" s="2274"/>
      <c r="D73" s="2274"/>
      <c r="E73" s="2274"/>
      <c r="F73" s="2274"/>
      <c r="G73" s="2274"/>
      <c r="H73" s="2274"/>
      <c r="I73" s="2274"/>
      <c r="J73" s="2274"/>
      <c r="K73" s="2274"/>
      <c r="L73" s="2274"/>
      <c r="M73" s="2274"/>
      <c r="N73" s="2274"/>
      <c r="O73" s="2274"/>
      <c r="P73" s="2274"/>
      <c r="Q73" s="2274"/>
    </row>
    <row r="74" spans="2:17" s="749" customFormat="1">
      <c r="B74" s="2274"/>
      <c r="C74" s="2274"/>
      <c r="D74" s="2274"/>
      <c r="E74" s="2274"/>
      <c r="F74" s="2274"/>
      <c r="G74" s="2274"/>
      <c r="H74" s="2274"/>
      <c r="I74" s="2274"/>
      <c r="J74" s="2274"/>
      <c r="K74" s="2274"/>
      <c r="L74" s="2274"/>
      <c r="M74" s="2274"/>
      <c r="N74" s="2274"/>
      <c r="O74" s="2274"/>
      <c r="P74" s="2274"/>
      <c r="Q74" s="2274"/>
    </row>
    <row r="75" spans="2:17" s="749" customFormat="1">
      <c r="B75" s="2274"/>
      <c r="C75" s="2274"/>
      <c r="D75" s="2274"/>
      <c r="E75" s="2274"/>
      <c r="F75" s="2274"/>
      <c r="G75" s="2274"/>
      <c r="H75" s="2274"/>
      <c r="I75" s="2274"/>
      <c r="J75" s="2274"/>
      <c r="K75" s="2274"/>
      <c r="L75" s="2274"/>
      <c r="M75" s="2274"/>
      <c r="N75" s="2274"/>
      <c r="O75" s="2274"/>
      <c r="P75" s="2274"/>
      <c r="Q75" s="2274"/>
    </row>
    <row r="76" spans="2:17" s="749" customFormat="1">
      <c r="B76" s="2274"/>
      <c r="C76" s="2274"/>
      <c r="D76" s="2274"/>
      <c r="E76" s="2274"/>
      <c r="F76" s="2274"/>
      <c r="G76" s="2274"/>
      <c r="H76" s="2274"/>
      <c r="I76" s="2274"/>
      <c r="J76" s="2274"/>
      <c r="K76" s="2274"/>
      <c r="L76" s="2274"/>
      <c r="M76" s="2274"/>
      <c r="N76" s="2274"/>
      <c r="O76" s="2274"/>
      <c r="P76" s="2274"/>
      <c r="Q76" s="2274"/>
    </row>
    <row r="77" spans="2:17" s="749" customFormat="1">
      <c r="B77" s="2274"/>
      <c r="C77" s="2274"/>
      <c r="D77" s="2274"/>
      <c r="E77" s="2274"/>
      <c r="F77" s="2274"/>
      <c r="G77" s="2274"/>
      <c r="H77" s="2274"/>
      <c r="I77" s="2274"/>
      <c r="J77" s="2274"/>
      <c r="K77" s="2274"/>
      <c r="L77" s="2274"/>
      <c r="M77" s="2274"/>
      <c r="N77" s="2274"/>
      <c r="O77" s="2274"/>
      <c r="P77" s="2274"/>
      <c r="Q77" s="2274"/>
    </row>
    <row r="78" spans="2:17" s="749" customFormat="1">
      <c r="B78" s="2274"/>
      <c r="C78" s="2274"/>
      <c r="D78" s="2274"/>
      <c r="E78" s="2274"/>
      <c r="F78" s="2274"/>
      <c r="G78" s="2274"/>
      <c r="H78" s="2274"/>
      <c r="I78" s="2274"/>
      <c r="J78" s="2274"/>
      <c r="K78" s="2274"/>
      <c r="L78" s="2274"/>
      <c r="M78" s="2274"/>
      <c r="N78" s="2274"/>
      <c r="O78" s="2274"/>
      <c r="P78" s="2274"/>
      <c r="Q78" s="2274"/>
    </row>
    <row r="79" spans="2:17" s="749" customFormat="1">
      <c r="B79" s="2274"/>
      <c r="C79" s="2274"/>
      <c r="D79" s="2274"/>
      <c r="E79" s="2274"/>
      <c r="F79" s="2274"/>
      <c r="G79" s="2274"/>
      <c r="H79" s="2274"/>
      <c r="I79" s="2274"/>
      <c r="J79" s="2274"/>
      <c r="K79" s="2274"/>
      <c r="L79" s="2274"/>
      <c r="M79" s="2274"/>
      <c r="N79" s="2274"/>
      <c r="O79" s="2274"/>
      <c r="P79" s="2274"/>
      <c r="Q79" s="2274"/>
    </row>
    <row r="80" spans="2:17" s="749" customFormat="1">
      <c r="B80" s="2274"/>
      <c r="C80" s="2274"/>
      <c r="D80" s="2274"/>
      <c r="E80" s="2274"/>
      <c r="F80" s="2274"/>
      <c r="G80" s="2274"/>
      <c r="H80" s="2274"/>
      <c r="I80" s="2274"/>
      <c r="J80" s="2274"/>
      <c r="K80" s="2274"/>
      <c r="L80" s="2274"/>
      <c r="M80" s="2274"/>
      <c r="N80" s="2274"/>
      <c r="O80" s="2274"/>
      <c r="P80" s="2274"/>
      <c r="Q80" s="2274"/>
    </row>
    <row r="81" spans="2:17" s="749" customFormat="1">
      <c r="B81" s="2274"/>
      <c r="C81" s="2274"/>
      <c r="D81" s="2274"/>
      <c r="E81" s="2274"/>
      <c r="F81" s="2274"/>
      <c r="G81" s="2274"/>
      <c r="H81" s="2274"/>
      <c r="I81" s="2274"/>
      <c r="J81" s="2274"/>
      <c r="K81" s="2274"/>
      <c r="L81" s="2274"/>
      <c r="M81" s="2274"/>
      <c r="N81" s="2274"/>
      <c r="O81" s="2274"/>
      <c r="P81" s="2274"/>
      <c r="Q81" s="2274"/>
    </row>
    <row r="82" spans="2:17" s="749" customFormat="1">
      <c r="B82" s="2274"/>
      <c r="C82" s="2274"/>
      <c r="D82" s="2274"/>
      <c r="E82" s="2274"/>
      <c r="F82" s="2274"/>
      <c r="G82" s="2274"/>
      <c r="H82" s="2274"/>
      <c r="I82" s="2274"/>
      <c r="J82" s="2274"/>
      <c r="K82" s="2274"/>
      <c r="L82" s="2274"/>
      <c r="M82" s="2274"/>
      <c r="N82" s="2274"/>
      <c r="O82" s="2274"/>
      <c r="P82" s="2274"/>
      <c r="Q82" s="2274"/>
    </row>
    <row r="83" spans="2:17" s="749" customFormat="1">
      <c r="B83" s="2274"/>
      <c r="C83" s="2274"/>
      <c r="D83" s="2274"/>
      <c r="E83" s="2274"/>
      <c r="F83" s="2274"/>
      <c r="G83" s="2274"/>
      <c r="H83" s="2274"/>
      <c r="I83" s="2274"/>
      <c r="J83" s="2274"/>
      <c r="K83" s="2274"/>
      <c r="L83" s="2274"/>
      <c r="M83" s="2274"/>
      <c r="N83" s="2274"/>
      <c r="O83" s="2274"/>
      <c r="P83" s="2274"/>
      <c r="Q83" s="2274"/>
    </row>
    <row r="84" spans="2:17" s="749" customFormat="1">
      <c r="B84" s="2274"/>
      <c r="C84" s="2274"/>
      <c r="D84" s="2274"/>
      <c r="E84" s="2274"/>
      <c r="F84" s="2274"/>
      <c r="G84" s="2274"/>
      <c r="H84" s="2274"/>
      <c r="I84" s="2274"/>
      <c r="J84" s="2274"/>
      <c r="K84" s="2274"/>
      <c r="L84" s="2274"/>
      <c r="M84" s="2274"/>
      <c r="N84" s="2274"/>
      <c r="O84" s="2274"/>
      <c r="P84" s="2274"/>
      <c r="Q84" s="2274"/>
    </row>
    <row r="85" spans="2:17" s="749" customFormat="1">
      <c r="B85" s="2274"/>
      <c r="C85" s="2274"/>
      <c r="D85" s="2274"/>
      <c r="E85" s="2274"/>
      <c r="F85" s="2274"/>
      <c r="G85" s="2274"/>
      <c r="H85" s="2274"/>
      <c r="I85" s="2274"/>
      <c r="J85" s="2274"/>
      <c r="K85" s="2274"/>
      <c r="L85" s="2274"/>
      <c r="M85" s="2274"/>
      <c r="N85" s="2274"/>
      <c r="O85" s="2274"/>
      <c r="P85" s="2274"/>
      <c r="Q85" s="2274"/>
    </row>
    <row r="86" spans="2:17" s="749" customFormat="1">
      <c r="B86" s="2274"/>
      <c r="C86" s="2274"/>
      <c r="D86" s="2274"/>
      <c r="E86" s="2274"/>
      <c r="F86" s="2274"/>
      <c r="G86" s="2274"/>
      <c r="H86" s="2274"/>
      <c r="I86" s="2274"/>
      <c r="J86" s="2274"/>
      <c r="K86" s="2274"/>
      <c r="L86" s="2274"/>
      <c r="M86" s="2274"/>
      <c r="N86" s="2274"/>
      <c r="O86" s="2274"/>
      <c r="P86" s="2274"/>
      <c r="Q86" s="2274"/>
    </row>
    <row r="87" spans="2:17" s="749" customFormat="1">
      <c r="B87" s="2274"/>
      <c r="C87" s="2274"/>
      <c r="D87" s="2274"/>
      <c r="E87" s="2274"/>
      <c r="F87" s="2274"/>
      <c r="G87" s="2274"/>
      <c r="H87" s="2274"/>
      <c r="I87" s="2274"/>
      <c r="J87" s="2274"/>
      <c r="K87" s="2274"/>
      <c r="L87" s="2274"/>
      <c r="M87" s="2274"/>
      <c r="N87" s="2274"/>
      <c r="O87" s="2274"/>
      <c r="P87" s="2274"/>
      <c r="Q87" s="2274"/>
    </row>
    <row r="88" spans="2:17" s="749" customFormat="1">
      <c r="B88" s="2274"/>
      <c r="C88" s="2274"/>
      <c r="D88" s="2274"/>
      <c r="E88" s="2274"/>
      <c r="F88" s="2274"/>
      <c r="G88" s="2274"/>
      <c r="H88" s="2274"/>
      <c r="I88" s="2274"/>
      <c r="J88" s="2274"/>
      <c r="K88" s="2274"/>
      <c r="L88" s="2274"/>
      <c r="M88" s="2274"/>
      <c r="N88" s="2274"/>
      <c r="O88" s="2274"/>
      <c r="P88" s="2274"/>
      <c r="Q88" s="2274"/>
    </row>
    <row r="89" spans="2:17" s="749" customFormat="1">
      <c r="B89" s="2274"/>
      <c r="C89" s="2274"/>
      <c r="D89" s="2274"/>
      <c r="E89" s="2274"/>
      <c r="F89" s="2274"/>
      <c r="G89" s="2274"/>
      <c r="H89" s="2274"/>
      <c r="I89" s="2274"/>
      <c r="J89" s="2274"/>
      <c r="K89" s="2274"/>
      <c r="L89" s="2274"/>
      <c r="M89" s="2274"/>
      <c r="N89" s="2274"/>
      <c r="O89" s="2274"/>
      <c r="P89" s="2274"/>
      <c r="Q89" s="2274"/>
    </row>
    <row r="90" spans="2:17" s="749" customFormat="1">
      <c r="B90" s="2274"/>
      <c r="C90" s="2274"/>
      <c r="D90" s="2274"/>
      <c r="E90" s="2274"/>
      <c r="F90" s="2274"/>
      <c r="G90" s="2274"/>
      <c r="H90" s="2274"/>
      <c r="I90" s="2274"/>
      <c r="J90" s="2274"/>
      <c r="K90" s="2274"/>
      <c r="L90" s="2274"/>
      <c r="M90" s="2274"/>
      <c r="N90" s="2274"/>
      <c r="O90" s="2274"/>
      <c r="P90" s="2274"/>
      <c r="Q90" s="2274"/>
    </row>
    <row r="91" spans="2:17" s="749" customFormat="1">
      <c r="B91" s="2274"/>
      <c r="C91" s="2274"/>
      <c r="D91" s="2274"/>
      <c r="E91" s="2274"/>
      <c r="F91" s="2274"/>
      <c r="G91" s="2274"/>
      <c r="H91" s="2274"/>
      <c r="I91" s="2274"/>
      <c r="J91" s="2274"/>
      <c r="K91" s="2274"/>
      <c r="L91" s="2274"/>
      <c r="M91" s="2274"/>
      <c r="N91" s="2274"/>
      <c r="O91" s="2274"/>
      <c r="P91" s="2274"/>
      <c r="Q91" s="2274"/>
    </row>
    <row r="92" spans="2:17" s="749" customFormat="1">
      <c r="B92" s="2274"/>
      <c r="C92" s="2274"/>
      <c r="D92" s="2274"/>
      <c r="E92" s="2274"/>
      <c r="F92" s="2274"/>
      <c r="G92" s="2274"/>
      <c r="H92" s="2274"/>
      <c r="I92" s="2274"/>
      <c r="J92" s="2274"/>
      <c r="K92" s="2274"/>
      <c r="L92" s="2274"/>
      <c r="M92" s="2274"/>
      <c r="N92" s="2274"/>
      <c r="O92" s="2274"/>
      <c r="P92" s="2274"/>
      <c r="Q92" s="2274"/>
    </row>
    <row r="93" spans="2:17" s="749" customFormat="1">
      <c r="B93" s="2274"/>
      <c r="C93" s="2274"/>
      <c r="D93" s="2274"/>
      <c r="E93" s="2274"/>
      <c r="F93" s="2274"/>
      <c r="G93" s="2274"/>
      <c r="H93" s="2274"/>
      <c r="I93" s="2274"/>
      <c r="J93" s="2274"/>
      <c r="K93" s="2274"/>
      <c r="L93" s="2274"/>
      <c r="M93" s="2274"/>
      <c r="N93" s="2274"/>
      <c r="O93" s="2274"/>
      <c r="P93" s="2274"/>
      <c r="Q93" s="2274"/>
    </row>
    <row r="94" spans="2:17" s="749" customFormat="1">
      <c r="B94" s="2274"/>
      <c r="C94" s="2274"/>
      <c r="D94" s="2274"/>
      <c r="E94" s="2274"/>
      <c r="F94" s="2274"/>
      <c r="G94" s="2274"/>
      <c r="H94" s="2274"/>
      <c r="I94" s="2274"/>
      <c r="J94" s="2274"/>
      <c r="K94" s="2274"/>
      <c r="L94" s="2274"/>
      <c r="M94" s="2274"/>
      <c r="N94" s="2274"/>
      <c r="O94" s="2274"/>
      <c r="P94" s="2274"/>
      <c r="Q94" s="2274"/>
    </row>
    <row r="95" spans="2:17" s="749" customFormat="1">
      <c r="B95" s="2274"/>
      <c r="C95" s="2274"/>
      <c r="D95" s="2274"/>
      <c r="E95" s="2274"/>
      <c r="F95" s="2274"/>
      <c r="G95" s="2274"/>
      <c r="H95" s="2274"/>
      <c r="I95" s="2274"/>
      <c r="J95" s="2274"/>
      <c r="K95" s="2274"/>
      <c r="L95" s="2274"/>
      <c r="M95" s="2274"/>
      <c r="N95" s="2274"/>
      <c r="O95" s="2274"/>
      <c r="P95" s="2274"/>
      <c r="Q95" s="2274"/>
    </row>
    <row r="96" spans="2:17" s="749" customFormat="1">
      <c r="B96" s="2274"/>
      <c r="C96" s="2274"/>
      <c r="D96" s="2274"/>
      <c r="E96" s="2274"/>
      <c r="F96" s="2274"/>
      <c r="G96" s="2274"/>
      <c r="H96" s="2274"/>
      <c r="I96" s="2274"/>
      <c r="J96" s="2274"/>
      <c r="K96" s="2274"/>
      <c r="L96" s="2274"/>
      <c r="M96" s="2274"/>
      <c r="N96" s="2274"/>
      <c r="O96" s="2274"/>
      <c r="P96" s="2274"/>
      <c r="Q96" s="2274"/>
    </row>
    <row r="97" spans="2:17" s="749" customFormat="1">
      <c r="B97" s="2274"/>
      <c r="C97" s="2274"/>
      <c r="D97" s="2274"/>
      <c r="E97" s="2274"/>
      <c r="F97" s="2274"/>
      <c r="G97" s="2274"/>
      <c r="H97" s="2274"/>
      <c r="I97" s="2274"/>
      <c r="J97" s="2274"/>
      <c r="K97" s="2274"/>
      <c r="L97" s="2274"/>
      <c r="M97" s="2274"/>
      <c r="N97" s="2274"/>
      <c r="O97" s="2274"/>
      <c r="P97" s="2274"/>
      <c r="Q97" s="2274"/>
    </row>
    <row r="98" spans="2:17" s="749" customFormat="1">
      <c r="B98" s="2274"/>
      <c r="C98" s="2274"/>
      <c r="D98" s="2274"/>
      <c r="E98" s="2274"/>
      <c r="F98" s="2274"/>
      <c r="G98" s="2274"/>
      <c r="H98" s="2274"/>
      <c r="I98" s="2274"/>
      <c r="J98" s="2274"/>
      <c r="K98" s="2274"/>
      <c r="L98" s="2274"/>
      <c r="M98" s="2274"/>
      <c r="N98" s="2274"/>
      <c r="O98" s="2274"/>
      <c r="P98" s="2274"/>
      <c r="Q98" s="2274"/>
    </row>
    <row r="99" spans="2:17" s="749" customFormat="1">
      <c r="B99" s="2274"/>
      <c r="C99" s="2274"/>
      <c r="D99" s="2274"/>
      <c r="E99" s="2274"/>
      <c r="F99" s="2274"/>
      <c r="G99" s="2274"/>
      <c r="H99" s="2274"/>
      <c r="I99" s="2274"/>
      <c r="J99" s="2274"/>
      <c r="K99" s="2274"/>
      <c r="L99" s="2274"/>
      <c r="M99" s="2274"/>
      <c r="N99" s="2274"/>
      <c r="O99" s="2274"/>
      <c r="P99" s="2274"/>
      <c r="Q99" s="2274"/>
    </row>
    <row r="100" spans="2:17" s="749" customFormat="1">
      <c r="B100" s="2274"/>
      <c r="C100" s="2274"/>
      <c r="D100" s="2274"/>
      <c r="E100" s="2274"/>
      <c r="F100" s="2274"/>
      <c r="G100" s="2274"/>
      <c r="H100" s="2274"/>
      <c r="I100" s="2274"/>
      <c r="J100" s="2274"/>
      <c r="K100" s="2274"/>
      <c r="L100" s="2274"/>
      <c r="M100" s="2274"/>
      <c r="N100" s="2274"/>
      <c r="O100" s="2274"/>
      <c r="P100" s="2274"/>
      <c r="Q100" s="2274"/>
    </row>
    <row r="101" spans="2:17" s="749" customFormat="1">
      <c r="B101" s="2274"/>
      <c r="C101" s="2274"/>
      <c r="D101" s="2274"/>
      <c r="E101" s="2274"/>
      <c r="F101" s="2274"/>
      <c r="G101" s="2274"/>
      <c r="H101" s="2274"/>
      <c r="I101" s="2274"/>
      <c r="J101" s="2274"/>
      <c r="K101" s="2274"/>
      <c r="L101" s="2274"/>
      <c r="M101" s="2274"/>
      <c r="N101" s="2274"/>
      <c r="O101" s="2274"/>
      <c r="P101" s="2274"/>
      <c r="Q101" s="2274"/>
    </row>
    <row r="102" spans="2:17" s="749" customFormat="1">
      <c r="B102" s="2274"/>
      <c r="C102" s="2274"/>
      <c r="D102" s="2274"/>
      <c r="E102" s="2274"/>
      <c r="F102" s="2274"/>
      <c r="G102" s="2274"/>
      <c r="H102" s="2274"/>
      <c r="I102" s="2274"/>
      <c r="J102" s="2274"/>
      <c r="K102" s="2274"/>
      <c r="L102" s="2274"/>
      <c r="M102" s="2274"/>
      <c r="N102" s="2274"/>
      <c r="O102" s="2274"/>
      <c r="P102" s="2274"/>
      <c r="Q102" s="2274"/>
    </row>
    <row r="103" spans="2:17" s="749" customFormat="1">
      <c r="B103" s="2274"/>
      <c r="C103" s="2274"/>
      <c r="D103" s="2274"/>
      <c r="E103" s="2274"/>
      <c r="F103" s="2274"/>
      <c r="G103" s="2274"/>
      <c r="H103" s="2274"/>
      <c r="I103" s="2274"/>
      <c r="J103" s="2274"/>
      <c r="K103" s="2274"/>
      <c r="L103" s="2274"/>
      <c r="M103" s="2274"/>
      <c r="N103" s="2274"/>
      <c r="O103" s="2274"/>
      <c r="P103" s="2274"/>
      <c r="Q103" s="2274"/>
    </row>
    <row r="104" spans="2:17" s="749" customFormat="1">
      <c r="B104" s="2274"/>
      <c r="C104" s="2274"/>
      <c r="D104" s="2274"/>
      <c r="E104" s="2274"/>
      <c r="F104" s="2274"/>
      <c r="G104" s="2274"/>
      <c r="H104" s="2274"/>
      <c r="I104" s="2274"/>
      <c r="J104" s="2274"/>
      <c r="K104" s="2274"/>
      <c r="L104" s="2274"/>
      <c r="M104" s="2274"/>
      <c r="N104" s="2274"/>
      <c r="O104" s="2274"/>
      <c r="P104" s="2274"/>
      <c r="Q104" s="2274"/>
    </row>
    <row r="105" spans="2:17" s="749" customFormat="1">
      <c r="B105" s="2274"/>
      <c r="C105" s="2274"/>
      <c r="D105" s="2274"/>
      <c r="E105" s="2274"/>
      <c r="F105" s="2274"/>
      <c r="G105" s="2274"/>
      <c r="H105" s="2274"/>
      <c r="I105" s="2274"/>
      <c r="J105" s="2274"/>
      <c r="K105" s="2274"/>
      <c r="L105" s="2274"/>
      <c r="M105" s="2274"/>
      <c r="N105" s="2274"/>
      <c r="O105" s="2274"/>
      <c r="P105" s="2274"/>
      <c r="Q105" s="2274"/>
    </row>
    <row r="106" spans="2:17" s="749" customFormat="1">
      <c r="B106" s="2274"/>
      <c r="C106" s="2274"/>
      <c r="D106" s="2274"/>
      <c r="E106" s="2274"/>
      <c r="F106" s="2274"/>
      <c r="G106" s="2274"/>
      <c r="H106" s="2274"/>
      <c r="I106" s="2274"/>
      <c r="J106" s="2274"/>
      <c r="K106" s="2274"/>
      <c r="L106" s="2274"/>
      <c r="M106" s="2274"/>
      <c r="N106" s="2274"/>
      <c r="O106" s="2274"/>
      <c r="P106" s="2274"/>
      <c r="Q106" s="2274"/>
    </row>
    <row r="107" spans="2:17" s="749" customFormat="1">
      <c r="B107" s="2274"/>
      <c r="C107" s="2274"/>
      <c r="D107" s="2274"/>
      <c r="E107" s="2274"/>
      <c r="F107" s="2274"/>
      <c r="G107" s="2274"/>
      <c r="H107" s="2274"/>
      <c r="I107" s="2274"/>
      <c r="J107" s="2274"/>
      <c r="K107" s="2274"/>
      <c r="L107" s="2274"/>
      <c r="M107" s="2274"/>
      <c r="N107" s="2274"/>
      <c r="O107" s="2274"/>
      <c r="P107" s="2274"/>
      <c r="Q107" s="2274"/>
    </row>
    <row r="108" spans="2:17" s="749" customFormat="1">
      <c r="B108" s="2274"/>
      <c r="C108" s="2274"/>
      <c r="D108" s="2274"/>
      <c r="E108" s="2274"/>
      <c r="F108" s="2274"/>
      <c r="G108" s="2274"/>
      <c r="H108" s="2274"/>
      <c r="I108" s="2274"/>
      <c r="J108" s="2274"/>
      <c r="K108" s="2274"/>
      <c r="L108" s="2274"/>
      <c r="M108" s="2274"/>
      <c r="N108" s="2274"/>
      <c r="O108" s="2274"/>
      <c r="P108" s="2274"/>
      <c r="Q108" s="2274"/>
    </row>
    <row r="109" spans="2:17" s="749" customFormat="1">
      <c r="B109" s="2274"/>
      <c r="C109" s="2274"/>
      <c r="D109" s="2274"/>
      <c r="E109" s="2274"/>
      <c r="F109" s="2274"/>
      <c r="G109" s="2274"/>
      <c r="H109" s="2274"/>
      <c r="I109" s="2274"/>
      <c r="J109" s="2274"/>
      <c r="K109" s="2274"/>
      <c r="L109" s="2274"/>
      <c r="M109" s="2274"/>
      <c r="N109" s="2274"/>
      <c r="O109" s="2274"/>
      <c r="P109" s="2274"/>
      <c r="Q109" s="2274"/>
    </row>
    <row r="110" spans="2:17" s="749" customFormat="1">
      <c r="B110" s="2274"/>
      <c r="C110" s="2274"/>
      <c r="D110" s="2274"/>
      <c r="E110" s="2274"/>
      <c r="F110" s="2274"/>
      <c r="G110" s="2274"/>
      <c r="H110" s="2274"/>
      <c r="I110" s="2274"/>
      <c r="J110" s="2274"/>
      <c r="K110" s="2274"/>
      <c r="L110" s="2274"/>
      <c r="M110" s="2274"/>
      <c r="N110" s="2274"/>
      <c r="O110" s="2274"/>
      <c r="P110" s="2274"/>
      <c r="Q110" s="2274"/>
    </row>
    <row r="111" spans="2:17" s="749" customFormat="1">
      <c r="B111" s="2274"/>
      <c r="C111" s="2274"/>
      <c r="D111" s="2274"/>
      <c r="E111" s="2274"/>
      <c r="F111" s="2274"/>
      <c r="G111" s="2274"/>
      <c r="H111" s="2274"/>
      <c r="I111" s="2274"/>
      <c r="J111" s="2274"/>
      <c r="K111" s="2274"/>
      <c r="L111" s="2274"/>
      <c r="M111" s="2274"/>
      <c r="N111" s="2274"/>
      <c r="O111" s="2274"/>
      <c r="P111" s="2274"/>
      <c r="Q111" s="2274"/>
    </row>
    <row r="112" spans="2:17" s="749" customFormat="1">
      <c r="B112" s="2274"/>
      <c r="C112" s="2274"/>
      <c r="D112" s="2274"/>
      <c r="E112" s="2274"/>
      <c r="F112" s="2274"/>
      <c r="G112" s="2274"/>
      <c r="H112" s="2274"/>
      <c r="I112" s="2274"/>
      <c r="J112" s="2274"/>
      <c r="K112" s="2274"/>
      <c r="L112" s="2274"/>
      <c r="M112" s="2274"/>
      <c r="N112" s="2274"/>
      <c r="O112" s="2274"/>
      <c r="P112" s="2274"/>
      <c r="Q112" s="2274"/>
    </row>
    <row r="113" spans="2:17" s="749" customFormat="1">
      <c r="B113" s="2274"/>
      <c r="C113" s="2274"/>
      <c r="D113" s="2274"/>
      <c r="E113" s="2274"/>
      <c r="F113" s="2274"/>
      <c r="G113" s="2274"/>
      <c r="H113" s="2274"/>
      <c r="I113" s="2274"/>
      <c r="J113" s="2274"/>
      <c r="K113" s="2274"/>
      <c r="L113" s="2274"/>
      <c r="M113" s="2274"/>
      <c r="N113" s="2274"/>
      <c r="O113" s="2274"/>
      <c r="P113" s="2274"/>
      <c r="Q113" s="2274"/>
    </row>
    <row r="114" spans="2:17" s="749" customFormat="1">
      <c r="B114" s="2274"/>
      <c r="C114" s="2274"/>
      <c r="D114" s="2274"/>
      <c r="E114" s="2274"/>
      <c r="F114" s="2274"/>
      <c r="G114" s="2274"/>
      <c r="H114" s="2274"/>
      <c r="I114" s="2274"/>
      <c r="J114" s="2274"/>
      <c r="K114" s="2274"/>
      <c r="L114" s="2274"/>
      <c r="M114" s="2274"/>
      <c r="N114" s="2274"/>
      <c r="O114" s="2274"/>
      <c r="P114" s="2274"/>
      <c r="Q114" s="2274"/>
    </row>
    <row r="115" spans="2:17" s="749" customFormat="1">
      <c r="B115" s="2274"/>
      <c r="C115" s="2274"/>
      <c r="D115" s="2274"/>
      <c r="E115" s="2274"/>
      <c r="F115" s="2274"/>
      <c r="G115" s="2274"/>
      <c r="H115" s="2274"/>
      <c r="I115" s="2274"/>
      <c r="J115" s="2274"/>
      <c r="K115" s="2274"/>
      <c r="L115" s="2274"/>
      <c r="M115" s="2274"/>
      <c r="N115" s="2274"/>
      <c r="O115" s="2274"/>
      <c r="P115" s="2274"/>
      <c r="Q115" s="2274"/>
    </row>
    <row r="116" spans="2:17" s="749" customFormat="1">
      <c r="B116" s="2274"/>
      <c r="C116" s="2274"/>
      <c r="D116" s="2274"/>
      <c r="E116" s="2274"/>
      <c r="F116" s="2274"/>
      <c r="G116" s="2274"/>
      <c r="H116" s="2274"/>
      <c r="I116" s="2274"/>
      <c r="J116" s="2274"/>
      <c r="K116" s="2274"/>
      <c r="L116" s="2274"/>
      <c r="M116" s="2274"/>
      <c r="N116" s="2274"/>
      <c r="O116" s="2274"/>
      <c r="P116" s="2274"/>
      <c r="Q116" s="2274"/>
    </row>
    <row r="117" spans="2:17" s="749" customFormat="1">
      <c r="B117" s="2274"/>
      <c r="C117" s="2274"/>
      <c r="D117" s="2274"/>
      <c r="E117" s="2274"/>
      <c r="F117" s="2274"/>
      <c r="G117" s="2274"/>
      <c r="H117" s="2274"/>
      <c r="I117" s="2274"/>
      <c r="J117" s="2274"/>
      <c r="K117" s="2274"/>
      <c r="L117" s="2274"/>
      <c r="M117" s="2274"/>
      <c r="N117" s="2274"/>
      <c r="O117" s="2274"/>
      <c r="P117" s="2274"/>
      <c r="Q117" s="2274"/>
    </row>
    <row r="118" spans="2:17" s="749" customFormat="1">
      <c r="B118" s="2274"/>
      <c r="C118" s="2274"/>
      <c r="D118" s="2274"/>
      <c r="E118" s="2274"/>
      <c r="F118" s="2274"/>
      <c r="G118" s="2274"/>
      <c r="H118" s="2274"/>
      <c r="I118" s="2274"/>
      <c r="J118" s="2274"/>
      <c r="K118" s="2274"/>
      <c r="L118" s="2274"/>
      <c r="M118" s="2274"/>
      <c r="N118" s="2274"/>
      <c r="O118" s="2274"/>
      <c r="P118" s="2274"/>
      <c r="Q118" s="2274"/>
    </row>
    <row r="119" spans="2:17" s="749" customFormat="1">
      <c r="B119" s="2274"/>
      <c r="C119" s="2274"/>
      <c r="D119" s="2274"/>
      <c r="E119" s="2274"/>
      <c r="F119" s="2274"/>
      <c r="G119" s="2274"/>
      <c r="H119" s="2274"/>
      <c r="I119" s="2274"/>
      <c r="J119" s="2274"/>
      <c r="K119" s="2274"/>
      <c r="L119" s="2274"/>
      <c r="M119" s="2274"/>
      <c r="N119" s="2274"/>
      <c r="O119" s="2274"/>
      <c r="P119" s="2274"/>
      <c r="Q119" s="2274"/>
    </row>
    <row r="120" spans="2:17" s="749" customFormat="1">
      <c r="B120" s="2274"/>
      <c r="C120" s="2274"/>
      <c r="D120" s="2274"/>
      <c r="E120" s="2274"/>
      <c r="F120" s="2274"/>
      <c r="G120" s="2274"/>
      <c r="H120" s="2274"/>
      <c r="I120" s="2274"/>
      <c r="J120" s="2274"/>
      <c r="K120" s="2274"/>
      <c r="L120" s="2274"/>
      <c r="M120" s="2274"/>
      <c r="N120" s="2274"/>
      <c r="O120" s="2274"/>
      <c r="P120" s="2274"/>
      <c r="Q120" s="2274"/>
    </row>
    <row r="121" spans="2:17" s="749" customFormat="1">
      <c r="B121" s="2274"/>
      <c r="C121" s="2274"/>
      <c r="D121" s="2274"/>
      <c r="E121" s="2274"/>
      <c r="F121" s="2274"/>
      <c r="G121" s="2274"/>
      <c r="H121" s="2274"/>
      <c r="I121" s="2274"/>
      <c r="J121" s="2274"/>
      <c r="K121" s="2274"/>
      <c r="L121" s="2274"/>
      <c r="M121" s="2274"/>
      <c r="N121" s="2274"/>
      <c r="O121" s="2274"/>
      <c r="P121" s="2274"/>
      <c r="Q121" s="2274"/>
    </row>
    <row r="122" spans="2:17" s="749" customFormat="1">
      <c r="B122" s="2274"/>
      <c r="C122" s="2274"/>
      <c r="D122" s="2274"/>
      <c r="E122" s="2274"/>
      <c r="F122" s="2274"/>
      <c r="G122" s="2274"/>
      <c r="H122" s="2274"/>
      <c r="I122" s="2274"/>
      <c r="J122" s="2274"/>
      <c r="K122" s="2274"/>
      <c r="L122" s="2274"/>
      <c r="M122" s="2274"/>
      <c r="N122" s="2274"/>
      <c r="O122" s="2274"/>
      <c r="P122" s="2274"/>
      <c r="Q122" s="2274"/>
    </row>
    <row r="123" spans="2:17" s="749" customFormat="1">
      <c r="B123" s="2274"/>
      <c r="C123" s="2274"/>
      <c r="D123" s="2274"/>
      <c r="E123" s="2274"/>
      <c r="F123" s="2274"/>
      <c r="G123" s="2274"/>
      <c r="H123" s="2274"/>
      <c r="I123" s="2274"/>
      <c r="J123" s="2274"/>
      <c r="K123" s="2274"/>
      <c r="L123" s="2274"/>
      <c r="M123" s="2274"/>
      <c r="N123" s="2274"/>
      <c r="O123" s="2274"/>
      <c r="P123" s="2274"/>
      <c r="Q123" s="2274"/>
    </row>
    <row r="124" spans="2:17" s="749" customFormat="1">
      <c r="B124" s="2274"/>
      <c r="C124" s="2274"/>
      <c r="D124" s="2274"/>
      <c r="E124" s="2274"/>
      <c r="F124" s="2274"/>
      <c r="G124" s="2274"/>
      <c r="H124" s="2274"/>
      <c r="I124" s="2274"/>
      <c r="J124" s="2274"/>
      <c r="K124" s="2274"/>
      <c r="L124" s="2274"/>
      <c r="M124" s="2274"/>
      <c r="N124" s="2274"/>
      <c r="O124" s="2274"/>
      <c r="P124" s="2274"/>
      <c r="Q124" s="2274"/>
    </row>
    <row r="125" spans="2:17" s="749" customFormat="1">
      <c r="B125" s="2274"/>
      <c r="C125" s="2274"/>
      <c r="D125" s="2274"/>
      <c r="E125" s="2274"/>
      <c r="F125" s="2274"/>
      <c r="G125" s="2274"/>
      <c r="H125" s="2274"/>
      <c r="I125" s="2274"/>
      <c r="J125" s="2274"/>
      <c r="K125" s="2274"/>
      <c r="L125" s="2274"/>
      <c r="M125" s="2274"/>
      <c r="N125" s="2274"/>
      <c r="O125" s="2274"/>
      <c r="P125" s="2274"/>
      <c r="Q125" s="2274"/>
    </row>
    <row r="126" spans="2:17" s="749" customFormat="1">
      <c r="B126" s="2274"/>
      <c r="C126" s="2274"/>
      <c r="D126" s="2274"/>
      <c r="E126" s="2274"/>
      <c r="F126" s="2274"/>
      <c r="G126" s="2274"/>
      <c r="H126" s="2274"/>
      <c r="I126" s="2274"/>
      <c r="J126" s="2274"/>
      <c r="K126" s="2274"/>
      <c r="L126" s="2274"/>
      <c r="M126" s="2274"/>
      <c r="N126" s="2274"/>
      <c r="O126" s="2274"/>
      <c r="P126" s="2274"/>
      <c r="Q126" s="2274"/>
    </row>
    <row r="127" spans="2:17" s="749" customFormat="1">
      <c r="B127" s="2274"/>
      <c r="C127" s="2274"/>
      <c r="D127" s="2274"/>
      <c r="E127" s="2274"/>
      <c r="F127" s="2274"/>
      <c r="G127" s="2274"/>
      <c r="H127" s="2274"/>
      <c r="I127" s="2274"/>
      <c r="J127" s="2274"/>
      <c r="K127" s="2274"/>
      <c r="L127" s="2274"/>
      <c r="M127" s="2274"/>
      <c r="N127" s="2274"/>
      <c r="O127" s="2274"/>
      <c r="P127" s="2274"/>
      <c r="Q127" s="2274"/>
    </row>
    <row r="128" spans="2:17" s="749" customFormat="1">
      <c r="B128" s="2274"/>
      <c r="C128" s="2274"/>
      <c r="D128" s="2274"/>
      <c r="E128" s="2274"/>
      <c r="F128" s="2274"/>
      <c r="G128" s="2274"/>
      <c r="H128" s="2274"/>
      <c r="I128" s="2274"/>
      <c r="J128" s="2274"/>
      <c r="K128" s="2274"/>
      <c r="L128" s="2274"/>
      <c r="M128" s="2274"/>
      <c r="N128" s="2274"/>
      <c r="O128" s="2274"/>
      <c r="P128" s="2274"/>
      <c r="Q128" s="2274"/>
    </row>
    <row r="129" spans="2:17" s="749" customFormat="1">
      <c r="B129" s="2274"/>
      <c r="C129" s="2274"/>
      <c r="D129" s="2274"/>
      <c r="E129" s="2274"/>
      <c r="F129" s="2274"/>
      <c r="G129" s="2274"/>
      <c r="H129" s="2274"/>
      <c r="I129" s="2274"/>
      <c r="J129" s="2274"/>
      <c r="K129" s="2274"/>
      <c r="L129" s="2274"/>
      <c r="M129" s="2274"/>
      <c r="N129" s="2274"/>
      <c r="O129" s="2274"/>
      <c r="P129" s="2274"/>
      <c r="Q129" s="2274"/>
    </row>
    <row r="130" spans="2:17" s="749" customFormat="1">
      <c r="B130" s="2274"/>
      <c r="C130" s="2274"/>
      <c r="D130" s="2274"/>
      <c r="E130" s="2274"/>
      <c r="F130" s="2274"/>
      <c r="G130" s="2274"/>
      <c r="H130" s="2274"/>
      <c r="I130" s="2274"/>
      <c r="J130" s="2274"/>
      <c r="K130" s="2274"/>
      <c r="L130" s="2274"/>
      <c r="M130" s="2274"/>
      <c r="N130" s="2274"/>
      <c r="O130" s="2274"/>
      <c r="P130" s="2274"/>
      <c r="Q130" s="2274"/>
    </row>
    <row r="131" spans="2:17" s="749" customFormat="1">
      <c r="B131" s="2274"/>
      <c r="C131" s="2274"/>
      <c r="D131" s="2274"/>
      <c r="E131" s="2274"/>
      <c r="F131" s="2274"/>
      <c r="G131" s="2274"/>
      <c r="H131" s="2274"/>
      <c r="I131" s="2274"/>
      <c r="J131" s="2274"/>
      <c r="K131" s="2274"/>
      <c r="L131" s="2274"/>
      <c r="M131" s="2274"/>
      <c r="N131" s="2274"/>
      <c r="O131" s="2274"/>
      <c r="P131" s="2274"/>
      <c r="Q131" s="2274"/>
    </row>
    <row r="132" spans="2:17" s="749" customFormat="1">
      <c r="B132" s="2274"/>
      <c r="C132" s="2274"/>
      <c r="D132" s="2274"/>
      <c r="E132" s="2274"/>
      <c r="F132" s="2274"/>
      <c r="G132" s="2274"/>
      <c r="H132" s="2274"/>
      <c r="I132" s="2274"/>
      <c r="J132" s="2274"/>
      <c r="K132" s="2274"/>
      <c r="L132" s="2274"/>
      <c r="M132" s="2274"/>
      <c r="N132" s="2274"/>
      <c r="O132" s="2274"/>
      <c r="P132" s="2274"/>
      <c r="Q132" s="2274"/>
    </row>
    <row r="133" spans="2:17" s="749" customFormat="1">
      <c r="B133" s="2274"/>
      <c r="C133" s="2274"/>
      <c r="D133" s="2274"/>
      <c r="E133" s="2274"/>
      <c r="F133" s="2274"/>
      <c r="G133" s="2274"/>
      <c r="H133" s="2274"/>
      <c r="I133" s="2274"/>
      <c r="J133" s="2274"/>
      <c r="K133" s="2274"/>
      <c r="L133" s="2274"/>
      <c r="M133" s="2274"/>
      <c r="N133" s="2274"/>
      <c r="O133" s="2274"/>
      <c r="P133" s="2274"/>
      <c r="Q133" s="2274"/>
    </row>
    <row r="134" spans="2:17" s="749" customFormat="1">
      <c r="B134" s="2274"/>
      <c r="C134" s="2274"/>
      <c r="D134" s="2274"/>
      <c r="E134" s="2274"/>
      <c r="F134" s="2274"/>
      <c r="G134" s="2274"/>
      <c r="H134" s="2274"/>
      <c r="I134" s="2274"/>
      <c r="J134" s="2274"/>
      <c r="K134" s="2274"/>
      <c r="L134" s="2274"/>
      <c r="M134" s="2274"/>
      <c r="N134" s="2274"/>
      <c r="O134" s="2274"/>
      <c r="P134" s="2274"/>
      <c r="Q134" s="2274"/>
    </row>
    <row r="135" spans="2:17" s="749" customFormat="1">
      <c r="B135" s="2274"/>
      <c r="C135" s="2274"/>
      <c r="D135" s="2274"/>
      <c r="E135" s="2274"/>
      <c r="F135" s="2274"/>
      <c r="G135" s="2274"/>
      <c r="H135" s="2274"/>
      <c r="I135" s="2274"/>
      <c r="J135" s="2274"/>
      <c r="K135" s="2274"/>
      <c r="L135" s="2274"/>
      <c r="M135" s="2274"/>
      <c r="N135" s="2274"/>
      <c r="O135" s="2274"/>
      <c r="P135" s="2274"/>
      <c r="Q135" s="2274"/>
    </row>
    <row r="136" spans="2:17" s="749" customFormat="1">
      <c r="B136" s="2274"/>
      <c r="C136" s="2274"/>
      <c r="D136" s="2274"/>
      <c r="E136" s="2274"/>
      <c r="F136" s="2274"/>
      <c r="G136" s="2274"/>
      <c r="H136" s="2274"/>
      <c r="I136" s="2274"/>
      <c r="J136" s="2274"/>
      <c r="K136" s="2274"/>
      <c r="L136" s="2274"/>
      <c r="M136" s="2274"/>
      <c r="N136" s="2274"/>
      <c r="O136" s="2274"/>
      <c r="P136" s="2274"/>
      <c r="Q136" s="2274"/>
    </row>
    <row r="137" spans="2:17" s="749" customFormat="1">
      <c r="B137" s="2274"/>
      <c r="C137" s="2274"/>
      <c r="D137" s="2274"/>
      <c r="E137" s="2274"/>
      <c r="F137" s="2274"/>
      <c r="G137" s="2274"/>
      <c r="H137" s="2274"/>
      <c r="I137" s="2274"/>
      <c r="J137" s="2274"/>
      <c r="K137" s="2274"/>
      <c r="L137" s="2274"/>
      <c r="M137" s="2274"/>
      <c r="N137" s="2274"/>
      <c r="O137" s="2274"/>
      <c r="P137" s="2274"/>
      <c r="Q137" s="2274"/>
    </row>
    <row r="138" spans="2:17" s="749" customFormat="1">
      <c r="B138" s="2274"/>
      <c r="C138" s="2274"/>
      <c r="D138" s="2274"/>
      <c r="E138" s="2274"/>
      <c r="F138" s="2274"/>
      <c r="G138" s="2274"/>
      <c r="H138" s="2274"/>
      <c r="I138" s="2274"/>
      <c r="J138" s="2274"/>
      <c r="K138" s="2274"/>
      <c r="L138" s="2274"/>
      <c r="M138" s="2274"/>
      <c r="N138" s="2274"/>
      <c r="O138" s="2274"/>
      <c r="P138" s="2274"/>
      <c r="Q138" s="2274"/>
    </row>
    <row r="139" spans="2:17" s="749" customFormat="1">
      <c r="B139" s="2274"/>
      <c r="C139" s="2274"/>
      <c r="D139" s="2274"/>
      <c r="E139" s="2274"/>
      <c r="F139" s="2274"/>
      <c r="G139" s="2274"/>
      <c r="H139" s="2274"/>
      <c r="I139" s="2274"/>
      <c r="J139" s="2274"/>
      <c r="K139" s="2274"/>
      <c r="L139" s="2274"/>
      <c r="M139" s="2274"/>
      <c r="N139" s="2274"/>
      <c r="O139" s="2274"/>
      <c r="P139" s="2274"/>
      <c r="Q139" s="2274"/>
    </row>
    <row r="140" spans="2:17" s="749" customFormat="1">
      <c r="B140" s="2274"/>
      <c r="C140" s="2274"/>
      <c r="D140" s="2274"/>
      <c r="E140" s="2274"/>
      <c r="F140" s="2274"/>
      <c r="G140" s="2274"/>
      <c r="H140" s="2274"/>
      <c r="I140" s="2274"/>
      <c r="J140" s="2274"/>
      <c r="K140" s="2274"/>
      <c r="L140" s="2274"/>
      <c r="M140" s="2274"/>
      <c r="N140" s="2274"/>
      <c r="O140" s="2274"/>
      <c r="P140" s="2274"/>
      <c r="Q140" s="2274"/>
    </row>
    <row r="141" spans="2:17" s="749" customFormat="1">
      <c r="B141" s="2274"/>
      <c r="C141" s="2274"/>
      <c r="D141" s="2274"/>
      <c r="E141" s="2274"/>
      <c r="F141" s="2274"/>
      <c r="G141" s="2274"/>
      <c r="H141" s="2274"/>
      <c r="I141" s="2274"/>
      <c r="J141" s="2274"/>
      <c r="K141" s="2274"/>
      <c r="L141" s="2274"/>
      <c r="M141" s="2274"/>
      <c r="N141" s="2274"/>
      <c r="O141" s="2274"/>
      <c r="P141" s="2274"/>
      <c r="Q141" s="2274"/>
    </row>
    <row r="142" spans="2:17" s="749" customFormat="1">
      <c r="B142" s="2274"/>
      <c r="C142" s="2274"/>
      <c r="D142" s="2274"/>
      <c r="E142" s="2274"/>
      <c r="F142" s="2274"/>
      <c r="G142" s="2274"/>
      <c r="H142" s="2274"/>
      <c r="I142" s="2274"/>
      <c r="J142" s="2274"/>
      <c r="K142" s="2274"/>
      <c r="L142" s="2274"/>
      <c r="M142" s="2274"/>
      <c r="N142" s="2274"/>
      <c r="O142" s="2274"/>
      <c r="P142" s="2274"/>
      <c r="Q142" s="2274"/>
    </row>
    <row r="143" spans="2:17" s="749" customFormat="1">
      <c r="B143" s="2274"/>
      <c r="C143" s="2274"/>
      <c r="D143" s="2274"/>
      <c r="E143" s="2274"/>
      <c r="F143" s="2274"/>
      <c r="G143" s="2274"/>
      <c r="H143" s="2274"/>
      <c r="I143" s="2274"/>
      <c r="J143" s="2274"/>
      <c r="K143" s="2274"/>
      <c r="L143" s="2274"/>
      <c r="M143" s="2274"/>
      <c r="N143" s="2274"/>
      <c r="O143" s="2274"/>
      <c r="P143" s="2274"/>
      <c r="Q143" s="2274"/>
    </row>
    <row r="144" spans="2:17" s="749" customFormat="1">
      <c r="B144" s="2274"/>
      <c r="C144" s="2274"/>
      <c r="D144" s="2274"/>
      <c r="E144" s="2274"/>
      <c r="F144" s="2274"/>
      <c r="G144" s="2274"/>
      <c r="H144" s="2274"/>
      <c r="I144" s="2274"/>
      <c r="J144" s="2274"/>
      <c r="K144" s="2274"/>
      <c r="L144" s="2274"/>
      <c r="M144" s="2274"/>
      <c r="N144" s="2274"/>
      <c r="O144" s="2274"/>
      <c r="P144" s="2274"/>
      <c r="Q144" s="2274"/>
    </row>
    <row r="145" spans="2:17" s="749" customFormat="1">
      <c r="B145" s="2274"/>
      <c r="C145" s="2274"/>
      <c r="D145" s="2274"/>
      <c r="E145" s="2274"/>
      <c r="F145" s="2274"/>
      <c r="G145" s="2274"/>
      <c r="H145" s="2274"/>
      <c r="I145" s="2274"/>
      <c r="J145" s="2274"/>
      <c r="K145" s="2274"/>
      <c r="L145" s="2274"/>
      <c r="M145" s="2274"/>
      <c r="N145" s="2274"/>
      <c r="O145" s="2274"/>
      <c r="P145" s="2274"/>
      <c r="Q145" s="2274"/>
    </row>
    <row r="146" spans="2:17" s="749" customFormat="1">
      <c r="B146" s="2274"/>
      <c r="C146" s="2274"/>
      <c r="D146" s="2274"/>
      <c r="E146" s="2274"/>
      <c r="F146" s="2274"/>
      <c r="G146" s="2274"/>
      <c r="H146" s="2274"/>
      <c r="I146" s="2274"/>
      <c r="J146" s="2274"/>
      <c r="K146" s="2274"/>
      <c r="L146" s="2274"/>
      <c r="M146" s="2274"/>
      <c r="N146" s="2274"/>
      <c r="O146" s="2274"/>
      <c r="P146" s="2274"/>
      <c r="Q146" s="2274"/>
    </row>
    <row r="147" spans="2:17" s="749" customFormat="1">
      <c r="B147" s="2274"/>
      <c r="C147" s="2274"/>
      <c r="D147" s="2274"/>
      <c r="E147" s="2274"/>
      <c r="F147" s="2274"/>
      <c r="G147" s="2274"/>
      <c r="H147" s="2274"/>
      <c r="I147" s="2274"/>
      <c r="J147" s="2274"/>
      <c r="K147" s="2274"/>
      <c r="L147" s="2274"/>
      <c r="M147" s="2274"/>
      <c r="N147" s="2274"/>
      <c r="O147" s="2274"/>
      <c r="P147" s="2274"/>
      <c r="Q147" s="2274"/>
    </row>
    <row r="148" spans="2:17" s="749" customFormat="1">
      <c r="B148" s="2274"/>
      <c r="C148" s="2274"/>
      <c r="D148" s="2274"/>
      <c r="E148" s="2274"/>
      <c r="F148" s="2274"/>
      <c r="G148" s="2274"/>
      <c r="H148" s="2274"/>
      <c r="I148" s="2274"/>
      <c r="J148" s="2274"/>
      <c r="K148" s="2274"/>
      <c r="L148" s="2274"/>
      <c r="M148" s="2274"/>
      <c r="N148" s="2274"/>
      <c r="O148" s="2274"/>
      <c r="P148" s="2274"/>
      <c r="Q148" s="2274"/>
    </row>
    <row r="149" spans="2:17" s="749" customFormat="1">
      <c r="B149" s="2274"/>
      <c r="C149" s="2274"/>
      <c r="D149" s="2274"/>
      <c r="E149" s="2274"/>
      <c r="F149" s="2274"/>
      <c r="G149" s="2274"/>
      <c r="H149" s="2274"/>
      <c r="I149" s="2274"/>
      <c r="J149" s="2274"/>
      <c r="K149" s="2274"/>
      <c r="L149" s="2274"/>
      <c r="M149" s="2274"/>
      <c r="N149" s="2274"/>
      <c r="O149" s="2274"/>
      <c r="P149" s="2274"/>
      <c r="Q149" s="2274"/>
    </row>
    <row r="150" spans="2:17" s="749" customFormat="1">
      <c r="B150" s="2274"/>
      <c r="C150" s="2274"/>
      <c r="D150" s="2274"/>
      <c r="E150" s="2274"/>
      <c r="F150" s="2274"/>
      <c r="G150" s="2274"/>
      <c r="H150" s="2274"/>
      <c r="I150" s="2274"/>
      <c r="J150" s="2274"/>
      <c r="K150" s="2274"/>
      <c r="L150" s="2274"/>
      <c r="M150" s="2274"/>
      <c r="N150" s="2274"/>
      <c r="O150" s="2274"/>
      <c r="P150" s="2274"/>
      <c r="Q150" s="2274"/>
    </row>
    <row r="151" spans="2:17" s="749" customFormat="1">
      <c r="B151" s="2274"/>
      <c r="C151" s="2274"/>
      <c r="D151" s="2274"/>
      <c r="E151" s="2274"/>
      <c r="F151" s="2274"/>
      <c r="G151" s="2274"/>
      <c r="H151" s="2274"/>
      <c r="I151" s="2274"/>
      <c r="J151" s="2274"/>
      <c r="K151" s="2274"/>
      <c r="L151" s="2274"/>
      <c r="M151" s="2274"/>
      <c r="N151" s="2274"/>
      <c r="O151" s="2274"/>
      <c r="P151" s="2274"/>
      <c r="Q151" s="2274"/>
    </row>
    <row r="152" spans="2:17" s="749" customFormat="1">
      <c r="B152" s="2274"/>
      <c r="C152" s="2274"/>
      <c r="D152" s="2274"/>
      <c r="E152" s="2274"/>
      <c r="F152" s="2274"/>
      <c r="G152" s="2274"/>
      <c r="H152" s="2274"/>
      <c r="I152" s="2274"/>
      <c r="J152" s="2274"/>
      <c r="K152" s="2274"/>
      <c r="L152" s="2274"/>
      <c r="M152" s="2274"/>
      <c r="N152" s="2274"/>
      <c r="O152" s="2274"/>
      <c r="P152" s="2274"/>
      <c r="Q152" s="2274"/>
    </row>
    <row r="153" spans="2:17" s="749" customFormat="1">
      <c r="B153" s="2274"/>
      <c r="C153" s="2274"/>
      <c r="D153" s="2274"/>
      <c r="E153" s="2274"/>
      <c r="F153" s="2274"/>
      <c r="G153" s="2274"/>
      <c r="H153" s="2274"/>
      <c r="I153" s="2274"/>
      <c r="J153" s="2274"/>
      <c r="K153" s="2274"/>
      <c r="L153" s="2274"/>
      <c r="M153" s="2274"/>
      <c r="N153" s="2274"/>
      <c r="O153" s="2274"/>
      <c r="P153" s="2274"/>
      <c r="Q153" s="2274"/>
    </row>
    <row r="154" spans="2:17" s="749" customFormat="1">
      <c r="B154" s="2274"/>
      <c r="C154" s="2274"/>
      <c r="D154" s="2274"/>
      <c r="E154" s="2274"/>
      <c r="F154" s="2274"/>
      <c r="G154" s="2274"/>
      <c r="H154" s="2274"/>
      <c r="I154" s="2274"/>
      <c r="J154" s="2274"/>
      <c r="K154" s="2274"/>
      <c r="L154" s="2274"/>
      <c r="M154" s="2274"/>
      <c r="N154" s="2274"/>
      <c r="O154" s="2274"/>
      <c r="P154" s="2274"/>
      <c r="Q154" s="2274"/>
    </row>
    <row r="155" spans="2:17" s="749" customFormat="1">
      <c r="B155" s="2274"/>
      <c r="C155" s="2274"/>
      <c r="D155" s="2274"/>
      <c r="E155" s="2274"/>
      <c r="F155" s="2274"/>
      <c r="G155" s="2274"/>
      <c r="H155" s="2274"/>
      <c r="I155" s="2274"/>
      <c r="J155" s="2274"/>
      <c r="K155" s="2274"/>
      <c r="L155" s="2274"/>
      <c r="M155" s="2274"/>
      <c r="N155" s="2274"/>
      <c r="O155" s="2274"/>
      <c r="P155" s="2274"/>
      <c r="Q155" s="2274"/>
    </row>
    <row r="156" spans="2:17" s="749" customFormat="1">
      <c r="B156" s="2274"/>
      <c r="C156" s="2274"/>
      <c r="D156" s="2274"/>
      <c r="E156" s="2274"/>
      <c r="F156" s="2274"/>
      <c r="G156" s="2274"/>
      <c r="H156" s="2274"/>
      <c r="I156" s="2274"/>
      <c r="J156" s="2274"/>
      <c r="K156" s="2274"/>
      <c r="L156" s="2274"/>
      <c r="M156" s="2274"/>
      <c r="N156" s="2274"/>
      <c r="O156" s="2274"/>
      <c r="P156" s="2274"/>
      <c r="Q156" s="2274"/>
    </row>
    <row r="157" spans="2:17" s="749" customFormat="1">
      <c r="B157" s="2274"/>
      <c r="C157" s="2274"/>
      <c r="D157" s="2274"/>
      <c r="E157" s="2274"/>
      <c r="F157" s="2274"/>
      <c r="G157" s="2274"/>
      <c r="H157" s="2274"/>
      <c r="I157" s="2274"/>
      <c r="J157" s="2274"/>
      <c r="K157" s="2274"/>
      <c r="L157" s="2274"/>
      <c r="M157" s="2274"/>
      <c r="N157" s="2274"/>
      <c r="O157" s="2274"/>
      <c r="P157" s="2274"/>
      <c r="Q157" s="2274"/>
    </row>
    <row r="158" spans="2:17" s="749" customFormat="1">
      <c r="B158" s="2274"/>
      <c r="C158" s="2274"/>
      <c r="D158" s="2274"/>
      <c r="E158" s="2274"/>
      <c r="F158" s="2274"/>
      <c r="G158" s="2274"/>
      <c r="H158" s="2274"/>
      <c r="I158" s="2274"/>
      <c r="J158" s="2274"/>
      <c r="K158" s="2274"/>
      <c r="L158" s="2274"/>
      <c r="M158" s="2274"/>
      <c r="N158" s="2274"/>
      <c r="O158" s="2274"/>
      <c r="P158" s="2274"/>
      <c r="Q158" s="2274"/>
    </row>
    <row r="159" spans="2:17" s="749" customFormat="1">
      <c r="B159" s="2274"/>
      <c r="C159" s="2274"/>
      <c r="D159" s="2274"/>
      <c r="E159" s="2274"/>
      <c r="F159" s="2274"/>
      <c r="G159" s="2274"/>
      <c r="H159" s="2274"/>
      <c r="I159" s="2274"/>
      <c r="J159" s="2274"/>
      <c r="K159" s="2274"/>
      <c r="L159" s="2274"/>
      <c r="M159" s="2274"/>
      <c r="N159" s="2274"/>
      <c r="O159" s="2274"/>
      <c r="P159" s="2274"/>
      <c r="Q159" s="2274"/>
    </row>
    <row r="160" spans="2:17" s="749" customFormat="1">
      <c r="B160" s="2274"/>
      <c r="C160" s="2274"/>
      <c r="D160" s="2274"/>
      <c r="E160" s="2274"/>
      <c r="F160" s="2274"/>
      <c r="G160" s="2274"/>
      <c r="H160" s="2274"/>
      <c r="I160" s="2274"/>
      <c r="J160" s="2274"/>
      <c r="K160" s="2274"/>
      <c r="L160" s="2274"/>
      <c r="M160" s="2274"/>
      <c r="N160" s="2274"/>
      <c r="O160" s="2274"/>
      <c r="P160" s="2274"/>
      <c r="Q160" s="2274"/>
    </row>
    <row r="161" spans="2:17" s="749" customFormat="1">
      <c r="B161" s="2274"/>
      <c r="C161" s="2274"/>
      <c r="D161" s="2274"/>
      <c r="E161" s="2274"/>
      <c r="F161" s="2274"/>
      <c r="G161" s="2274"/>
      <c r="H161" s="2274"/>
      <c r="I161" s="2274"/>
      <c r="J161" s="2274"/>
      <c r="K161" s="2274"/>
      <c r="L161" s="2274"/>
      <c r="M161" s="2274"/>
      <c r="N161" s="2274"/>
      <c r="O161" s="2274"/>
      <c r="P161" s="2274"/>
      <c r="Q161" s="2274"/>
    </row>
    <row r="162" spans="2:17" s="749" customFormat="1">
      <c r="B162" s="2274"/>
      <c r="C162" s="2274"/>
      <c r="D162" s="2274"/>
      <c r="E162" s="2274"/>
      <c r="F162" s="2274"/>
      <c r="G162" s="2274"/>
      <c r="H162" s="2274"/>
      <c r="I162" s="2274"/>
      <c r="J162" s="2274"/>
      <c r="K162" s="2274"/>
      <c r="L162" s="2274"/>
      <c r="M162" s="2274"/>
      <c r="N162" s="2274"/>
      <c r="O162" s="2274"/>
      <c r="P162" s="2274"/>
      <c r="Q162" s="2274"/>
    </row>
    <row r="163" spans="2:17" s="749" customFormat="1">
      <c r="B163" s="2274"/>
      <c r="C163" s="2274"/>
      <c r="D163" s="2274"/>
      <c r="E163" s="2274"/>
      <c r="F163" s="2274"/>
      <c r="G163" s="2274"/>
      <c r="H163" s="2274"/>
      <c r="I163" s="2274"/>
      <c r="J163" s="2274"/>
      <c r="K163" s="2274"/>
      <c r="L163" s="2274"/>
      <c r="M163" s="2274"/>
      <c r="N163" s="2274"/>
      <c r="O163" s="2274"/>
      <c r="P163" s="2274"/>
      <c r="Q163" s="2274"/>
    </row>
    <row r="164" spans="2:17" s="749" customFormat="1">
      <c r="B164" s="2274"/>
      <c r="C164" s="2274"/>
      <c r="D164" s="2274"/>
      <c r="E164" s="2274"/>
      <c r="F164" s="2274"/>
      <c r="G164" s="2274"/>
      <c r="H164" s="2274"/>
      <c r="I164" s="2274"/>
      <c r="J164" s="2274"/>
      <c r="K164" s="2274"/>
      <c r="L164" s="2274"/>
      <c r="M164" s="2274"/>
      <c r="N164" s="2274"/>
      <c r="O164" s="2274"/>
      <c r="P164" s="2274"/>
      <c r="Q164" s="2274"/>
    </row>
    <row r="165" spans="2:17" s="749" customFormat="1">
      <c r="B165" s="2274"/>
      <c r="C165" s="2274"/>
      <c r="D165" s="2274"/>
      <c r="E165" s="2274"/>
      <c r="F165" s="2274"/>
      <c r="G165" s="2274"/>
      <c r="H165" s="2274"/>
      <c r="I165" s="2274"/>
      <c r="J165" s="2274"/>
      <c r="K165" s="2274"/>
      <c r="L165" s="2274"/>
      <c r="M165" s="2274"/>
      <c r="N165" s="2274"/>
      <c r="O165" s="2274"/>
      <c r="P165" s="2274"/>
      <c r="Q165" s="2274"/>
    </row>
    <row r="166" spans="2:17" s="749" customFormat="1">
      <c r="B166" s="2274"/>
      <c r="C166" s="2274"/>
      <c r="D166" s="2274"/>
      <c r="E166" s="2274"/>
      <c r="F166" s="2274"/>
      <c r="G166" s="2274"/>
      <c r="H166" s="2274"/>
      <c r="I166" s="2274"/>
      <c r="J166" s="2274"/>
      <c r="K166" s="2274"/>
      <c r="L166" s="2274"/>
      <c r="M166" s="2274"/>
      <c r="N166" s="2274"/>
      <c r="O166" s="2274"/>
      <c r="P166" s="2274"/>
      <c r="Q166" s="2274"/>
    </row>
    <row r="167" spans="2:17" s="749" customFormat="1">
      <c r="B167" s="2274"/>
      <c r="C167" s="2274"/>
      <c r="D167" s="2274"/>
      <c r="E167" s="2274"/>
      <c r="F167" s="2274"/>
      <c r="G167" s="2274"/>
      <c r="H167" s="2274"/>
      <c r="I167" s="2274"/>
      <c r="J167" s="2274"/>
      <c r="K167" s="2274"/>
      <c r="L167" s="2274"/>
      <c r="M167" s="2274"/>
      <c r="N167" s="2274"/>
      <c r="O167" s="2274"/>
      <c r="P167" s="2274"/>
      <c r="Q167" s="2274"/>
    </row>
    <row r="168" spans="2:17" s="749" customFormat="1">
      <c r="B168" s="2274"/>
      <c r="C168" s="2274"/>
      <c r="D168" s="2274"/>
      <c r="E168" s="2274"/>
      <c r="F168" s="2274"/>
      <c r="G168" s="2274"/>
      <c r="H168" s="2274"/>
      <c r="I168" s="2274"/>
      <c r="J168" s="2274"/>
      <c r="K168" s="2274"/>
      <c r="L168" s="2274"/>
      <c r="M168" s="2274"/>
      <c r="N168" s="2274"/>
      <c r="O168" s="2274"/>
      <c r="P168" s="2274"/>
      <c r="Q168" s="2274"/>
    </row>
    <row r="169" spans="2:17" s="749" customFormat="1">
      <c r="B169" s="2274"/>
      <c r="C169" s="2274"/>
      <c r="D169" s="2274"/>
      <c r="E169" s="2274"/>
      <c r="F169" s="2274"/>
      <c r="G169" s="2274"/>
      <c r="H169" s="2274"/>
      <c r="I169" s="2274"/>
      <c r="J169" s="2274"/>
      <c r="K169" s="2274"/>
      <c r="L169" s="2274"/>
      <c r="M169" s="2274"/>
      <c r="N169" s="2274"/>
      <c r="O169" s="2274"/>
      <c r="P169" s="2274"/>
      <c r="Q169" s="2274"/>
    </row>
    <row r="170" spans="2:17" s="749" customFormat="1">
      <c r="B170" s="2274"/>
      <c r="C170" s="2274"/>
      <c r="D170" s="2274"/>
      <c r="E170" s="2274"/>
      <c r="F170" s="2274"/>
      <c r="G170" s="2274"/>
      <c r="H170" s="2274"/>
      <c r="I170" s="2274"/>
      <c r="J170" s="2274"/>
      <c r="K170" s="2274"/>
      <c r="L170" s="2274"/>
      <c r="M170" s="2274"/>
      <c r="N170" s="2274"/>
      <c r="O170" s="2274"/>
      <c r="P170" s="2274"/>
      <c r="Q170" s="2274"/>
    </row>
    <row r="171" spans="2:17" s="749" customFormat="1">
      <c r="B171" s="2274"/>
      <c r="C171" s="2274"/>
      <c r="D171" s="2274"/>
      <c r="E171" s="2274"/>
      <c r="F171" s="2274"/>
      <c r="G171" s="2274"/>
      <c r="H171" s="2274"/>
      <c r="I171" s="2274"/>
      <c r="J171" s="2274"/>
      <c r="K171" s="2274"/>
      <c r="L171" s="2274"/>
      <c r="M171" s="2274"/>
      <c r="N171" s="2274"/>
      <c r="O171" s="2274"/>
      <c r="P171" s="2274"/>
      <c r="Q171" s="2274"/>
    </row>
    <row r="172" spans="2:17" s="749" customFormat="1">
      <c r="B172" s="2274"/>
      <c r="C172" s="2274"/>
      <c r="D172" s="2274"/>
      <c r="E172" s="2274"/>
      <c r="F172" s="2274"/>
      <c r="G172" s="2274"/>
      <c r="H172" s="2274"/>
      <c r="I172" s="2274"/>
      <c r="J172" s="2274"/>
      <c r="K172" s="2274"/>
      <c r="L172" s="2274"/>
      <c r="M172" s="2274"/>
      <c r="N172" s="2274"/>
      <c r="O172" s="2274"/>
      <c r="P172" s="2274"/>
      <c r="Q172" s="2274"/>
    </row>
    <row r="173" spans="2:17" s="749" customFormat="1">
      <c r="B173" s="2274"/>
      <c r="C173" s="2274"/>
      <c r="D173" s="2274"/>
      <c r="E173" s="2274"/>
      <c r="F173" s="2274"/>
      <c r="G173" s="2274"/>
      <c r="H173" s="2274"/>
      <c r="I173" s="2274"/>
      <c r="J173" s="2274"/>
      <c r="K173" s="2274"/>
      <c r="L173" s="2274"/>
      <c r="M173" s="2274"/>
      <c r="N173" s="2274"/>
      <c r="O173" s="2274"/>
      <c r="P173" s="2274"/>
      <c r="Q173" s="2274"/>
    </row>
    <row r="174" spans="2:17" s="749" customFormat="1">
      <c r="B174" s="2274"/>
      <c r="C174" s="2274"/>
      <c r="D174" s="2274"/>
      <c r="E174" s="2274"/>
      <c r="F174" s="2274"/>
      <c r="G174" s="2274"/>
      <c r="H174" s="2274"/>
      <c r="I174" s="2274"/>
      <c r="J174" s="2274"/>
      <c r="K174" s="2274"/>
      <c r="L174" s="2274"/>
      <c r="M174" s="2274"/>
      <c r="N174" s="2274"/>
      <c r="O174" s="2274"/>
      <c r="P174" s="2274"/>
      <c r="Q174" s="2274"/>
    </row>
    <row r="175" spans="2:17" s="749" customFormat="1">
      <c r="B175" s="2274"/>
      <c r="C175" s="2274"/>
      <c r="D175" s="2274"/>
      <c r="E175" s="2274"/>
      <c r="F175" s="2274"/>
      <c r="G175" s="2274"/>
      <c r="H175" s="2274"/>
      <c r="I175" s="2274"/>
      <c r="J175" s="2274"/>
      <c r="K175" s="2274"/>
      <c r="L175" s="2274"/>
      <c r="M175" s="2274"/>
      <c r="N175" s="2274"/>
      <c r="O175" s="2274"/>
      <c r="P175" s="2274"/>
      <c r="Q175" s="2274"/>
    </row>
    <row r="176" spans="2:17" s="749" customFormat="1">
      <c r="B176" s="2274"/>
      <c r="C176" s="2274"/>
      <c r="D176" s="2274"/>
      <c r="E176" s="2274"/>
      <c r="F176" s="2274"/>
      <c r="G176" s="2274"/>
      <c r="H176" s="2274"/>
      <c r="I176" s="2274"/>
      <c r="J176" s="2274"/>
      <c r="K176" s="2274"/>
      <c r="L176" s="2274"/>
      <c r="M176" s="2274"/>
      <c r="N176" s="2274"/>
      <c r="O176" s="2274"/>
      <c r="P176" s="2274"/>
      <c r="Q176" s="2274"/>
    </row>
    <row r="177" spans="1:17" s="749" customFormat="1">
      <c r="B177" s="2274"/>
      <c r="C177" s="2274"/>
      <c r="D177" s="2274"/>
      <c r="E177" s="2274"/>
      <c r="F177" s="2274"/>
      <c r="G177" s="2274"/>
      <c r="H177" s="2274"/>
      <c r="I177" s="2274"/>
      <c r="J177" s="2274"/>
      <c r="K177" s="2274"/>
      <c r="L177" s="2274"/>
      <c r="M177" s="2274"/>
      <c r="N177" s="2274"/>
      <c r="O177" s="2274"/>
      <c r="P177" s="2274"/>
      <c r="Q177" s="2274"/>
    </row>
    <row r="178" spans="1:17" s="749" customFormat="1">
      <c r="B178" s="2274"/>
      <c r="C178" s="2274"/>
      <c r="D178" s="2274"/>
      <c r="E178" s="2274"/>
      <c r="F178" s="2274"/>
      <c r="G178" s="2274"/>
      <c r="H178" s="2274"/>
      <c r="I178" s="2274"/>
      <c r="J178" s="2274"/>
      <c r="K178" s="2274"/>
      <c r="L178" s="2274"/>
      <c r="M178" s="2274"/>
      <c r="N178" s="2274"/>
      <c r="O178" s="2274"/>
      <c r="P178" s="2274"/>
      <c r="Q178" s="2274"/>
    </row>
    <row r="179" spans="1:17" s="749" customFormat="1">
      <c r="B179" s="2274"/>
      <c r="C179" s="2274"/>
      <c r="D179" s="2274"/>
      <c r="E179" s="2274"/>
      <c r="F179" s="2274"/>
      <c r="G179" s="2274"/>
      <c r="H179" s="2274"/>
      <c r="I179" s="2274"/>
      <c r="J179" s="2274"/>
      <c r="K179" s="2274"/>
      <c r="L179" s="2274"/>
      <c r="M179" s="2274"/>
      <c r="N179" s="2274"/>
      <c r="O179" s="2274"/>
      <c r="P179" s="2274"/>
      <c r="Q179" s="2274"/>
    </row>
    <row r="180" spans="1:17" s="749" customFormat="1">
      <c r="B180" s="2274"/>
      <c r="C180" s="2274"/>
      <c r="D180" s="2274"/>
      <c r="E180" s="2274"/>
      <c r="F180" s="2274"/>
      <c r="G180" s="2274"/>
      <c r="H180" s="2274"/>
      <c r="I180" s="2274"/>
      <c r="J180" s="2274"/>
      <c r="K180" s="2274"/>
      <c r="L180" s="2274"/>
      <c r="M180" s="2274"/>
      <c r="N180" s="2274"/>
      <c r="O180" s="2274"/>
      <c r="P180" s="2274"/>
      <c r="Q180" s="2274"/>
    </row>
    <row r="181" spans="1:17" s="749" customFormat="1">
      <c r="B181" s="2274"/>
      <c r="C181" s="2274"/>
      <c r="D181" s="2274"/>
      <c r="E181" s="2274"/>
      <c r="F181" s="2274"/>
      <c r="G181" s="2274"/>
      <c r="H181" s="2274"/>
      <c r="I181" s="2274"/>
      <c r="J181" s="2274"/>
      <c r="K181" s="2274"/>
      <c r="L181" s="2274"/>
      <c r="M181" s="2274"/>
      <c r="N181" s="2274"/>
      <c r="O181" s="2274"/>
      <c r="P181" s="2274"/>
      <c r="Q181" s="2274"/>
    </row>
    <row r="182" spans="1:17" s="749" customFormat="1">
      <c r="B182" s="2274"/>
      <c r="C182" s="2274"/>
      <c r="D182" s="2274"/>
      <c r="E182" s="2274"/>
      <c r="F182" s="2274"/>
      <c r="G182" s="2274"/>
      <c r="H182" s="2274"/>
      <c r="I182" s="2274"/>
      <c r="J182" s="2274"/>
      <c r="K182" s="2274"/>
      <c r="L182" s="2274"/>
      <c r="M182" s="2274"/>
      <c r="N182" s="2274"/>
      <c r="O182" s="2274"/>
      <c r="P182" s="2274"/>
      <c r="Q182" s="2274"/>
    </row>
    <row r="183" spans="1:17" s="749" customFormat="1">
      <c r="B183" s="2274"/>
      <c r="C183" s="2274"/>
      <c r="D183" s="2274"/>
      <c r="E183" s="2274"/>
      <c r="F183" s="2274"/>
      <c r="G183" s="2274"/>
      <c r="H183" s="2274"/>
      <c r="I183" s="2274"/>
      <c r="J183" s="2274"/>
      <c r="K183" s="2274"/>
      <c r="L183" s="2274"/>
      <c r="M183" s="2274"/>
      <c r="N183" s="2274"/>
      <c r="O183" s="2274"/>
      <c r="P183" s="2274"/>
      <c r="Q183" s="2274"/>
    </row>
    <row r="184" spans="1:17" s="749" customFormat="1">
      <c r="B184" s="2274"/>
      <c r="C184" s="2274"/>
      <c r="D184" s="2274"/>
      <c r="E184" s="2274"/>
      <c r="F184" s="2274"/>
      <c r="G184" s="2274"/>
      <c r="H184" s="2274"/>
      <c r="I184" s="2274"/>
      <c r="J184" s="2274"/>
      <c r="K184" s="2274"/>
      <c r="L184" s="2274"/>
      <c r="M184" s="2274"/>
      <c r="N184" s="2274"/>
      <c r="O184" s="2274"/>
      <c r="P184" s="2274"/>
      <c r="Q184" s="2274"/>
    </row>
    <row r="185" spans="1:17" s="749" customFormat="1">
      <c r="B185" s="2274"/>
      <c r="C185" s="2274"/>
      <c r="D185" s="2274"/>
      <c r="E185" s="2274"/>
      <c r="F185" s="2274"/>
      <c r="G185" s="2274"/>
      <c r="H185" s="2274"/>
      <c r="I185" s="2274"/>
      <c r="J185" s="2274"/>
      <c r="K185" s="2274"/>
      <c r="L185" s="2274"/>
      <c r="M185" s="2274"/>
      <c r="N185" s="2274"/>
      <c r="O185" s="2274"/>
      <c r="P185" s="2274"/>
      <c r="Q185" s="2274"/>
    </row>
    <row r="186" spans="1:17">
      <c r="A186" s="749"/>
      <c r="B186" s="2274"/>
      <c r="C186" s="2274"/>
      <c r="E186" s="2274"/>
      <c r="F186" s="2274"/>
      <c r="G186" s="2274"/>
    </row>
    <row r="187" spans="1:17">
      <c r="A187" s="749"/>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4" sqref="L14"/>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102814.69</v>
      </c>
      <c r="C1" s="2459"/>
      <c r="D1" s="2459"/>
      <c r="E1" s="2459"/>
      <c r="F1" s="2459"/>
      <c r="G1" s="2460"/>
      <c r="H1" s="2460"/>
      <c r="I1" s="2460"/>
      <c r="J1" s="2460"/>
      <c r="K1" s="2460"/>
    </row>
    <row r="2" spans="1:11" ht="16.5">
      <c r="A2" s="2297" t="s">
        <v>653</v>
      </c>
      <c r="B2" s="2297">
        <f>SUM(C14:C23)</f>
        <v>31860</v>
      </c>
      <c r="C2" s="2459"/>
      <c r="D2" s="2459"/>
      <c r="E2" s="2459"/>
      <c r="F2" s="2459"/>
      <c r="G2" s="2460"/>
      <c r="H2" s="2460"/>
      <c r="I2" s="2460"/>
      <c r="J2" s="2460"/>
      <c r="K2" s="2460"/>
    </row>
    <row r="3" spans="1:11" ht="16.5">
      <c r="A3" s="2297" t="s">
        <v>662</v>
      </c>
      <c r="B3" s="2299">
        <f>项目基本情况!D3</f>
        <v>45607</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82479</v>
      </c>
      <c r="C5" s="2297">
        <f ca="1">IF(B5=D14,结果表!H102,ROUND(B5*10000/$B$1,0))</f>
        <v>8022</v>
      </c>
      <c r="D5" s="2297">
        <f ca="1">ROUND(B5*10000/$B$2,0)</f>
        <v>25888</v>
      </c>
      <c r="E5" s="2459"/>
      <c r="F5" s="2460"/>
      <c r="G5" s="2460"/>
      <c r="H5" s="2460"/>
      <c r="I5" s="2460"/>
      <c r="J5" s="2460"/>
      <c r="K5" s="2460"/>
    </row>
    <row r="6" spans="1:11" ht="16.5">
      <c r="A6" s="2297" t="s">
        <v>656</v>
      </c>
      <c r="B6" s="2297">
        <f ca="1">SUM(G14:G23)</f>
        <v>77479</v>
      </c>
      <c r="C6" s="2297">
        <f ca="1">IF(B6=G14,结果表!H108,ROUND(B6*10000/$B$1,0))</f>
        <v>7536</v>
      </c>
      <c r="D6" s="2297">
        <f ca="1">ROUND(B6*10000/$B$2,0)</f>
        <v>24319</v>
      </c>
      <c r="E6" s="2459"/>
      <c r="F6" s="2460"/>
      <c r="G6" s="2460"/>
      <c r="H6" s="2460"/>
      <c r="I6" s="2460"/>
      <c r="J6" s="2460"/>
      <c r="K6" s="2460"/>
    </row>
    <row r="7" spans="1:11" ht="16.5">
      <c r="A7" s="2297" t="s">
        <v>664</v>
      </c>
      <c r="B7" s="2297">
        <f>SUM(H14:H23)</f>
        <v>0</v>
      </c>
      <c r="C7" s="2297" t="str">
        <f>IF(B7=H14,结果表!H110,ROUND(B7*10000/$B$1,0))</f>
        <v>——</v>
      </c>
      <c r="D7" s="2297">
        <f>ROUND(B7*10000/$B$2,0)</f>
        <v>0</v>
      </c>
      <c r="E7" s="2459"/>
      <c r="F7" s="2460"/>
      <c r="G7" s="2460"/>
      <c r="H7" s="2460"/>
      <c r="I7" s="2460"/>
      <c r="J7" s="2460"/>
      <c r="K7" s="2460"/>
    </row>
    <row r="8" spans="1:11" ht="16.5">
      <c r="A8" s="2297" t="s">
        <v>587</v>
      </c>
      <c r="B8" s="2297">
        <f ca="1">SUM(I14:I23)</f>
        <v>66450</v>
      </c>
      <c r="C8" s="2297" t="str">
        <f ca="1">IF(B8=I14,结果表!H112,ROUND(B8*10000/$B$1,0))</f>
        <v>——</v>
      </c>
      <c r="D8" s="2297">
        <f ca="1">ROUND(B8*10000/$B$2,0)</f>
        <v>20857</v>
      </c>
      <c r="E8" s="2459"/>
      <c r="F8" s="2460"/>
      <c r="G8" s="2460"/>
      <c r="H8" s="2460"/>
      <c r="I8" s="2460"/>
      <c r="J8" s="2460"/>
      <c r="K8" s="2460"/>
    </row>
    <row r="9" spans="1:11" ht="16.5">
      <c r="A9" s="2297" t="s">
        <v>655</v>
      </c>
      <c r="B9" s="1241"/>
      <c r="C9" s="2459"/>
      <c r="D9" s="2459"/>
      <c r="E9" s="2459"/>
      <c r="F9" s="2460"/>
      <c r="G9" s="2460"/>
      <c r="H9" s="2460"/>
      <c r="I9" s="2460"/>
      <c r="J9" s="2460"/>
      <c r="K9" s="2460"/>
    </row>
    <row r="10" spans="1:11" ht="16.5">
      <c r="A10" s="2297" t="s">
        <v>654</v>
      </c>
      <c r="B10" s="2297">
        <f>IF(E10="",0,ROUND(B1*(E10*365/G10)/10000,0))</f>
        <v>0</v>
      </c>
      <c r="C10" s="2297" t="s">
        <v>3358</v>
      </c>
      <c r="D10" s="2297" t="s">
        <v>3359</v>
      </c>
      <c r="E10" s="3134"/>
      <c r="F10" s="3138" t="s">
        <v>3360</v>
      </c>
      <c r="G10" s="3135"/>
      <c r="H10" s="2460"/>
      <c r="I10" s="2460"/>
      <c r="J10" s="2460"/>
      <c r="K10" s="2460"/>
    </row>
    <row r="11" spans="1:11" ht="16.5">
      <c r="A11" s="2297" t="s">
        <v>670</v>
      </c>
      <c r="B11" s="1241"/>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'数据-汇总表'!E3</f>
        <v>48377.229999999996</v>
      </c>
      <c r="C14" s="2303">
        <f>'数据-汇总表'!D3</f>
        <v>14991.03</v>
      </c>
      <c r="D14" s="2303">
        <f ca="1">结果表!G19</f>
        <v>39843</v>
      </c>
      <c r="E14" s="2303">
        <f ca="1">ROUND(D14*10000/B14,0)</f>
        <v>8236</v>
      </c>
      <c r="F14" s="2303">
        <f ca="1">ROUND(D14*10000/C14,0)</f>
        <v>26578</v>
      </c>
      <c r="G14" s="2303">
        <f ca="1">系统读取表!D14</f>
        <v>39843</v>
      </c>
      <c r="H14" s="2303"/>
      <c r="I14" s="2303">
        <f ca="1">结果表!N59</f>
        <v>66450</v>
      </c>
      <c r="J14" s="2460"/>
      <c r="K14" s="2460"/>
    </row>
    <row r="15" spans="1:11" ht="16.5">
      <c r="A15" s="2302" t="s">
        <v>649</v>
      </c>
      <c r="B15" s="2304">
        <f>[2]系统读取表!$B$14</f>
        <v>54437.460000000006</v>
      </c>
      <c r="C15" s="2304">
        <f>[2]系统读取表!$C$14</f>
        <v>16868.97</v>
      </c>
      <c r="D15" s="2304">
        <f ca="1">[2]系统读取表!$D$14</f>
        <v>42636</v>
      </c>
      <c r="E15" s="2303">
        <f t="shared" ref="E15:E23" ca="1" si="0">ROUND(D15*10000/B15,0)</f>
        <v>7832</v>
      </c>
      <c r="F15" s="2303">
        <f t="shared" ref="F15:F23" ca="1" si="1">ROUND(D15*10000/C15,0)</f>
        <v>25275</v>
      </c>
      <c r="G15" s="1241">
        <f ca="1">D15-面积清单!B74</f>
        <v>37636</v>
      </c>
      <c r="H15" s="1241"/>
      <c r="I15" s="2304"/>
      <c r="J15" s="2460"/>
      <c r="K15" s="2460"/>
    </row>
    <row r="16" spans="1:11" ht="16.5">
      <c r="A16" s="2302" t="s">
        <v>648</v>
      </c>
      <c r="B16" s="2304"/>
      <c r="C16" s="2304"/>
      <c r="D16" s="2304"/>
      <c r="E16" s="2303" t="e">
        <f t="shared" si="0"/>
        <v>#DIV/0!</v>
      </c>
      <c r="F16" s="2303" t="e">
        <f t="shared" si="1"/>
        <v>#DIV/0!</v>
      </c>
      <c r="G16" s="1241"/>
      <c r="H16" s="1241"/>
      <c r="I16" s="2304"/>
      <c r="J16" s="2460"/>
      <c r="K16" s="2460"/>
    </row>
    <row r="17" spans="1:11" ht="16.5">
      <c r="A17" s="2302" t="s">
        <v>647</v>
      </c>
      <c r="B17" s="2304"/>
      <c r="C17" s="2304"/>
      <c r="D17" s="2304"/>
      <c r="E17" s="2303" t="e">
        <f t="shared" si="0"/>
        <v>#DIV/0!</v>
      </c>
      <c r="F17" s="2303" t="e">
        <f t="shared" si="1"/>
        <v>#DIV/0!</v>
      </c>
      <c r="G17" s="1241"/>
      <c r="H17" s="1241"/>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1" t="e">
        <f t="shared" si="0"/>
        <v>#DIV/0!</v>
      </c>
      <c r="F23" s="1241"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8" zoomScaleNormal="100" zoomScaleSheetLayoutView="100" zoomScalePageLayoutView="80" workbookViewId="0">
      <selection activeCell="P64" sqref="P64"/>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t="s">
        <v>3569</v>
      </c>
      <c r="H1" s="1618" t="str">
        <f>IF(G1="现房","——","估价对象范围")</f>
        <v>——</v>
      </c>
      <c r="I1" s="1619"/>
    </row>
    <row r="2" spans="1:12" ht="21.75" customHeight="1" thickBot="1">
      <c r="A2" s="3331" t="str">
        <f>项目基本情况!S2</f>
        <v>北京市房地产</v>
      </c>
      <c r="B2" s="3332"/>
      <c r="C2" s="3332"/>
      <c r="D2" s="3332"/>
      <c r="E2" s="3332"/>
      <c r="F2" s="3332"/>
      <c r="G2" s="3332"/>
      <c r="H2" s="3332"/>
      <c r="I2" s="3333"/>
    </row>
    <row r="3" spans="1:12" ht="12.75">
      <c r="A3" s="3335" t="s">
        <v>1264</v>
      </c>
      <c r="B3" s="3336"/>
      <c r="C3" s="3336"/>
      <c r="D3" s="3336"/>
      <c r="E3" s="3336"/>
      <c r="F3" s="3336"/>
      <c r="G3" s="3336"/>
      <c r="H3" s="3336"/>
      <c r="I3" s="3336"/>
    </row>
    <row r="4" spans="1:12" ht="14.25">
      <c r="A4" s="1621" t="s">
        <v>1265</v>
      </c>
      <c r="B4" s="1622" t="s">
        <v>1266</v>
      </c>
      <c r="C4" s="1623" t="s">
        <v>3634</v>
      </c>
      <c r="D4" s="1623" t="s">
        <v>3635</v>
      </c>
      <c r="E4" s="3337" t="s">
        <v>1267</v>
      </c>
      <c r="F4" s="3338"/>
      <c r="G4" s="3338"/>
      <c r="H4" s="3338"/>
      <c r="I4" s="3339"/>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311" t="s">
        <v>1268</v>
      </c>
      <c r="B5" s="3298">
        <v>25</v>
      </c>
      <c r="C5" s="3314"/>
      <c r="D5" s="3334"/>
      <c r="E5" s="123" t="s">
        <v>1269</v>
      </c>
      <c r="F5" s="1624"/>
      <c r="G5" s="1624"/>
      <c r="H5" s="1624"/>
      <c r="I5" s="1278"/>
    </row>
    <row r="6" spans="1:12" ht="12.75">
      <c r="A6" s="3311"/>
      <c r="B6" s="3298"/>
      <c r="C6" s="3315"/>
      <c r="D6" s="3334"/>
      <c r="E6" s="123" t="s">
        <v>1270</v>
      </c>
      <c r="F6" s="1624"/>
      <c r="G6" s="1624"/>
      <c r="H6" s="1624"/>
      <c r="I6" s="1278"/>
    </row>
    <row r="7" spans="1:12" ht="12.75">
      <c r="A7" s="3311"/>
      <c r="B7" s="3298"/>
      <c r="C7" s="3316"/>
      <c r="D7" s="3334"/>
      <c r="E7" s="123" t="s">
        <v>1271</v>
      </c>
      <c r="F7" s="1624"/>
      <c r="G7" s="1624"/>
      <c r="H7" s="1624"/>
      <c r="I7" s="1278"/>
    </row>
    <row r="8" spans="1:12" ht="12.75">
      <c r="A8" s="3311" t="s">
        <v>1272</v>
      </c>
      <c r="B8" s="3298">
        <v>15</v>
      </c>
      <c r="C8" s="3314"/>
      <c r="D8" s="3334"/>
      <c r="E8" s="123" t="s">
        <v>1273</v>
      </c>
      <c r="F8" s="1624"/>
      <c r="G8" s="1624"/>
      <c r="H8" s="1624"/>
      <c r="I8" s="1278"/>
    </row>
    <row r="9" spans="1:12" ht="12.75">
      <c r="A9" s="3311"/>
      <c r="B9" s="3298"/>
      <c r="C9" s="3316"/>
      <c r="D9" s="3334"/>
      <c r="E9" s="123" t="s">
        <v>1274</v>
      </c>
      <c r="F9" s="1624"/>
      <c r="G9" s="1624"/>
      <c r="H9" s="1624"/>
      <c r="I9" s="1278"/>
    </row>
    <row r="10" spans="1:12" ht="12.75">
      <c r="A10" s="3311" t="s">
        <v>1275</v>
      </c>
      <c r="B10" s="3298">
        <v>15</v>
      </c>
      <c r="C10" s="3314"/>
      <c r="D10" s="3334"/>
      <c r="E10" s="123" t="s">
        <v>1276</v>
      </c>
      <c r="F10" s="1624"/>
      <c r="G10" s="1624"/>
      <c r="H10" s="1624"/>
      <c r="I10" s="1278"/>
    </row>
    <row r="11" spans="1:12" ht="12.75">
      <c r="A11" s="3311"/>
      <c r="B11" s="3298"/>
      <c r="C11" s="3316"/>
      <c r="D11" s="3334"/>
      <c r="E11" s="123" t="s">
        <v>1277</v>
      </c>
      <c r="F11" s="1624"/>
      <c r="G11" s="1624"/>
      <c r="H11" s="1624"/>
      <c r="I11" s="1278"/>
    </row>
    <row r="12" spans="1:12" ht="12.75">
      <c r="A12" s="3311" t="s">
        <v>1278</v>
      </c>
      <c r="B12" s="3298">
        <v>15</v>
      </c>
      <c r="C12" s="3314"/>
      <c r="D12" s="3334"/>
      <c r="E12" s="123" t="s">
        <v>1279</v>
      </c>
      <c r="F12" s="1624"/>
      <c r="G12" s="1624"/>
      <c r="H12" s="1624"/>
      <c r="I12" s="1278"/>
    </row>
    <row r="13" spans="1:12" ht="12.75">
      <c r="A13" s="3311"/>
      <c r="B13" s="3298"/>
      <c r="C13" s="3316"/>
      <c r="D13" s="3334"/>
      <c r="E13" s="123" t="s">
        <v>1280</v>
      </c>
      <c r="F13" s="1624"/>
      <c r="G13" s="1624"/>
      <c r="H13" s="1624"/>
      <c r="I13" s="1278"/>
    </row>
    <row r="14" spans="1:12" ht="12.75">
      <c r="A14" s="3311" t="s">
        <v>1281</v>
      </c>
      <c r="B14" s="3298">
        <v>30</v>
      </c>
      <c r="C14" s="3314">
        <v>5</v>
      </c>
      <c r="D14" s="3334">
        <v>5</v>
      </c>
      <c r="E14" s="123" t="s">
        <v>1282</v>
      </c>
      <c r="F14" s="1624"/>
      <c r="G14" s="1624"/>
      <c r="H14" s="1624"/>
      <c r="I14" s="1278"/>
    </row>
    <row r="15" spans="1:12" ht="12.75">
      <c r="A15" s="3311"/>
      <c r="B15" s="3298"/>
      <c r="C15" s="3315"/>
      <c r="D15" s="3334"/>
      <c r="E15" s="123" t="s">
        <v>1283</v>
      </c>
      <c r="F15" s="1624"/>
      <c r="G15" s="1624"/>
      <c r="H15" s="1624"/>
      <c r="I15" s="1278"/>
    </row>
    <row r="16" spans="1:12" ht="12.75">
      <c r="A16" s="3311"/>
      <c r="B16" s="3298"/>
      <c r="C16" s="3316"/>
      <c r="D16" s="3334"/>
      <c r="E16" s="123" t="s">
        <v>1284</v>
      </c>
      <c r="F16" s="1624"/>
      <c r="G16" s="1624"/>
      <c r="H16" s="1624"/>
      <c r="I16" s="1278"/>
    </row>
    <row r="17" spans="1:36" ht="15">
      <c r="A17" s="1625" t="s">
        <v>1285</v>
      </c>
      <c r="B17" s="54"/>
      <c r="C17" s="124">
        <f>SUM(C5:C16)</f>
        <v>5</v>
      </c>
      <c r="D17" s="124">
        <f>SUM(D5:D16)</f>
        <v>5</v>
      </c>
      <c r="E17" s="121"/>
      <c r="F17" s="121"/>
      <c r="G17" s="121"/>
      <c r="H17" s="121"/>
      <c r="I17" s="121"/>
      <c r="K17" s="293"/>
      <c r="L17" s="293" t="s">
        <v>1286</v>
      </c>
      <c r="M17" s="293" t="s">
        <v>1287</v>
      </c>
    </row>
    <row r="18" spans="1:36" ht="31.9" customHeight="1" thickBot="1">
      <c r="A18" s="1626" t="s">
        <v>1288</v>
      </c>
      <c r="B18" s="1539"/>
      <c r="C18" s="125">
        <f>ROUND(C17/SUM(C17:D17),2)</f>
        <v>0.5</v>
      </c>
      <c r="D18" s="125">
        <f>1-C18</f>
        <v>0.5</v>
      </c>
      <c r="E18" s="3321" t="s">
        <v>2131</v>
      </c>
      <c r="F18" s="3322"/>
      <c r="G18" s="3322"/>
      <c r="H18" s="3322"/>
      <c r="I18" s="3322"/>
      <c r="K18" s="293" t="s">
        <v>1289</v>
      </c>
      <c r="L18" s="293">
        <f>IF(C1="",'数据-汇总表'!E3,SUMIF(项目类型,C1,'数据-汇总表'!E17:E26)+SUMIF(项目类型,C1,'数据-汇总表'!I17:I26))</f>
        <v>48377.229999999996</v>
      </c>
      <c r="M18" s="293">
        <f>IF(C1="",'数据-汇总表'!E3,SUMIF(项目类型,C1,'数据-汇总表'!E17:E26))</f>
        <v>48377.229999999996</v>
      </c>
    </row>
    <row r="19" spans="1:36" ht="15">
      <c r="A19" s="1627" t="s">
        <v>1290</v>
      </c>
      <c r="B19" s="1628" t="s">
        <v>1291</v>
      </c>
      <c r="C19" s="126">
        <f ca="1">SUMIF(INDIRECT("'"&amp;C4&amp;"'"&amp;"!A:A"),结果表!B19,INDIRECT("'"&amp;C4&amp;"'"&amp;"!B:B"))</f>
        <v>37123</v>
      </c>
      <c r="D19" s="127">
        <f ca="1">SUMIF(INDIRECT("'"&amp;D4&amp;"'"&amp;"!A:A"),结果表!B19,INDIRECT("'"&amp;D4&amp;"'"&amp;"!B:B"))</f>
        <v>42562</v>
      </c>
      <c r="E19" s="1627" t="s">
        <v>1292</v>
      </c>
      <c r="F19" s="1628" t="s">
        <v>1291</v>
      </c>
      <c r="G19" s="128">
        <f ca="1">ROUND(C19*$C$18+D19*$D$18,0)</f>
        <v>39843</v>
      </c>
      <c r="H19" s="1629" t="s">
        <v>1293</v>
      </c>
      <c r="I19" s="121"/>
      <c r="K19" s="293" t="s">
        <v>1294</v>
      </c>
      <c r="L19" s="293">
        <f>IF(C1="",'数据-汇总表'!D3,SUMIF(项目类型,C1,'数据-汇总表'!D17:D26)+SUMIF(项目类型,C1,'数据-汇总表'!H17:H27))</f>
        <v>14991.03</v>
      </c>
      <c r="M19" s="293">
        <f>IF(C1="",'数据-汇总表'!D3,SUMIF(项目类型,C1,'数据-汇总表'!D17:D26))</f>
        <v>14991.03</v>
      </c>
    </row>
    <row r="20" spans="1:36" ht="15">
      <c r="A20" s="1630"/>
      <c r="B20" s="43" t="s">
        <v>1295</v>
      </c>
      <c r="C20" s="129">
        <f ca="1">SUMIF(INDIRECT("'"&amp;C4&amp;"'"&amp;"!A:A"),结果表!B20,INDIRECT("'"&amp;C4&amp;"'"&amp;"!B:B"))</f>
        <v>7674</v>
      </c>
      <c r="D20" s="130">
        <f ca="1">SUMIF(INDIRECT("'"&amp;D4&amp;"'"&amp;"!A:A"),结果表!B20,INDIRECT("'"&amp;D4&amp;"'"&amp;"!B:B"))</f>
        <v>8798</v>
      </c>
      <c r="E20" s="1630"/>
      <c r="F20" s="43" t="s">
        <v>1295</v>
      </c>
      <c r="G20" s="131">
        <f ca="1">ROUND(C20*$C$18+D20*$D$18,0)</f>
        <v>8236</v>
      </c>
      <c r="H20" s="758" t="s">
        <v>1296</v>
      </c>
      <c r="I20" s="121"/>
    </row>
    <row r="21" spans="1:36" ht="15" customHeight="1" thickBot="1">
      <c r="A21" s="448"/>
      <c r="B21" s="93" t="s">
        <v>1297</v>
      </c>
      <c r="C21" s="676">
        <f ca="1">ROUND(C19*10000/L19,0)</f>
        <v>24763</v>
      </c>
      <c r="D21" s="677">
        <f ca="1">ROUND(D19*10000/L19,0)</f>
        <v>28392</v>
      </c>
      <c r="E21" s="448"/>
      <c r="F21" s="93" t="s">
        <v>1297</v>
      </c>
      <c r="G21" s="132">
        <f ca="1">ROUND(G19*10000/L19,0)</f>
        <v>26578</v>
      </c>
      <c r="H21" s="1631" t="s">
        <v>1296</v>
      </c>
      <c r="I21" s="121"/>
    </row>
    <row r="22" spans="1:36" ht="15" thickBot="1">
      <c r="A22" s="1561" t="s">
        <v>1298</v>
      </c>
      <c r="B22" s="1632"/>
      <c r="C22" s="1633"/>
      <c r="D22" s="678">
        <f ca="1">IF(C19&lt;D19,D19/C19-1,C19/D19-1)</f>
        <v>0.14651294345823351</v>
      </c>
      <c r="E22" s="121"/>
      <c r="F22" s="121"/>
      <c r="G22" s="121"/>
      <c r="H22" s="121"/>
      <c r="I22" s="121"/>
    </row>
    <row r="23" spans="1:36" ht="13.5" thickBot="1">
      <c r="A23" s="644"/>
      <c r="B23" s="644"/>
      <c r="C23" s="644"/>
      <c r="D23" s="644"/>
      <c r="E23" s="121"/>
      <c r="F23" s="121"/>
      <c r="G23" s="121"/>
      <c r="H23" s="121"/>
      <c r="I23" s="121"/>
    </row>
    <row r="24" spans="1:36" ht="14.25">
      <c r="A24" s="3305" t="s">
        <v>1299</v>
      </c>
      <c r="B24" s="1628" t="s">
        <v>1291</v>
      </c>
      <c r="C24" s="128">
        <f>IF(B30=0,0,D30)</f>
        <v>0</v>
      </c>
      <c r="D24" s="1634"/>
      <c r="E24" s="121"/>
      <c r="F24" s="121"/>
      <c r="G24" s="121"/>
      <c r="H24" s="121"/>
      <c r="I24" s="121"/>
    </row>
    <row r="25" spans="1:36" ht="14.25">
      <c r="A25" s="3306"/>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4.25">
      <c r="A27" s="1636"/>
      <c r="B27" s="134">
        <v>0</v>
      </c>
      <c r="C27" s="134">
        <v>0</v>
      </c>
      <c r="D27" s="135"/>
      <c r="E27" s="121"/>
      <c r="F27" s="121"/>
      <c r="G27" s="121"/>
      <c r="H27" s="121"/>
      <c r="I27" s="121"/>
    </row>
    <row r="28" spans="1:36" ht="14.25">
      <c r="A28" s="1636"/>
      <c r="B28" s="134"/>
      <c r="C28" s="134"/>
      <c r="D28" s="135"/>
      <c r="E28" s="121"/>
      <c r="F28" s="121"/>
      <c r="G28" s="121"/>
      <c r="H28" s="121"/>
      <c r="I28" s="121"/>
    </row>
    <row r="29" spans="1:36" ht="14.25">
      <c r="A29" s="1636"/>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5"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3203">
        <f ca="1">G19</f>
        <v>39843</v>
      </c>
      <c r="D32" s="1638" t="s">
        <v>3636</v>
      </c>
      <c r="E32" s="121"/>
      <c r="F32" s="121"/>
      <c r="G32" s="121"/>
      <c r="H32" s="121"/>
      <c r="I32" s="121"/>
    </row>
    <row r="33" spans="1:15" ht="15">
      <c r="A33" s="738" t="s">
        <v>1306</v>
      </c>
      <c r="B33" s="123"/>
      <c r="C33" s="1639" t="s">
        <v>3637</v>
      </c>
      <c r="D33" s="1640" t="s">
        <v>3634</v>
      </c>
      <c r="E33" s="1641" t="s">
        <v>1307</v>
      </c>
      <c r="F33" s="1642" t="str">
        <f>IF(D32="楼面单价","取值（单价）","取值（总价）")</f>
        <v>取值（总价）</v>
      </c>
      <c r="G33" s="121"/>
      <c r="H33" s="121"/>
      <c r="I33" s="121"/>
    </row>
    <row r="34" spans="1:15" ht="15">
      <c r="A34" s="1643"/>
      <c r="B34" s="1644" t="s">
        <v>1308</v>
      </c>
      <c r="C34" s="139">
        <f ca="1">IF(C33="自定义",F34,C32-C35)</f>
        <v>7969</v>
      </c>
      <c r="D34" s="806">
        <f ca="1">IF(C33="自定义",ROUND(C34/C32,3),IF(C33="收益比率",SUMIF(INDIRECT("'"&amp;D33&amp;"'"&amp;"!b:b"),"土地收益比率",INDIRECT("'"&amp;D33&amp;"'"&amp;"!c:c")),SUMIF(INDIRECT("'"&amp;D33&amp;"'"&amp;"!b:b"),"土地成本比率",INDIRECT("'"&amp;D33&amp;"'"&amp;"!c:c"))))</f>
        <v>0.19999999999999996</v>
      </c>
      <c r="E34" s="1645" t="s">
        <v>1309</v>
      </c>
      <c r="F34" s="1240">
        <f>成本法!C5</f>
        <v>4914</v>
      </c>
      <c r="G34" s="121"/>
      <c r="H34" s="121"/>
      <c r="I34" s="121"/>
    </row>
    <row r="35" spans="1:15" ht="15.75" thickBot="1">
      <c r="A35" s="1646"/>
      <c r="B35" s="1647" t="s">
        <v>1310</v>
      </c>
      <c r="C35" s="1087">
        <f ca="1">IF(C33="自定义",F35,ROUND(C32*D35,0))</f>
        <v>31874</v>
      </c>
      <c r="D35" s="1088">
        <f ca="1">IF(C33="自定义",ROUND(C35/C32,3),IF(C33="收益比率",SUMIF(INDIRECT("'"&amp;D33&amp;"'"&amp;"!b:b"),"建筑物收益比率",INDIRECT("'"&amp;D33&amp;"'"&amp;"!c:c")),SUMIF(INDIRECT("'"&amp;D33&amp;"'"&amp;"!b:b"),"建筑物成本比率",INDIRECT("'"&amp;D33&amp;"'"&amp;"!c:c"))))</f>
        <v>0.8</v>
      </c>
      <c r="E35" s="1648" t="s">
        <v>1311</v>
      </c>
      <c r="F35" s="145">
        <f ca="1">C32-F34</f>
        <v>34929</v>
      </c>
      <c r="G35" s="121"/>
      <c r="H35" s="121"/>
      <c r="I35" s="121"/>
    </row>
    <row r="36" spans="1:15" ht="15.75" thickBot="1">
      <c r="A36" s="3325" t="s">
        <v>1312</v>
      </c>
      <c r="B36" s="1649" t="s">
        <v>1313</v>
      </c>
      <c r="C36" s="136"/>
      <c r="D36" s="1650"/>
      <c r="E36" s="1564"/>
      <c r="F36" s="1651"/>
      <c r="G36" s="121"/>
      <c r="H36" s="121"/>
      <c r="I36" s="121"/>
    </row>
    <row r="37" spans="1:15" ht="15.75" thickBot="1">
      <c r="A37" s="3326"/>
      <c r="B37" s="1552" t="s">
        <v>1314</v>
      </c>
      <c r="C37" s="138"/>
      <c r="D37" s="1068"/>
      <c r="E37" s="1068"/>
      <c r="F37" s="1651"/>
      <c r="G37" s="121"/>
      <c r="H37" s="121"/>
      <c r="I37" s="121"/>
    </row>
    <row r="38" spans="1:15" ht="15.75" thickBot="1">
      <c r="A38" s="3327"/>
      <c r="B38" s="1652" t="s">
        <v>1315</v>
      </c>
      <c r="C38" s="639"/>
      <c r="D38" s="1653" t="s">
        <v>1316</v>
      </c>
      <c r="E38" s="1068"/>
      <c r="F38" s="1651"/>
      <c r="G38" s="121"/>
      <c r="H38" s="121"/>
      <c r="I38" s="121"/>
    </row>
    <row r="39" spans="1:15" ht="15">
      <c r="A39" s="1630" t="s">
        <v>1317</v>
      </c>
      <c r="B39" s="1654" t="s">
        <v>1318</v>
      </c>
      <c r="C39" s="1655" t="s">
        <v>1319</v>
      </c>
      <c r="D39" s="1655" t="s">
        <v>1320</v>
      </c>
      <c r="E39" s="1656" t="s">
        <v>1321</v>
      </c>
      <c r="F39" s="1651"/>
      <c r="G39" s="121"/>
      <c r="H39" s="121"/>
      <c r="I39" s="121"/>
    </row>
    <row r="40" spans="1:15" ht="14.25">
      <c r="A40" s="1657" t="s">
        <v>1322</v>
      </c>
      <c r="B40" s="140"/>
      <c r="C40" s="141"/>
      <c r="D40" s="141"/>
      <c r="E40" s="142"/>
      <c r="F40" s="1651"/>
      <c r="G40" s="121"/>
      <c r="H40" s="121"/>
      <c r="I40" s="121"/>
    </row>
    <row r="41" spans="1:15" ht="14.25">
      <c r="A41" s="1657" t="s">
        <v>1323</v>
      </c>
      <c r="B41" s="140"/>
      <c r="C41" s="141"/>
      <c r="D41" s="141"/>
      <c r="E41" s="142"/>
      <c r="F41" s="1651"/>
      <c r="G41" s="121"/>
      <c r="H41" s="121"/>
      <c r="I41" s="121"/>
    </row>
    <row r="42" spans="1:15" ht="15" thickBot="1">
      <c r="A42" s="1658"/>
      <c r="B42" s="143"/>
      <c r="C42" s="144"/>
      <c r="D42" s="144"/>
      <c r="E42" s="145"/>
      <c r="F42" s="1651"/>
      <c r="G42" s="121"/>
      <c r="H42" s="121"/>
      <c r="I42" s="121"/>
    </row>
    <row r="43" spans="1:15" ht="12.75">
      <c r="A43" s="1464"/>
      <c r="B43" s="1464"/>
      <c r="C43" s="1464"/>
      <c r="D43" s="1464"/>
      <c r="E43" s="1464"/>
      <c r="F43" s="1659"/>
      <c r="G43" s="1659"/>
      <c r="H43" s="1659"/>
      <c r="I43" s="1660"/>
    </row>
    <row r="44" spans="1:15" ht="18.75">
      <c r="A44" s="1461" t="s">
        <v>1324</v>
      </c>
      <c r="B44" s="1661"/>
      <c r="C44" s="1661"/>
      <c r="D44" s="3185" t="s">
        <v>3695</v>
      </c>
      <c r="E44" s="1662"/>
      <c r="F44" s="1663"/>
      <c r="G44" s="1663"/>
      <c r="H44" s="1663"/>
      <c r="I44" s="1663"/>
      <c r="J44" s="1664" t="s">
        <v>1325</v>
      </c>
      <c r="K44" s="4"/>
      <c r="L44" s="4"/>
      <c r="M44" s="4"/>
      <c r="N44" s="4"/>
      <c r="O44" s="4"/>
    </row>
    <row r="45" spans="1:15" ht="14.25" customHeight="1" thickBot="1">
      <c r="A45" s="3302" t="s">
        <v>1326</v>
      </c>
      <c r="B45" s="3303"/>
      <c r="C45" s="3304"/>
      <c r="D45" s="3184">
        <f ca="1">G19+[2]结果表!$G$19</f>
        <v>82479</v>
      </c>
      <c r="E45" s="147" t="s">
        <v>1327</v>
      </c>
      <c r="F45" s="148">
        <v>1</v>
      </c>
      <c r="G45" s="149" t="s">
        <v>1328</v>
      </c>
      <c r="H45" s="121"/>
      <c r="I45" s="121"/>
      <c r="J45" s="3380" t="s">
        <v>1329</v>
      </c>
      <c r="K45" s="3380"/>
      <c r="L45" s="3380"/>
      <c r="M45" s="3380"/>
      <c r="N45" s="3380"/>
      <c r="O45" s="3380"/>
    </row>
    <row r="46" spans="1:15" ht="14.25" customHeight="1">
      <c r="A46" s="3299" t="s">
        <v>1330</v>
      </c>
      <c r="B46" s="3300"/>
      <c r="C46" s="3300"/>
      <c r="D46" s="3300"/>
      <c r="E46" s="3300"/>
      <c r="F46" s="3300"/>
      <c r="G46" s="3301"/>
      <c r="H46" s="1665"/>
      <c r="I46" s="150"/>
      <c r="J46" s="2307">
        <v>1</v>
      </c>
      <c r="K46" s="3361" t="s">
        <v>1331</v>
      </c>
      <c r="L46" s="3361"/>
      <c r="M46" s="3381"/>
      <c r="N46" s="3381"/>
      <c r="O46" s="3381"/>
    </row>
    <row r="47" spans="1:15" ht="12" customHeight="1">
      <c r="A47" s="151" t="s">
        <v>1332</v>
      </c>
      <c r="B47" s="152"/>
      <c r="C47" s="153"/>
      <c r="D47" s="1022" t="s">
        <v>1333</v>
      </c>
      <c r="E47" s="293" t="s">
        <v>1334</v>
      </c>
      <c r="F47" s="154" t="s">
        <v>1335</v>
      </c>
      <c r="G47" s="2330" t="s">
        <v>1336</v>
      </c>
      <c r="H47" s="2331"/>
      <c r="I47" s="150"/>
      <c r="J47" s="2307">
        <v>2</v>
      </c>
      <c r="K47" s="3361" t="s">
        <v>1337</v>
      </c>
      <c r="L47" s="3361"/>
      <c r="M47" s="3382">
        <f>'数据-取费表'!B2</f>
        <v>45607</v>
      </c>
      <c r="N47" s="3382"/>
      <c r="O47" s="3382"/>
    </row>
    <row r="48" spans="1:15" ht="25.5">
      <c r="A48" s="3330" t="s">
        <v>1338</v>
      </c>
      <c r="B48" s="3313"/>
      <c r="C48" s="3313"/>
      <c r="D48" s="12">
        <f ca="1">IF(H48="情况1",0,IF(H48="情况2",D52,IF(H48="情况3",D53,IF(H48="情况4",D54))))</f>
        <v>4399</v>
      </c>
      <c r="E48" s="1253" t="str">
        <f>IF(H48="情况4","(销售额-原购置价)×税（费）率","销售额×税（费）率")</f>
        <v>销售额×税（费）率</v>
      </c>
      <c r="F48" s="2332">
        <f>IF(H48="情况1","免征",'数据-取费表'!B41)</f>
        <v>5.6000000000000001E-2</v>
      </c>
      <c r="G48" s="2333" t="s">
        <v>1339</v>
      </c>
      <c r="H48" s="2334" t="s">
        <v>3638</v>
      </c>
      <c r="I48" s="1665"/>
      <c r="J48" s="2307">
        <v>3</v>
      </c>
      <c r="K48" s="3361" t="s">
        <v>1340</v>
      </c>
      <c r="L48" s="3361"/>
      <c r="M48" s="3383">
        <f ca="1">D45</f>
        <v>82479</v>
      </c>
      <c r="N48" s="3383"/>
      <c r="O48" s="3383"/>
    </row>
    <row r="49" spans="1:35" ht="25.5" customHeight="1">
      <c r="A49" s="2149" t="s">
        <v>1341</v>
      </c>
      <c r="B49" s="3297" t="s">
        <v>1342</v>
      </c>
      <c r="C49" s="3297"/>
      <c r="D49" s="1475">
        <v>0</v>
      </c>
      <c r="E49" s="315" t="s">
        <v>1343</v>
      </c>
      <c r="F49" s="2230" t="s">
        <v>28</v>
      </c>
      <c r="G49" s="3367"/>
      <c r="H49" s="2131" t="s">
        <v>2134</v>
      </c>
      <c r="I49" s="2132"/>
      <c r="J49" s="2307">
        <v>4</v>
      </c>
      <c r="K49" s="3361" t="str">
        <f>IF(项目基本情况!E8="房地产抵押价值","房地产抵押价值","抵押担保权已注销时的房地产抵押价值")</f>
        <v>房地产抵押价值</v>
      </c>
      <c r="L49" s="3361"/>
      <c r="M49" s="3384">
        <f ca="1">M48-面积清单!B74</f>
        <v>77479</v>
      </c>
      <c r="N49" s="3384"/>
      <c r="O49" s="3384"/>
      <c r="P49" s="3204" t="s">
        <v>3714</v>
      </c>
    </row>
    <row r="50" spans="1:35" ht="25.5" customHeight="1">
      <c r="A50" s="2335"/>
      <c r="B50" s="3297" t="s">
        <v>1344</v>
      </c>
      <c r="C50" s="3297"/>
      <c r="D50" s="2186"/>
      <c r="E50" s="322"/>
      <c r="F50" s="2230"/>
      <c r="G50" s="3368"/>
      <c r="H50" s="2133" t="s">
        <v>2135</v>
      </c>
      <c r="I50" s="2132"/>
      <c r="J50" s="3380" t="s">
        <v>1345</v>
      </c>
      <c r="K50" s="3380"/>
      <c r="L50" s="3380"/>
      <c r="M50" s="3380"/>
      <c r="N50" s="3380"/>
      <c r="O50" s="3380"/>
    </row>
    <row r="51" spans="1:35" ht="20.45" customHeight="1">
      <c r="A51" s="2336"/>
      <c r="B51" s="3297" t="s">
        <v>1346</v>
      </c>
      <c r="C51" s="3297"/>
      <c r="D51" s="1022"/>
      <c r="E51" s="318"/>
      <c r="F51" s="2230"/>
      <c r="G51" s="3369"/>
      <c r="H51" s="2133" t="s">
        <v>2136</v>
      </c>
      <c r="I51" s="2132"/>
      <c r="J51" s="2308" t="s">
        <v>1347</v>
      </c>
      <c r="K51" s="3361" t="s">
        <v>1348</v>
      </c>
      <c r="L51" s="3361"/>
      <c r="M51" s="2308" t="s">
        <v>1349</v>
      </c>
      <c r="N51" s="2308" t="s">
        <v>1350</v>
      </c>
      <c r="O51" s="2308" t="s">
        <v>1351</v>
      </c>
    </row>
    <row r="52" spans="1:35" ht="24" customHeight="1">
      <c r="A52" s="2150" t="s">
        <v>1352</v>
      </c>
      <c r="B52" s="3297" t="s">
        <v>1353</v>
      </c>
      <c r="C52" s="3297"/>
      <c r="D52" s="1022">
        <f ca="1">ROUND(D45*'数据-取费表'!B41/(1+'数据-取费表'!C42),0)</f>
        <v>4399</v>
      </c>
      <c r="E52" s="1253" t="s">
        <v>1354</v>
      </c>
      <c r="F52" s="2337">
        <f>'数据-取费表'!B41</f>
        <v>5.6000000000000001E-2</v>
      </c>
      <c r="G52" s="2338"/>
      <c r="H52" s="2328"/>
      <c r="I52" s="1666"/>
      <c r="J52" s="2307">
        <v>1</v>
      </c>
      <c r="K52" s="3362" t="s">
        <v>1355</v>
      </c>
      <c r="L52" s="3362"/>
      <c r="M52" s="2309">
        <f ca="1">D48</f>
        <v>4399</v>
      </c>
      <c r="N52" s="2307" t="str">
        <f>E48</f>
        <v>销售额×税（费）率</v>
      </c>
      <c r="O52" s="2310">
        <f>F48</f>
        <v>5.6000000000000001E-2</v>
      </c>
    </row>
    <row r="53" spans="1:35" ht="12" customHeight="1">
      <c r="A53" s="2150" t="s">
        <v>1356</v>
      </c>
      <c r="B53" s="3323" t="s">
        <v>2291</v>
      </c>
      <c r="C53" s="3324"/>
      <c r="D53" s="1022">
        <f ca="1">ROUND(D45*'数据-取费表'!B41/(1+'数据-取费表'!C42),0)</f>
        <v>4399</v>
      </c>
      <c r="E53" s="1253" t="s">
        <v>1354</v>
      </c>
      <c r="F53" s="2337">
        <f>'数据-取费表'!B41</f>
        <v>5.6000000000000001E-2</v>
      </c>
      <c r="G53" s="2338"/>
      <c r="H53" s="2328"/>
      <c r="I53" s="1666"/>
      <c r="J53" s="2307">
        <v>2</v>
      </c>
      <c r="K53" s="3362" t="s">
        <v>1357</v>
      </c>
      <c r="L53" s="3362"/>
      <c r="M53" s="2309">
        <f t="shared" ref="M53:O54" ca="1" si="0">D55</f>
        <v>41</v>
      </c>
      <c r="N53" s="2307" t="str">
        <f t="shared" si="0"/>
        <v>销售额×税（费）率</v>
      </c>
      <c r="O53" s="2310">
        <f t="shared" si="0"/>
        <v>5.0000000000000001E-4</v>
      </c>
    </row>
    <row r="54" spans="1:35" ht="12" customHeight="1">
      <c r="A54" s="2150" t="s">
        <v>1358</v>
      </c>
      <c r="B54" s="3323" t="s">
        <v>2292</v>
      </c>
      <c r="C54" s="3324"/>
      <c r="D54" s="1022">
        <f ca="1">C68</f>
        <v>4399</v>
      </c>
      <c r="E54" s="318" t="s">
        <v>1359</v>
      </c>
      <c r="F54" s="2337">
        <f>'数据-取费表'!B41</f>
        <v>5.6000000000000001E-2</v>
      </c>
      <c r="G54" s="2338"/>
      <c r="H54" s="2339"/>
      <c r="I54" s="1666"/>
      <c r="J54" s="2307">
        <v>3</v>
      </c>
      <c r="K54" s="3362" t="s">
        <v>1360</v>
      </c>
      <c r="L54" s="3362"/>
      <c r="M54" s="2309">
        <f t="shared" ca="1" si="0"/>
        <v>6589</v>
      </c>
      <c r="N54" s="2307" t="str">
        <f t="shared" si="0"/>
        <v>增值额×税（费）率</v>
      </c>
      <c r="O54" s="2311" t="str">
        <f t="shared" si="0"/>
        <v>——</v>
      </c>
    </row>
    <row r="55" spans="1:35" ht="24" customHeight="1">
      <c r="A55" s="3312" t="s">
        <v>1361</v>
      </c>
      <c r="B55" s="3313"/>
      <c r="C55" s="3313"/>
      <c r="D55" s="12">
        <f ca="1">IF(H55="个人住宅",0,ROUND(D45*I55,0))</f>
        <v>41</v>
      </c>
      <c r="E55" s="1253" t="s">
        <v>1362</v>
      </c>
      <c r="F55" s="2337">
        <f>IF(H55="正常",I55,"免征")</f>
        <v>5.0000000000000001E-4</v>
      </c>
      <c r="G55" s="2338"/>
      <c r="H55" s="2334" t="s">
        <v>3639</v>
      </c>
      <c r="I55" s="156">
        <f>'数据-取费表'!B49</f>
        <v>5.0000000000000001E-4</v>
      </c>
      <c r="J55" s="2307" t="str">
        <f>IF(H59="非个人房产","",4)</f>
        <v/>
      </c>
      <c r="K55" s="3362" t="str">
        <f>IF(H59="非个人房产","——","个人所得税")</f>
        <v>——</v>
      </c>
      <c r="L55" s="3362"/>
      <c r="M55" s="2312" t="str">
        <f>D59</f>
        <v>——</v>
      </c>
      <c r="N55" s="1880" t="str">
        <f>E59</f>
        <v>——</v>
      </c>
      <c r="O55" s="2313" t="str">
        <f>F59</f>
        <v>——</v>
      </c>
    </row>
    <row r="56" spans="1:35" ht="24.75">
      <c r="A56" s="3312" t="s">
        <v>1363</v>
      </c>
      <c r="B56" s="3313"/>
      <c r="C56" s="3313"/>
      <c r="D56" s="12">
        <f ca="1">IF(H56="个人住宅",D57,D58)</f>
        <v>6589</v>
      </c>
      <c r="E56" s="1253" t="s">
        <v>1364</v>
      </c>
      <c r="F56" s="2337" t="str">
        <f>IF(H56="正常",F58,"免征")</f>
        <v>——</v>
      </c>
      <c r="G56" s="2340" t="s">
        <v>1365</v>
      </c>
      <c r="H56" s="2341" t="s">
        <v>3639</v>
      </c>
      <c r="I56" s="1667"/>
      <c r="J56" s="2307" t="str">
        <f>IF(项目基本情况!K6="上海银行",IF(J55="",4,J55+1),"")</f>
        <v/>
      </c>
      <c r="K56" s="3386" t="str">
        <f>IF(项目基本情况!K6="上海银行","其他处置费用","")</f>
        <v/>
      </c>
      <c r="L56" s="3387"/>
      <c r="M56" s="2309" t="str">
        <f>IF(项目基本情况!K6="上海银行",M69,"")</f>
        <v/>
      </c>
      <c r="N56" s="3386" t="str">
        <f>IF(项目基本情况!K6="上海银行","包含处置中涉及的律师、诉讼、拍卖、评估等费用","")</f>
        <v/>
      </c>
      <c r="O56" s="3389"/>
    </row>
    <row r="57" spans="1:35" ht="12.75">
      <c r="A57" s="2150" t="s">
        <v>1341</v>
      </c>
      <c r="B57" s="3323" t="s">
        <v>1366</v>
      </c>
      <c r="C57" s="3324"/>
      <c r="D57" s="1475">
        <v>0</v>
      </c>
      <c r="E57" s="315" t="s">
        <v>1343</v>
      </c>
      <c r="F57" s="293"/>
      <c r="G57" s="2338"/>
      <c r="H57" s="2342"/>
      <c r="I57" s="1667"/>
      <c r="J57" s="3362">
        <f>IF(AND(J55="",J56=""),4,IF(项目基本情况!K6="上海银行",结果表!J56+1,结果表!J55+1))</f>
        <v>4</v>
      </c>
      <c r="K57" s="3362" t="s">
        <v>1367</v>
      </c>
      <c r="L57" s="2314" t="s">
        <v>1368</v>
      </c>
      <c r="M57" s="2315"/>
      <c r="N57" s="2316">
        <f ca="1">SUMIF(M52:M56,"&lt;9e307")</f>
        <v>11029</v>
      </c>
      <c r="O57" s="2317"/>
      <c r="P57" s="2462">
        <f ca="1">N57/M49</f>
        <v>0.14234824920300984</v>
      </c>
    </row>
    <row r="58" spans="1:35" ht="24.75">
      <c r="A58" s="2150" t="s">
        <v>1352</v>
      </c>
      <c r="B58" s="3323" t="s">
        <v>1369</v>
      </c>
      <c r="C58" s="3297"/>
      <c r="D58" s="12">
        <f ca="1">IF(H58="转让取得",C81,C97)</f>
        <v>6589</v>
      </c>
      <c r="E58" s="1253" t="s">
        <v>1364</v>
      </c>
      <c r="F58" s="293" t="s">
        <v>28</v>
      </c>
      <c r="G58" s="2338"/>
      <c r="H58" s="2341" t="s">
        <v>3640</v>
      </c>
      <c r="I58" s="1667"/>
      <c r="J58" s="3362"/>
      <c r="K58" s="3362"/>
      <c r="L58" s="2314" t="s">
        <v>1370</v>
      </c>
      <c r="M58" s="2318"/>
      <c r="N58" s="2319" t="str">
        <f ca="1">NUMBERSTRING(INT(N57*10000),2)&amp;"元整"</f>
        <v>壹亿壹仟零贰拾玖万元整</v>
      </c>
      <c r="O58" s="2320"/>
    </row>
    <row r="59" spans="1:35" ht="24.75" thickBot="1">
      <c r="A59" s="3365" t="s">
        <v>1371</v>
      </c>
      <c r="B59" s="3366"/>
      <c r="C59" s="3366"/>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5" t="s">
        <v>3641</v>
      </c>
      <c r="I59" s="2134" t="s">
        <v>2137</v>
      </c>
      <c r="J59" s="3363">
        <f>J57+1</f>
        <v>5</v>
      </c>
      <c r="K59" s="3362" t="s">
        <v>1372</v>
      </c>
      <c r="L59" s="2307" t="s">
        <v>1368</v>
      </c>
      <c r="M59" s="2321"/>
      <c r="N59" s="2322">
        <f ca="1">M49-N57</f>
        <v>66450</v>
      </c>
      <c r="O59" s="2323"/>
    </row>
    <row r="60" spans="1:35" ht="12" customHeight="1">
      <c r="A60" s="1668"/>
      <c r="B60" s="644"/>
      <c r="C60" s="644"/>
      <c r="D60" s="644"/>
      <c r="E60" s="1463"/>
      <c r="F60" s="1667"/>
      <c r="G60" s="1667"/>
      <c r="H60" s="150"/>
      <c r="I60" s="121"/>
      <c r="J60" s="3364"/>
      <c r="K60" s="3362"/>
      <c r="L60" s="2314" t="s">
        <v>1370</v>
      </c>
      <c r="M60" s="2318"/>
      <c r="N60" s="2319" t="str">
        <f ca="1">NUMBERSTRING(INT(N59*10000),2)&amp;"元整"</f>
        <v>陆亿陆仟肆佰伍拾万元整</v>
      </c>
      <c r="O60" s="2320"/>
    </row>
    <row r="61" spans="1:35" ht="13.5" thickBot="1">
      <c r="A61" s="3310" t="s">
        <v>1373</v>
      </c>
      <c r="B61" s="3310"/>
      <c r="C61" s="3310"/>
      <c r="D61" s="3310"/>
      <c r="E61" s="3310"/>
      <c r="F61" s="1667"/>
      <c r="G61" s="1667"/>
      <c r="H61" s="150"/>
      <c r="I61" s="121"/>
      <c r="J61" s="2307">
        <f>J59+1</f>
        <v>6</v>
      </c>
      <c r="K61" s="3362" t="s">
        <v>1374</v>
      </c>
      <c r="L61" s="3362"/>
      <c r="M61" s="2324"/>
      <c r="N61" s="2325">
        <f ca="1">ROUND(N59*10000/'数据-汇总表'!E3,0)</f>
        <v>13736</v>
      </c>
      <c r="O61" s="2326"/>
    </row>
    <row r="62" spans="1:35" ht="12.75">
      <c r="A62" s="3328" t="s">
        <v>1375</v>
      </c>
      <c r="B62" s="3329"/>
      <c r="C62" s="1862"/>
      <c r="D62" s="1862" t="s">
        <v>1376</v>
      </c>
      <c r="E62" s="157" t="s">
        <v>1377</v>
      </c>
      <c r="F62" s="1667"/>
      <c r="G62" s="1667"/>
      <c r="H62" s="150"/>
      <c r="I62" s="121"/>
    </row>
    <row r="63" spans="1:35" ht="12.75">
      <c r="A63" s="164" t="s">
        <v>330</v>
      </c>
      <c r="B63" s="158" t="s">
        <v>1378</v>
      </c>
      <c r="C63" s="2347">
        <f ca="1">ROUND((C64+C65)/(1+'数据-取费表'!C42),0)</f>
        <v>78551</v>
      </c>
      <c r="D63" s="158"/>
      <c r="E63" s="159"/>
      <c r="F63" s="1667"/>
      <c r="G63" s="1667"/>
      <c r="H63" s="150"/>
      <c r="I63" s="121"/>
      <c r="J63" s="3388" t="s">
        <v>1379</v>
      </c>
      <c r="K63" s="1242" t="s">
        <v>1380</v>
      </c>
      <c r="L63" s="1242">
        <f ca="1">IF(M49&gt;10000,M49*0.5%,IF(AND(M49&gt;1000,M49&lt;=10000),M49*1%,IF(AND(M49&gt;100,M49&lt;=1000),M49*3%,IF(AND(M49&gt;10,M49&lt;=100),M49*5%,M49*8%))))</f>
        <v>387.39499999999998</v>
      </c>
      <c r="M63" s="293">
        <f ca="1">ROUND(L63,1)</f>
        <v>387.4</v>
      </c>
      <c r="N63" s="2327"/>
      <c r="Z63" s="1620"/>
      <c r="AI63" s="1558"/>
    </row>
    <row r="64" spans="1:35" ht="14.25" customHeight="1">
      <c r="A64" s="160" t="s">
        <v>325</v>
      </c>
      <c r="B64" s="161" t="s">
        <v>1381</v>
      </c>
      <c r="C64" s="2348">
        <f ca="1">D45</f>
        <v>82479</v>
      </c>
      <c r="D64" s="161" t="s">
        <v>26</v>
      </c>
      <c r="E64" s="163"/>
      <c r="F64" s="1667"/>
      <c r="G64" s="1667"/>
      <c r="H64" s="150"/>
      <c r="I64" s="121"/>
      <c r="J64" s="3388"/>
      <c r="K64" s="1242" t="s">
        <v>1382</v>
      </c>
      <c r="L64" s="1242">
        <f ca="1">IF(M49&gt;2000,M49*0.5%,IF(AND(M49&gt;1000,M49&lt;=2000),M49*0.6%,IF(AND(M49&gt;500,M49&lt;=1000),M49*0.7%,IF(AND(M49&gt;200,M49&lt;=500),M49*0.8%,IF(AND(M49&gt;100,M49&lt;=200),M49*0.9%,IF(AND(M49&gt;50,M49&lt;=100),M49*1%,IF(AND(M49&gt;20,M49&lt;=50),M49*1.5%,IF(AND(M49&gt;10,M49&lt;=20),M49*2%,IF(AND(M49&gt;1,M49&lt;=10),M49*2.5%)))))))))</f>
        <v>387.39499999999998</v>
      </c>
      <c r="M64" s="293">
        <f t="shared" ref="M64:M65" ca="1" si="1">ROUND(L64,1)</f>
        <v>387.4</v>
      </c>
      <c r="N64" s="2328" t="s">
        <v>1383</v>
      </c>
      <c r="Z64" s="1620"/>
      <c r="AI64" s="1558"/>
    </row>
    <row r="65" spans="1:35" ht="14.25" customHeight="1">
      <c r="A65" s="160" t="s">
        <v>326</v>
      </c>
      <c r="B65" s="161" t="s">
        <v>1384</v>
      </c>
      <c r="C65" s="2349"/>
      <c r="D65" s="161"/>
      <c r="E65" s="163"/>
      <c r="F65" s="1667"/>
      <c r="G65" s="1667"/>
      <c r="H65" s="150"/>
      <c r="I65" s="121"/>
      <c r="J65" s="3388"/>
      <c r="K65" s="1242" t="s">
        <v>1385</v>
      </c>
      <c r="L65" s="1242">
        <f ca="1">IF(M49&gt;1000,M49*0.1%,IF(AND(M49&gt;500,M49&lt;=1000),M49*0.5%,IF(AND(M49&gt;50,M49&lt;=500),M49*1%,IF(AND(M49&gt;1,M49&lt;=50),M49*1.5%))))</f>
        <v>77.478999999999999</v>
      </c>
      <c r="M65" s="293">
        <f t="shared" ca="1" si="1"/>
        <v>77.5</v>
      </c>
      <c r="N65" s="2328" t="s">
        <v>1383</v>
      </c>
      <c r="Z65" s="1620"/>
      <c r="AI65" s="1558"/>
    </row>
    <row r="66" spans="1:35" ht="14.25" customHeight="1">
      <c r="A66" s="164" t="s">
        <v>327</v>
      </c>
      <c r="B66" s="165" t="s">
        <v>1386</v>
      </c>
      <c r="C66" s="2350"/>
      <c r="D66" s="165" t="s">
        <v>26</v>
      </c>
      <c r="E66" s="1248" t="s">
        <v>671</v>
      </c>
      <c r="F66" s="1667"/>
      <c r="G66" s="1667"/>
      <c r="H66" s="150"/>
      <c r="I66" s="121"/>
      <c r="J66" s="3388"/>
      <c r="K66" s="1242" t="s">
        <v>1387</v>
      </c>
      <c r="L66" s="1242">
        <f ca="1">M49*0.5%</f>
        <v>387.39499999999998</v>
      </c>
      <c r="M66" s="293">
        <f ca="1">IF(L66&gt;0.5,0.5,ROUND(L66,0))</f>
        <v>0.5</v>
      </c>
      <c r="N66" s="2328" t="s">
        <v>1388</v>
      </c>
      <c r="Z66" s="1620"/>
      <c r="AI66" s="1558"/>
    </row>
    <row r="67" spans="1:35" ht="14.25" customHeight="1">
      <c r="A67" s="164" t="s">
        <v>328</v>
      </c>
      <c r="B67" s="165" t="s">
        <v>1389</v>
      </c>
      <c r="C67" s="2351">
        <f ca="1">C63-C66</f>
        <v>78551</v>
      </c>
      <c r="D67" s="161" t="s">
        <v>26</v>
      </c>
      <c r="E67" s="163"/>
      <c r="F67" s="1667"/>
      <c r="G67" s="1667"/>
      <c r="H67" s="150"/>
      <c r="I67" s="121"/>
      <c r="J67" s="3388"/>
      <c r="K67" s="1242" t="s">
        <v>1390</v>
      </c>
      <c r="L67" s="1242">
        <f ca="1">IF(M49&gt;=10000,(8.25+(M49-10000)*0.01%),IF(AND(M49&gt;=8000,M49&lt;10000),(7.85+(M49-8000)*0.02%),IF(AND(M49&gt;=5000,M49&lt;8000),(6.65+(M49-5000)*0.04%),IF(AND(M49&gt;=2000,M49&lt;5000),(4.25+(PM49-2000)*0.08%),IF(AND(M49&gt;=1000,M49&lt;2000),(2.75+(M49-1000)*0.15%),IF(AND(M49&gt;=100,M49&lt;1000),(0.5+(M49-100)*0.25%),IF(AND(M49&gt;0,M49&lt;100),M49*0.5%)))))))</f>
        <v>14.997900000000001</v>
      </c>
      <c r="M67" s="293">
        <f ca="1">ROUND(L67*0.9,1)</f>
        <v>13.5</v>
      </c>
      <c r="N67" s="2327"/>
      <c r="Z67" s="1620"/>
      <c r="AI67" s="1558"/>
    </row>
    <row r="68" spans="1:35" ht="14.25" customHeight="1" thickBot="1">
      <c r="A68" s="167" t="s">
        <v>329</v>
      </c>
      <c r="B68" s="168" t="s">
        <v>1391</v>
      </c>
      <c r="C68" s="2352">
        <f ca="1">IF(C67&lt;=0,0,ROUND(C67*D68,0))</f>
        <v>4399</v>
      </c>
      <c r="D68" s="2353">
        <f>'数据-取费表'!B41</f>
        <v>5.6000000000000001E-2</v>
      </c>
      <c r="E68" s="169"/>
      <c r="F68" s="1667"/>
      <c r="G68" s="1667"/>
      <c r="H68" s="150"/>
      <c r="I68" s="121"/>
      <c r="J68" s="3388"/>
      <c r="K68" s="1242" t="s">
        <v>1392</v>
      </c>
      <c r="L68" s="1242">
        <f ca="1">IF(M49&gt;10000,M49*0.5%,IF(AND(M49&gt;5000,M49&lt;=10000),M49*1%,IF(AND(M49&gt;1000,M49&lt;=5000),M49*2%,IF(AND(M49&gt;200,M49&lt;=1000),M49*3%,M49*5%))))</f>
        <v>387.39499999999998</v>
      </c>
      <c r="M68" s="293">
        <f ca="1">ROUND(L68,1)</f>
        <v>387.4</v>
      </c>
      <c r="N68" s="2327"/>
      <c r="Z68" s="1620"/>
      <c r="AI68" s="1558"/>
    </row>
    <row r="69" spans="1:35" ht="16.5" customHeight="1">
      <c r="A69" s="1669"/>
      <c r="B69" s="1670"/>
      <c r="C69" s="1671"/>
      <c r="D69" s="1672"/>
      <c r="E69" s="1673"/>
      <c r="F69" s="1463"/>
      <c r="G69" s="1463"/>
      <c r="H69" s="1464"/>
      <c r="I69" s="644"/>
      <c r="J69" s="3388"/>
      <c r="K69" s="1242" t="s">
        <v>1393</v>
      </c>
      <c r="L69" s="1242"/>
      <c r="M69" s="293">
        <f ca="1">ROUND(SUM(M63:M68),0)</f>
        <v>1254</v>
      </c>
      <c r="N69" s="2329">
        <f ca="1">M69/M49</f>
        <v>1.6185030782534623E-2</v>
      </c>
      <c r="Z69" s="1620"/>
      <c r="AI69" s="1558"/>
    </row>
    <row r="70" spans="1:35" s="640" customFormat="1" ht="15" thickBot="1">
      <c r="A70" s="3349" t="s">
        <v>1394</v>
      </c>
      <c r="B70" s="3350"/>
      <c r="C70" s="3350"/>
      <c r="D70" s="3350"/>
      <c r="E70" s="3350"/>
      <c r="F70" s="3350"/>
      <c r="G70" s="3350"/>
      <c r="H70" s="3350"/>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28" t="s">
        <v>1375</v>
      </c>
      <c r="B71" s="3329"/>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4" t="s">
        <v>330</v>
      </c>
      <c r="B72" s="165" t="s">
        <v>1395</v>
      </c>
      <c r="C72" s="2351">
        <f ca="1">ROUND(D45/(1+'数据-取费表'!C42),0)</f>
        <v>78551</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4" t="s">
        <v>327</v>
      </c>
      <c r="B73" s="154" t="s">
        <v>1396</v>
      </c>
      <c r="C73" s="2351">
        <f ca="1">C74+C78</f>
        <v>471</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0" t="s">
        <v>331</v>
      </c>
      <c r="B75" s="161" t="s">
        <v>1398</v>
      </c>
      <c r="C75" s="2354"/>
      <c r="D75" s="161" t="s">
        <v>26</v>
      </c>
      <c r="E75" s="175" t="s">
        <v>1399</v>
      </c>
      <c r="F75" s="2355"/>
      <c r="G75" s="175" t="s">
        <v>1400</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7">
        <v>0.05</v>
      </c>
      <c r="E76" s="3323" t="s">
        <v>1402</v>
      </c>
      <c r="F76" s="3297"/>
      <c r="G76" s="3297"/>
      <c r="H76" s="3348"/>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8">
        <f>'数据-取费表'!B48+'数据-取费表'!B49</f>
        <v>3.0499999999999999E-2</v>
      </c>
      <c r="E77" s="12" t="s">
        <v>1404</v>
      </c>
      <c r="F77" s="177"/>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9">
        <f ca="1">ROUND(D45*D78/(1+'数据-取费表'!C42),0)</f>
        <v>471</v>
      </c>
      <c r="D78" s="2360">
        <f>'数据-取费表'!B43</f>
        <v>6.000000000000001E-3</v>
      </c>
      <c r="E78" s="3307" t="s">
        <v>1406</v>
      </c>
      <c r="F78" s="3308"/>
      <c r="G78" s="3308"/>
      <c r="H78" s="3317"/>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4" t="s">
        <v>334</v>
      </c>
      <c r="B79" s="165" t="s">
        <v>1407</v>
      </c>
      <c r="C79" s="2351">
        <f ca="1">C72-C73</f>
        <v>78080</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61">
        <f ca="1">IF(C79&lt;=0,0,C79/C73)</f>
        <v>165.77494692144373</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7" t="s">
        <v>336</v>
      </c>
      <c r="B81" s="168" t="s">
        <v>1409</v>
      </c>
      <c r="C81" s="2362">
        <f ca="1">ROUND(IF(C79&lt;=0,0,IF(C80&gt;=200%,C79*60%-C73*35%,IF(C80&gt;=100%,C79*50%-C73*15%,IF(C80&gt;=50%,C79*40%-C73*5%,IF(C80&lt;50%,C79*30%,0))))),0)</f>
        <v>46683</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49" t="s">
        <v>1410</v>
      </c>
      <c r="B83" s="3350"/>
      <c r="C83" s="3350"/>
      <c r="D83" s="3350"/>
      <c r="E83" s="3350"/>
      <c r="F83" s="3350"/>
      <c r="G83" s="3350"/>
      <c r="H83" s="3350"/>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28" t="s">
        <v>1375</v>
      </c>
      <c r="B84" s="3329"/>
      <c r="C84" s="1862"/>
      <c r="D84" s="1862"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4" t="s">
        <v>330</v>
      </c>
      <c r="B85" s="165" t="s">
        <v>1395</v>
      </c>
      <c r="C85" s="2351">
        <f ca="1">ROUND(D45/(1+'数据-取费表'!C42),0)</f>
        <v>78551</v>
      </c>
      <c r="D85" s="161" t="s">
        <v>26</v>
      </c>
      <c r="E85" s="1254"/>
      <c r="F85" s="1252"/>
      <c r="G85" s="1252"/>
      <c r="H85" s="183"/>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4" t="s">
        <v>327</v>
      </c>
      <c r="B86" s="154" t="s">
        <v>1396</v>
      </c>
      <c r="C86" s="2351">
        <f ca="1">IF(H88="仅含出让金",C87+C90+C91+C92+C93+C94,C87+C91+C92+C93+C94)</f>
        <v>56588.498200000002</v>
      </c>
      <c r="D86" s="2364"/>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0" t="s">
        <v>325</v>
      </c>
      <c r="B87" s="161" t="s">
        <v>1411</v>
      </c>
      <c r="C87" s="2359">
        <f>C88+C89</f>
        <v>5712.64</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0" t="s">
        <v>331</v>
      </c>
      <c r="B88" s="161" t="s">
        <v>1412</v>
      </c>
      <c r="C88" s="2365">
        <f>面积清单!N2/10000</f>
        <v>5543.64</v>
      </c>
      <c r="D88" s="2360"/>
      <c r="E88" s="184" t="s">
        <v>1413</v>
      </c>
      <c r="F88" s="2145"/>
      <c r="G88" s="185" t="s">
        <v>1414</v>
      </c>
      <c r="H88" s="1681" t="s">
        <v>3645</v>
      </c>
      <c r="I88" s="1678"/>
      <c r="J88" s="2305" t="s">
        <v>2288</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0" t="s">
        <v>332</v>
      </c>
      <c r="B89" s="161" t="s">
        <v>1403</v>
      </c>
      <c r="C89" s="2359">
        <f>ROUND(C88*D89,0)</f>
        <v>169</v>
      </c>
      <c r="D89" s="2360">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0" t="s">
        <v>326</v>
      </c>
      <c r="B90" s="161" t="s">
        <v>1416</v>
      </c>
      <c r="C90" s="2365"/>
      <c r="D90" s="2360"/>
      <c r="E90" s="184" t="str">
        <f>IF(H88="-","土地取得成本中已包含该笔费用"," ")</f>
        <v xml:space="preserve"> </v>
      </c>
      <c r="F90" s="2145"/>
      <c r="G90" s="3390" t="s">
        <v>2129</v>
      </c>
      <c r="H90" s="3391"/>
      <c r="I90" s="1678"/>
      <c r="J90" s="2305" t="s">
        <v>2289</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9">
        <f>IF(H91="——",成本法!C33,I91)</f>
        <v>41051.858200000002</v>
      </c>
      <c r="D91" s="2360"/>
      <c r="E91" s="3307" t="s">
        <v>1419</v>
      </c>
      <c r="F91" s="3308"/>
      <c r="G91" s="3308"/>
      <c r="H91" s="1682" t="s">
        <v>3646</v>
      </c>
      <c r="I91" s="1683">
        <f>ROUND(面积清单!B71/10000,4)</f>
        <v>41051.858200000002</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9">
        <f>ROUND((C87+C90+C91)*D92,0)</f>
        <v>0</v>
      </c>
      <c r="D92" s="2366"/>
      <c r="E92" s="3307" t="s">
        <v>1422</v>
      </c>
      <c r="F92" s="3308"/>
      <c r="G92" s="3308"/>
      <c r="H92" s="3317"/>
      <c r="I92" s="1678"/>
      <c r="J92" s="2306" t="s">
        <v>2290</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9">
        <f ca="1">ROUND(D45*D93/(1+'数据-取费表'!C42),0)</f>
        <v>471</v>
      </c>
      <c r="D93" s="2360">
        <f>'数据-取费表'!B43</f>
        <v>6.000000000000001E-3</v>
      </c>
      <c r="E93" s="3307" t="s">
        <v>1406</v>
      </c>
      <c r="F93" s="3308"/>
      <c r="G93" s="3308"/>
      <c r="H93" s="3317"/>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65">
        <f>ROUND((C87+C90+C91)*D94,0)</f>
        <v>9353</v>
      </c>
      <c r="D94" s="2360">
        <v>0.2</v>
      </c>
      <c r="E94" s="3318" t="s">
        <v>1426</v>
      </c>
      <c r="F94" s="3319"/>
      <c r="G94" s="3319"/>
      <c r="H94" s="3320"/>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4" t="s">
        <v>334</v>
      </c>
      <c r="B95" s="165" t="s">
        <v>1407</v>
      </c>
      <c r="C95" s="2351">
        <f ca="1">ROUND(C85-C86,0)</f>
        <v>21963</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61">
        <f ca="1">IF(C95&lt;=0,0,C95/C86)</f>
        <v>0.38811773944550448</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7" t="s">
        <v>336</v>
      </c>
      <c r="B97" s="168" t="s">
        <v>1409</v>
      </c>
      <c r="C97" s="2362">
        <f ca="1">ROUND(IF(C95&lt;=0,0,IF(C96&gt;=200%,C95*60%-C86*35%,IF(C96&gt;=100%,C95*50%-C86*15%,IF(C96&gt;=50%,C95*40%-C86*5%,IF(C96&lt;50%,C95*30%,0))))),0)</f>
        <v>6589</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1"/>
    </row>
    <row r="99" spans="1:35" ht="21.75" customHeight="1" thickBot="1">
      <c r="A99" s="1461" t="s">
        <v>1427</v>
      </c>
      <c r="B99" s="644"/>
      <c r="C99" s="644"/>
      <c r="D99" s="644"/>
      <c r="E99" s="1463"/>
      <c r="F99" s="1463"/>
      <c r="G99" s="1463"/>
      <c r="H99" s="1464"/>
      <c r="I99" s="121"/>
    </row>
    <row r="100" spans="1:35" ht="18.75" customHeight="1">
      <c r="A100" s="3291" t="s">
        <v>1428</v>
      </c>
      <c r="B100" s="3292"/>
      <c r="C100" s="3292"/>
      <c r="D100" s="3309"/>
      <c r="E100" s="3292" t="s">
        <v>1429</v>
      </c>
      <c r="F100" s="3292"/>
      <c r="G100" s="3292"/>
      <c r="H100" s="3309"/>
      <c r="I100" s="121"/>
    </row>
    <row r="101" spans="1:35" ht="18.75" customHeight="1">
      <c r="A101" s="3370" t="s">
        <v>1430</v>
      </c>
      <c r="B101" s="3371"/>
      <c r="C101" s="2368" t="str">
        <f>C4</f>
        <v>成本法</v>
      </c>
      <c r="D101" s="2369" t="str">
        <f>D4</f>
        <v>收益法（汇总）</v>
      </c>
      <c r="E101" s="3385" t="s">
        <v>1431</v>
      </c>
      <c r="F101" s="3341"/>
      <c r="G101" s="1684" t="s">
        <v>1432</v>
      </c>
      <c r="H101" s="2378">
        <f ca="1">H118</f>
        <v>39843</v>
      </c>
      <c r="I101" s="121"/>
    </row>
    <row r="102" spans="1:35" ht="18.75" customHeight="1">
      <c r="A102" s="3343" t="s">
        <v>1433</v>
      </c>
      <c r="B102" s="2367" t="s">
        <v>1432</v>
      </c>
      <c r="C102" s="2368">
        <f ca="1">IF(D32="楼面单价",ROUND(C19,0),C19)</f>
        <v>37123</v>
      </c>
      <c r="D102" s="2369">
        <f ca="1">IF(D32="楼面单价",ROUND(D19,0),D19)</f>
        <v>42562</v>
      </c>
      <c r="E102" s="3385"/>
      <c r="F102" s="3341"/>
      <c r="G102" s="1684" t="s">
        <v>1434</v>
      </c>
      <c r="H102" s="2338">
        <f ca="1">I118</f>
        <v>8236</v>
      </c>
      <c r="I102" s="121"/>
    </row>
    <row r="103" spans="1:35" ht="42.75" customHeight="1">
      <c r="A103" s="3343"/>
      <c r="B103" s="2367" t="s">
        <v>1434</v>
      </c>
      <c r="C103" s="2370">
        <f ca="1">C20</f>
        <v>7674</v>
      </c>
      <c r="D103" s="2371">
        <f ca="1">D20</f>
        <v>8798</v>
      </c>
      <c r="E103" s="3378" t="s">
        <v>1435</v>
      </c>
      <c r="F103" s="3379"/>
      <c r="G103" s="1685" t="s">
        <v>1436</v>
      </c>
      <c r="H103" s="2378">
        <f>IF(D36="正常操作",H104+H105+H106,H105+H106)</f>
        <v>0</v>
      </c>
      <c r="I103" s="121"/>
    </row>
    <row r="104" spans="1:35" ht="18.75" customHeight="1">
      <c r="A104" s="3343" t="s">
        <v>1437</v>
      </c>
      <c r="B104" s="2372" t="s">
        <v>1432</v>
      </c>
      <c r="C104" s="2373">
        <f ca="1">H118</f>
        <v>39843</v>
      </c>
      <c r="D104" s="2374"/>
      <c r="E104" s="1552" t="s">
        <v>1438</v>
      </c>
      <c r="F104" s="1545"/>
      <c r="G104" s="1685" t="s">
        <v>1436</v>
      </c>
      <c r="H104" s="2379">
        <f>IF(D36="同一抵押权人同一抵押物续贷",C36&amp;"（续贷，未扣减，详见特别提示）",C36)</f>
        <v>0</v>
      </c>
      <c r="I104" s="121"/>
    </row>
    <row r="105" spans="1:35" ht="18.75" customHeight="1" thickBot="1">
      <c r="A105" s="3344"/>
      <c r="B105" s="2375" t="s">
        <v>1434</v>
      </c>
      <c r="C105" s="2376">
        <f ca="1">I118</f>
        <v>8236</v>
      </c>
      <c r="D105" s="2377"/>
      <c r="E105" s="1552" t="s">
        <v>1439</v>
      </c>
      <c r="F105" s="1545"/>
      <c r="G105" s="1685" t="s">
        <v>1436</v>
      </c>
      <c r="H105" s="2380">
        <f>C37</f>
        <v>0</v>
      </c>
      <c r="I105" s="121"/>
    </row>
    <row r="106" spans="1:35" ht="18.75" customHeight="1">
      <c r="A106" s="644" t="s">
        <v>1440</v>
      </c>
      <c r="B106" s="644"/>
      <c r="C106" s="644"/>
      <c r="D106" s="644"/>
      <c r="E106" s="1686" t="s">
        <v>1441</v>
      </c>
      <c r="F106" s="1545"/>
      <c r="G106" s="1685" t="s">
        <v>1436</v>
      </c>
      <c r="H106" s="2380">
        <f>C38</f>
        <v>0</v>
      </c>
      <c r="I106" s="121"/>
    </row>
    <row r="107" spans="1:35" ht="18.75" customHeight="1">
      <c r="A107" s="121"/>
      <c r="B107" s="121"/>
      <c r="C107" s="121"/>
      <c r="D107" s="121"/>
      <c r="E107" s="3340" t="str">
        <f>IF(项目基本情况!E8="已注销","——","3.房地产抵押价值")</f>
        <v>3.房地产抵押价值</v>
      </c>
      <c r="F107" s="3341"/>
      <c r="G107" s="1684" t="s">
        <v>1432</v>
      </c>
      <c r="H107" s="2378">
        <f ca="1">IF(E107="——","——",H101-H103)</f>
        <v>39843</v>
      </c>
      <c r="I107" s="121"/>
    </row>
    <row r="108" spans="1:35" ht="18.75" customHeight="1">
      <c r="A108" s="121"/>
      <c r="B108" s="121"/>
      <c r="C108" s="121"/>
      <c r="D108" s="121"/>
      <c r="E108" s="3340"/>
      <c r="F108" s="3341"/>
      <c r="G108" s="1684" t="s">
        <v>1434</v>
      </c>
      <c r="H108" s="2338">
        <f ca="1">IF(H107=H101,H102,ROUND(H107*10000/'数据-汇总表'!E3,0))</f>
        <v>8236</v>
      </c>
      <c r="I108" s="121"/>
    </row>
    <row r="109" spans="1:35" ht="18.75" customHeight="1">
      <c r="A109" s="121"/>
      <c r="B109" s="121"/>
      <c r="C109" s="121"/>
      <c r="D109" s="121"/>
      <c r="E109" s="3340" t="str">
        <f>IF(项目基本情况!E8="已注销及未注销","4.抵押担保权已注销时的房地产抵押价值",IF(项目基本情况!E8="已注销","3.抵押担保权已注销时的房地产抵押价值","——"))</f>
        <v>——</v>
      </c>
      <c r="F109" s="3341"/>
      <c r="G109" s="1684" t="s">
        <v>1432</v>
      </c>
      <c r="H109" s="2381" t="str">
        <f>IF(E109="——","——",H101-H105-H106)</f>
        <v>——</v>
      </c>
      <c r="I109" s="121"/>
    </row>
    <row r="110" spans="1:35" ht="18.75" customHeight="1">
      <c r="A110" s="121"/>
      <c r="B110" s="121"/>
      <c r="C110" s="121"/>
      <c r="D110" s="121"/>
      <c r="E110" s="3340"/>
      <c r="F110" s="3341"/>
      <c r="G110" s="1684" t="s">
        <v>1434</v>
      </c>
      <c r="H110" s="2338" t="str">
        <f>IF(H109="——","——",ROUND(H109*10000/'数据-汇总表'!E3,0))</f>
        <v>——</v>
      </c>
      <c r="I110" s="121"/>
    </row>
    <row r="111" spans="1:35" ht="18.75" customHeight="1">
      <c r="A111" s="121"/>
      <c r="B111" s="121"/>
      <c r="C111" s="121"/>
      <c r="D111" s="121"/>
      <c r="E111" s="3372" t="str">
        <f>IF(项目基本情况!E9="抵押净值",IF(OR(项目基本情况!E8="已注销",项目基本情况!E8="房地产抵押价值"),"4.抵押净值","5.抵押净值"),"——")</f>
        <v>——</v>
      </c>
      <c r="F111" s="3342"/>
      <c r="G111" s="1684" t="s">
        <v>1432</v>
      </c>
      <c r="H111" s="2378" t="str">
        <f>IF(E111="——","——",N59)</f>
        <v>——</v>
      </c>
      <c r="I111" s="121"/>
    </row>
    <row r="112" spans="1:35" ht="18.75" customHeight="1" thickBot="1">
      <c r="A112" s="121"/>
      <c r="B112" s="121"/>
      <c r="C112" s="121"/>
      <c r="D112" s="121"/>
      <c r="E112" s="3373"/>
      <c r="F112" s="3374"/>
      <c r="G112" s="1687" t="s">
        <v>1434</v>
      </c>
      <c r="H112" s="2382" t="str">
        <f>IF(E111="——","——",N61)</f>
        <v>——</v>
      </c>
      <c r="I112" s="121"/>
    </row>
    <row r="113" spans="1:27" ht="18.75" customHeight="1">
      <c r="A113" s="121"/>
      <c r="B113" s="121"/>
      <c r="C113" s="121"/>
      <c r="D113" s="121"/>
      <c r="E113" s="3345" t="s">
        <v>1440</v>
      </c>
      <c r="F113" s="3345"/>
      <c r="G113" s="3345"/>
      <c r="H113" s="3345"/>
      <c r="I113" s="121"/>
    </row>
    <row r="114" spans="1:27" ht="3.75" customHeight="1">
      <c r="A114" s="644"/>
      <c r="B114" s="644"/>
      <c r="C114" s="644"/>
      <c r="D114" s="644"/>
      <c r="E114" s="1668"/>
      <c r="F114" s="1668"/>
      <c r="G114" s="1668"/>
      <c r="H114" s="1668"/>
      <c r="I114" s="644"/>
    </row>
    <row r="115" spans="1:27" ht="18.75" customHeight="1">
      <c r="A115" s="3355" t="s">
        <v>1442</v>
      </c>
      <c r="B115" s="3356"/>
      <c r="C115" s="3356"/>
      <c r="D115" s="3356"/>
      <c r="E115" s="3356"/>
      <c r="F115" s="3356"/>
      <c r="G115" s="3356"/>
      <c r="H115" s="3356"/>
      <c r="I115" s="3357"/>
    </row>
    <row r="116" spans="1:27" ht="27" customHeight="1">
      <c r="A116" s="3311" t="s">
        <v>1443</v>
      </c>
      <c r="B116" s="3346" t="s">
        <v>1444</v>
      </c>
      <c r="C116" s="3346" t="s">
        <v>1445</v>
      </c>
      <c r="D116" s="3359" t="s">
        <v>1446</v>
      </c>
      <c r="E116" s="3360"/>
      <c r="F116" s="3354" t="s">
        <v>1447</v>
      </c>
      <c r="G116" s="3354"/>
      <c r="H116" s="3311" t="s">
        <v>1448</v>
      </c>
      <c r="I116" s="3311"/>
    </row>
    <row r="117" spans="1:27" ht="18.75" customHeight="1">
      <c r="A117" s="3311"/>
      <c r="B117" s="3347"/>
      <c r="C117" s="3347"/>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48377.229999999996</v>
      </c>
      <c r="C118" s="2147">
        <f>M19</f>
        <v>14991.03</v>
      </c>
      <c r="D118" s="2147">
        <f ca="1">ROUND(IF(D32="总价",C34,E118*B118/10000),0)</f>
        <v>7969</v>
      </c>
      <c r="E118" s="2147">
        <f ca="1">ROUND(IF(C33="自定义",IF(D32="楼面单价",C34,D118*10000/B118),I118-G118),0)</f>
        <v>1647</v>
      </c>
      <c r="F118" s="2147">
        <f ca="1">ROUND(IF(D32="总价",C35,G118*B118/10000),0)</f>
        <v>31874</v>
      </c>
      <c r="G118" s="2147">
        <f ca="1">ROUND(IF(D32="楼面单价",C35,F118*10000/B118),0)</f>
        <v>6589</v>
      </c>
      <c r="H118" s="2147">
        <f ca="1">ROUND(IF(D32="总价",C32,I118*B118/10000),0)</f>
        <v>39843</v>
      </c>
      <c r="I118" s="2147">
        <f ca="1">ROUND(IF(D32="楼面单价",C32,H118*10000/B118),0)</f>
        <v>8236</v>
      </c>
    </row>
    <row r="119" spans="1:27" ht="18.75" customHeight="1">
      <c r="A119" s="3311" t="s">
        <v>1452</v>
      </c>
      <c r="B119" s="3311"/>
      <c r="C119" s="3311"/>
      <c r="D119" s="3351" t="str">
        <f ca="1">NUMBERSTRING(INT(D118*10000),2)&amp;"元整"</f>
        <v>柒仟玖佰陆拾玖万元整</v>
      </c>
      <c r="E119" s="3353"/>
      <c r="F119" s="3351" t="str">
        <f ca="1">NUMBERSTRING(INT(F118*10000),2)&amp;"元整"</f>
        <v>叁亿壹仟捌佰柒拾肆万元整</v>
      </c>
      <c r="G119" s="3353"/>
      <c r="H119" s="3351" t="str">
        <f ca="1">NUMBERSTRING(INT(H118*10000),2)&amp;"元整"</f>
        <v>叁亿玖仟捌佰肆拾叁万元整</v>
      </c>
      <c r="I119" s="3353"/>
    </row>
    <row r="120" spans="1:27" ht="18.75" customHeight="1">
      <c r="A120" s="3375" t="str">
        <f>IF(项目基本情况!B9="房地产市场价值","",MID(E103,3,LEN(E103)-2))</f>
        <v>估价师知悉的法定优先受偿款</v>
      </c>
      <c r="B120" s="3376"/>
      <c r="C120" s="3377"/>
      <c r="D120" s="3375">
        <f>H103</f>
        <v>0</v>
      </c>
      <c r="E120" s="3376"/>
      <c r="F120" s="3376"/>
      <c r="G120" s="3376"/>
      <c r="H120" s="3376"/>
      <c r="I120" s="3377"/>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51" t="s">
        <v>1452</v>
      </c>
      <c r="B121" s="3352"/>
      <c r="C121" s="3353"/>
      <c r="D121" s="3351" t="str">
        <f>IF(D120=0,"零元整",NUMBERSTRING(INT(D120*10000),2)&amp;"元整")</f>
        <v>零元整</v>
      </c>
      <c r="E121" s="3352"/>
      <c r="F121" s="3352"/>
      <c r="G121" s="3352"/>
      <c r="H121" s="3352"/>
      <c r="I121" s="3353"/>
      <c r="AA121" s="682"/>
    </row>
    <row r="122" spans="1:27" ht="18.75" customHeight="1">
      <c r="A122" s="3342" t="str">
        <f>IF(项目基本情况!B9="房地产市场价值","",MID(E107,3,LEN(E107)-2))</f>
        <v>房地产抵押价值</v>
      </c>
      <c r="B122" s="3342"/>
      <c r="C122" s="3342"/>
      <c r="D122" s="3375">
        <f ca="1">H107</f>
        <v>39843</v>
      </c>
      <c r="E122" s="3376"/>
      <c r="F122" s="3376"/>
      <c r="G122" s="3376"/>
      <c r="H122" s="3376"/>
      <c r="I122" s="3377"/>
      <c r="AA122" s="682"/>
    </row>
    <row r="123" spans="1:27" ht="18.75" customHeight="1">
      <c r="A123" s="3311" t="s">
        <v>1452</v>
      </c>
      <c r="B123" s="3311"/>
      <c r="C123" s="3311"/>
      <c r="D123" s="3351" t="str">
        <f ca="1">NUMBERSTRING(INT(D122*10000),2)&amp;"元整"</f>
        <v>叁亿玖仟捌佰肆拾叁万元整</v>
      </c>
      <c r="E123" s="3352"/>
      <c r="F123" s="3352"/>
      <c r="G123" s="3352"/>
      <c r="H123" s="3352"/>
      <c r="I123" s="3353"/>
      <c r="AA123" s="682"/>
    </row>
    <row r="124" spans="1:27" ht="18.75" customHeight="1">
      <c r="A124" s="3342" t="str">
        <f>IF(项目基本情况!B9="房地产市场价值","",MID(E109,3,LEN(E109)-2))</f>
        <v/>
      </c>
      <c r="B124" s="3342"/>
      <c r="C124" s="3342"/>
      <c r="D124" s="3375" t="str">
        <f>H109</f>
        <v>——</v>
      </c>
      <c r="E124" s="3376"/>
      <c r="F124" s="3376"/>
      <c r="G124" s="3376"/>
      <c r="H124" s="3376"/>
      <c r="I124" s="3377"/>
      <c r="AA124" s="682"/>
    </row>
    <row r="125" spans="1:27" ht="18.75" customHeight="1">
      <c r="A125" s="3311" t="s">
        <v>1452</v>
      </c>
      <c r="B125" s="3311"/>
      <c r="C125" s="3311"/>
      <c r="D125" s="3351" t="e">
        <f>NUMBERSTRING(INT(D124*10000),2)&amp;"元整"</f>
        <v>#VALUE!</v>
      </c>
      <c r="E125" s="3352"/>
      <c r="F125" s="3352"/>
      <c r="G125" s="3352"/>
      <c r="H125" s="3352"/>
      <c r="I125" s="3353"/>
      <c r="AA125" s="682"/>
    </row>
    <row r="126" spans="1:27" ht="18.75" customHeight="1">
      <c r="A126" s="3342" t="str">
        <f>IF(项目基本情况!B9="房地产市场价值","",MID(E111,3,LEN(E111)-2))</f>
        <v/>
      </c>
      <c r="B126" s="3342"/>
      <c r="C126" s="3342"/>
      <c r="D126" s="3375" t="str">
        <f>H111</f>
        <v>——</v>
      </c>
      <c r="E126" s="3376"/>
      <c r="F126" s="3376"/>
      <c r="G126" s="3376"/>
      <c r="H126" s="3376"/>
      <c r="I126" s="3377"/>
      <c r="AA126" s="682"/>
    </row>
    <row r="127" spans="1:27" ht="18.75" customHeight="1">
      <c r="A127" s="3311" t="s">
        <v>1452</v>
      </c>
      <c r="B127" s="3311"/>
      <c r="C127" s="3311"/>
      <c r="D127" s="3351" t="e">
        <f>NUMBERSTRING(INT(D126*10000),2)&amp;"元整"</f>
        <v>#VALUE!</v>
      </c>
      <c r="E127" s="3352"/>
      <c r="F127" s="3352"/>
      <c r="G127" s="3352"/>
      <c r="H127" s="3352"/>
      <c r="I127" s="3353"/>
      <c r="AA127" s="682"/>
    </row>
    <row r="128" spans="1:27" ht="21.75" customHeight="1">
      <c r="A128" s="3358" t="s">
        <v>1453</v>
      </c>
      <c r="B128" s="3358"/>
      <c r="C128" s="3358"/>
      <c r="D128" s="3358"/>
      <c r="E128" s="3358"/>
      <c r="F128" s="3358"/>
      <c r="G128" s="3358"/>
      <c r="H128" s="3358"/>
      <c r="I128" s="3358"/>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2"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205" t="str">
        <f>项目基本情况!B1</f>
        <v>北京市房地产抵押价值预评估</v>
      </c>
      <c r="C37" s="3205"/>
      <c r="D37" s="3205"/>
      <c r="E37" s="3205"/>
      <c r="F37" s="3205"/>
      <c r="G37" s="3205"/>
      <c r="H37" s="3205"/>
      <c r="I37" s="3205"/>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53" sqref="L53"/>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c r="C1" s="189"/>
      <c r="D1" s="189"/>
      <c r="E1" s="189"/>
      <c r="F1" s="189"/>
      <c r="G1" s="1060">
        <f>MATCH(B1,'数据-取费表'!A6:A16,0)+5</f>
        <v>8</v>
      </c>
    </row>
    <row r="2" spans="1:9" s="191" customFormat="1" ht="18" customHeight="1">
      <c r="A2" s="192" t="s">
        <v>1462</v>
      </c>
      <c r="B2" s="193">
        <f ca="1">IF(D2="——",C52,C52-E2)</f>
        <v>37123</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f ca="1">ROUND(B2*10000/(IF(B1="",'数据-汇总表'!E3,INDIRECT("'数据-取费表'!k"&amp;$G$1))),0)</f>
        <v>7674</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4914</v>
      </c>
      <c r="D5" s="202" t="s">
        <v>1469</v>
      </c>
      <c r="E5" s="203" t="s">
        <v>1470</v>
      </c>
      <c r="F5" s="203" t="s">
        <v>1471</v>
      </c>
      <c r="G5" s="204"/>
    </row>
    <row r="6" spans="1:9" s="205" customFormat="1" ht="13.5" customHeight="1">
      <c r="A6" s="730" t="s">
        <v>1472</v>
      </c>
      <c r="B6" s="206" t="s">
        <v>1473</v>
      </c>
      <c r="C6" s="207">
        <f>基准地价修正!E33+基准地价修正!E42</f>
        <v>4769</v>
      </c>
      <c r="D6" s="208"/>
      <c r="E6" s="209"/>
      <c r="F6" s="209"/>
      <c r="G6" s="210"/>
    </row>
    <row r="7" spans="1:9" s="205" customFormat="1" ht="13.5" customHeight="1">
      <c r="A7" s="730" t="s">
        <v>1474</v>
      </c>
      <c r="B7" s="206" t="s">
        <v>1475</v>
      </c>
      <c r="C7" s="211">
        <f>ROUND(C6*F7,0)</f>
        <v>145</v>
      </c>
      <c r="D7" s="211"/>
      <c r="E7" s="209"/>
      <c r="F7" s="212">
        <f>IF(项目基本情况!B8="出让",0,'数据-取费表'!B48+'数据-取费表'!B49)</f>
        <v>3.0499999999999999E-2</v>
      </c>
      <c r="G7" s="210"/>
    </row>
    <row r="8" spans="1:9" s="214" customFormat="1">
      <c r="A8" s="730" t="s">
        <v>1476</v>
      </c>
      <c r="B8" s="206" t="s">
        <v>1477</v>
      </c>
      <c r="C8" s="211">
        <f>IF(G8="已包含在土地购买价格中","0",IF(B1="",'数据-取费表'!B29,IF(G9="全部缴纳",C9+C10,H9)))</f>
        <v>0</v>
      </c>
      <c r="D8" s="213"/>
      <c r="E8" s="211"/>
      <c r="F8" s="212"/>
      <c r="G8" s="1711" t="s">
        <v>3619</v>
      </c>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160</v>
      </c>
      <c r="F9" s="212"/>
      <c r="G9" s="1712"/>
      <c r="H9" s="3175"/>
      <c r="I9" s="1713" t="s">
        <v>1479</v>
      </c>
    </row>
    <row r="10" spans="1:9" s="205" customFormat="1" ht="13.5" customHeight="1">
      <c r="A10" s="731" t="s">
        <v>356</v>
      </c>
      <c r="B10" s="215" t="s">
        <v>1480</v>
      </c>
      <c r="C10" s="216">
        <f ca="1">ROUND(D10*E10/10000,0)</f>
        <v>968</v>
      </c>
      <c r="D10" s="793">
        <f ca="1">IF(B1="",'数据-汇总表'!E6,IF(INDIRECT("'数据-取费表'!c"&amp;$G$1)="住宅",INDIRECT("'数据-取费表'!s"&amp;$G$1),INDIRECT("'数据-取费表'!k"&amp;$G$1)+INDIRECT("'数据-取费表'!s"&amp;$G$1)))</f>
        <v>48377.229999999996</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968</v>
      </c>
      <c r="D19" s="203">
        <f ca="1">D9+D10</f>
        <v>48377.229999999996</v>
      </c>
      <c r="E19" s="202">
        <f>'数据-取费表'!B31</f>
        <v>200</v>
      </c>
      <c r="F19" s="222"/>
      <c r="G19" s="3563" t="s">
        <v>436</v>
      </c>
    </row>
    <row r="20" spans="1:7" s="205" customFormat="1" ht="13.5" customHeight="1">
      <c r="A20" s="246" t="s">
        <v>1493</v>
      </c>
      <c r="B20" s="201" t="s">
        <v>1494</v>
      </c>
      <c r="C20" s="223">
        <f ca="1">ROUND((C5+C19)*F20,0)</f>
        <v>118</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9">
        <f ca="1">ROUND(SUM(C23:C25),0)</f>
        <v>374</v>
      </c>
      <c r="D22" s="226">
        <f ca="1">C26</f>
        <v>5.9999999999999995E-4</v>
      </c>
      <c r="E22" s="227" t="s">
        <v>1498</v>
      </c>
      <c r="F22" s="228">
        <f ca="1">'数据-取费表'!B40</f>
        <v>3.1E-2</v>
      </c>
      <c r="G22" s="225" t="str">
        <f>IF('数据-取费表'!B22&lt;=1,"单利计息","复利计息")</f>
        <v>复利计息</v>
      </c>
    </row>
    <row r="23" spans="1:7" s="205" customFormat="1" ht="13.5" customHeight="1">
      <c r="A23" s="732" t="s">
        <v>1502</v>
      </c>
      <c r="B23" s="206" t="s">
        <v>1503</v>
      </c>
      <c r="C23" s="1040">
        <f ca="1">ROUND(IF('数据-取费表'!B22&lt;=1,C5*F22*'数据-取费表'!B23,C5*(POWER((1+F22),'数据-取费表'!B23)-1)),0)</f>
        <v>309</v>
      </c>
      <c r="D23" s="229"/>
      <c r="E23" s="229"/>
      <c r="F23" s="230"/>
      <c r="G23" s="231" t="s">
        <v>1504</v>
      </c>
    </row>
    <row r="24" spans="1:7" s="205" customFormat="1" ht="13.5" customHeight="1">
      <c r="A24" s="732" t="s">
        <v>1505</v>
      </c>
      <c r="B24" s="206" t="s">
        <v>1506</v>
      </c>
      <c r="C24" s="1040">
        <f ca="1">ROUND(IF('数据-取费表'!B22&lt;=1,C19*F22*('数据-取费表'!B19/2+'数据-取费表'!B21),C19*(POWER((1+F22),('数据-取费表'!B19/2+'数据-取费表'!B21))-1)),0)</f>
        <v>61</v>
      </c>
      <c r="D24" s="229"/>
      <c r="E24" s="229"/>
      <c r="F24" s="230"/>
      <c r="G24" s="231" t="s">
        <v>1507</v>
      </c>
    </row>
    <row r="25" spans="1:7" s="205" customFormat="1" ht="24">
      <c r="A25" s="732" t="s">
        <v>1508</v>
      </c>
      <c r="B25" s="206" t="s">
        <v>1509</v>
      </c>
      <c r="C25" s="1040">
        <f ca="1">ROUND(IF('数据-取费表'!B22&lt;=1,C20*F22*'数据-取费表'!B23/2,C20*(POWER((1+F22),'数据-取费表'!B23/2)-1)),0)</f>
        <v>4</v>
      </c>
      <c r="D25" s="229"/>
      <c r="E25" s="232"/>
      <c r="F25" s="230"/>
      <c r="G25" s="233" t="s">
        <v>1510</v>
      </c>
    </row>
    <row r="26" spans="1:7" s="205" customFormat="1">
      <c r="A26" s="732" t="s">
        <v>350</v>
      </c>
      <c r="B26" s="206" t="s">
        <v>1511</v>
      </c>
      <c r="C26" s="229">
        <f ca="1">ROUND(IF('数据-取费表'!B22&lt;=1,F21*F22*'数据-取费表'!B23/2,F21*(POWER((1+F22),'数据-取费表'!B23/2)-1)),4)</f>
        <v>5.9999999999999995E-4</v>
      </c>
      <c r="D26" s="229"/>
      <c r="E26" s="232"/>
      <c r="F26" s="230"/>
      <c r="G26" s="234"/>
    </row>
    <row r="27" spans="1:7" s="205" customFormat="1" ht="24.75">
      <c r="A27" s="246" t="s">
        <v>1512</v>
      </c>
      <c r="B27" s="235" t="s">
        <v>1513</v>
      </c>
      <c r="C27" s="236">
        <f ca="1">C28</f>
        <v>480</v>
      </c>
      <c r="D27" s="226">
        <f ca="1">C29</f>
        <v>1.6000000000000001E-3</v>
      </c>
      <c r="E27" s="227" t="s">
        <v>1514</v>
      </c>
      <c r="F27" s="237">
        <f ca="1">IF(B1="",'数据-取费表'!Q16,INDIRECT("'数据-取费表'!q"&amp;$G$1))</f>
        <v>0.08</v>
      </c>
      <c r="G27" s="238" t="s">
        <v>1515</v>
      </c>
    </row>
    <row r="28" spans="1:7" s="205" customFormat="1" ht="13.5" customHeight="1">
      <c r="A28" s="732" t="s">
        <v>346</v>
      </c>
      <c r="B28" s="239" t="s">
        <v>1516</v>
      </c>
      <c r="C28" s="240">
        <f ca="1">ROUND((C5+C19+C20)*F27*'数据-取费表'!B21/'数据-取费表'!B20,0)</f>
        <v>480</v>
      </c>
      <c r="D28" s="226"/>
      <c r="E28" s="227"/>
      <c r="F28" s="237"/>
      <c r="G28" s="238"/>
    </row>
    <row r="29" spans="1:7" s="205" customFormat="1" ht="13.5" customHeight="1">
      <c r="A29" s="732" t="s">
        <v>347</v>
      </c>
      <c r="B29" s="239" t="s">
        <v>1517</v>
      </c>
      <c r="C29" s="229">
        <f ca="1">ROUND(C21*F27*'数据-取费表'!B21/'数据-取费表'!B20,4)</f>
        <v>1.6000000000000001E-3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7414</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26061</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23898</v>
      </c>
      <c r="D34" s="208"/>
      <c r="E34" s="211"/>
      <c r="F34" s="248">
        <f ca="1">IF('数据-取费表'!B24=0,1,IF(B1="",'数据-取费表'!N16,INDIRECT("'数据-取费表'!n"&amp;$G$1)))</f>
        <v>1</v>
      </c>
      <c r="G34" s="210" t="s">
        <v>1526</v>
      </c>
    </row>
    <row r="35" spans="1:7" ht="13.5" customHeight="1">
      <c r="A35" s="732" t="s">
        <v>351</v>
      </c>
      <c r="B35" s="206" t="s">
        <v>1527</v>
      </c>
      <c r="C35" s="211">
        <f ca="1">ROUND(C34*F35,0)</f>
        <v>717</v>
      </c>
      <c r="D35" s="211"/>
      <c r="E35" s="211"/>
      <c r="F35" s="250">
        <f>'数据-取费表'!B33</f>
        <v>0.03</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968</v>
      </c>
      <c r="D37" s="208">
        <f ca="1">D19</f>
        <v>48377.229999999996</v>
      </c>
      <c r="E37" s="240">
        <f>'数据-取费表'!B35</f>
        <v>200</v>
      </c>
      <c r="F37" s="250"/>
      <c r="G37" s="252" t="s">
        <v>1532</v>
      </c>
    </row>
    <row r="38" spans="1:7" ht="13.5" customHeight="1">
      <c r="A38" s="732" t="s">
        <v>354</v>
      </c>
      <c r="B38" s="206" t="s">
        <v>1533</v>
      </c>
      <c r="C38" s="211">
        <f ca="1">ROUND(C34*F38,0)</f>
        <v>478</v>
      </c>
      <c r="D38" s="211"/>
      <c r="E38" s="211"/>
      <c r="F38" s="250">
        <f>'数据-取费表'!B36</f>
        <v>0.02</v>
      </c>
      <c r="G38" s="210" t="s">
        <v>1528</v>
      </c>
    </row>
    <row r="39" spans="1:7" s="205" customFormat="1" ht="13.5" customHeight="1">
      <c r="A39" s="246" t="s">
        <v>1534</v>
      </c>
      <c r="B39" s="201" t="s">
        <v>1535</v>
      </c>
      <c r="C39" s="223">
        <f ca="1">ROUND(C33*F20,0)</f>
        <v>521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824</v>
      </c>
      <c r="D41" s="226">
        <f ca="1">C44</f>
        <v>5.9999999999999995E-4</v>
      </c>
      <c r="E41" s="227" t="s">
        <v>1539</v>
      </c>
      <c r="F41" s="228">
        <f ca="1">F22</f>
        <v>3.1E-2</v>
      </c>
      <c r="G41" s="225" t="str">
        <f>IF('数据-取费表'!B22&lt;=1,"单利计息","复利计息")</f>
        <v>复利计息</v>
      </c>
    </row>
    <row r="42" spans="1:7" ht="13.5" customHeight="1">
      <c r="A42" s="732" t="s">
        <v>346</v>
      </c>
      <c r="B42" s="206" t="s">
        <v>1543</v>
      </c>
      <c r="C42" s="229">
        <f ca="1">ROUND(IF('数据-取费表'!B22&lt;=1,C33*F22*'数据-取费表'!B21/2,C33*(POWER((1+F22),'数据-取费表'!B21/2)-1)),0)</f>
        <v>808</v>
      </c>
      <c r="D42" s="229"/>
      <c r="E42" s="229"/>
      <c r="F42" s="230"/>
      <c r="G42" s="3392" t="s">
        <v>1544</v>
      </c>
    </row>
    <row r="43" spans="1:7" ht="13.5" customHeight="1">
      <c r="A43" s="732" t="s">
        <v>347</v>
      </c>
      <c r="B43" s="206" t="s">
        <v>1545</v>
      </c>
      <c r="C43" s="229">
        <f ca="1">ROUND(IF('数据-取费表'!B22&lt;=1,C39*F22*'数据-取费表'!B21/2,C39*(POWER((1+F22),'数据-取费表'!B21/2)-1)),0)</f>
        <v>16</v>
      </c>
      <c r="D43" s="229"/>
      <c r="E43" s="229"/>
      <c r="F43" s="230"/>
      <c r="G43" s="3393"/>
    </row>
    <row r="44" spans="1:7" ht="13.5" customHeight="1">
      <c r="A44" s="732" t="s">
        <v>348</v>
      </c>
      <c r="B44" s="206" t="s">
        <v>1546</v>
      </c>
      <c r="C44" s="229">
        <f ca="1">ROUND(IF('数据-取费表'!B22&lt;=1,C40*F22*'数据-取费表'!B21/2,C40*(POWER((1+F22),'数据-取费表'!B21/2)-1)),4)</f>
        <v>5.9999999999999995E-4</v>
      </c>
      <c r="D44" s="229"/>
      <c r="E44" s="229"/>
      <c r="F44" s="230"/>
      <c r="G44" s="3394"/>
    </row>
    <row r="45" spans="1:7" s="205" customFormat="1" ht="13.5" customHeight="1">
      <c r="A45" s="246" t="s">
        <v>1547</v>
      </c>
      <c r="B45" s="235" t="s">
        <v>1513</v>
      </c>
      <c r="C45" s="236">
        <f ca="1">C46</f>
        <v>2127</v>
      </c>
      <c r="D45" s="226">
        <f ca="1">C47</f>
        <v>1.6000000000000001E-3</v>
      </c>
      <c r="E45" s="227" t="s">
        <v>1539</v>
      </c>
      <c r="F45" s="237">
        <f ca="1">F27</f>
        <v>0.08</v>
      </c>
      <c r="G45" s="238" t="s">
        <v>1548</v>
      </c>
    </row>
    <row r="46" spans="1:7" s="205" customFormat="1" ht="13.5" customHeight="1">
      <c r="A46" s="732" t="s">
        <v>346</v>
      </c>
      <c r="B46" s="239" t="s">
        <v>1549</v>
      </c>
      <c r="C46" s="240">
        <f ca="1">ROUND((C33+C39)*F27,0)</f>
        <v>2127</v>
      </c>
      <c r="D46" s="254"/>
      <c r="E46" s="227"/>
      <c r="F46" s="237"/>
      <c r="G46" s="238"/>
    </row>
    <row r="47" spans="1:7" s="205" customFormat="1" ht="13.5" customHeight="1">
      <c r="A47" s="732" t="s">
        <v>347</v>
      </c>
      <c r="B47" s="239" t="s">
        <v>1550</v>
      </c>
      <c r="C47" s="229">
        <f ca="1">ROUND(C40*F27,4)</f>
        <v>1.6000000000000001E-3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31945</v>
      </c>
      <c r="D49" s="223"/>
      <c r="E49" s="223"/>
      <c r="F49" s="255"/>
      <c r="G49" s="225" t="s">
        <v>1554</v>
      </c>
    </row>
    <row r="50" spans="1:7" s="249" customFormat="1" ht="24">
      <c r="A50" s="246" t="s">
        <v>1555</v>
      </c>
      <c r="B50" s="201" t="s">
        <v>1556</v>
      </c>
      <c r="C50" s="223"/>
      <c r="D50" s="223"/>
      <c r="E50" s="223"/>
      <c r="F50" s="255">
        <f>IF('数据-取费表'!B24=0,'数据-取费表'!N16,1)</f>
        <v>0.93</v>
      </c>
      <c r="G50" s="238" t="s">
        <v>1557</v>
      </c>
    </row>
    <row r="51" spans="1:7" ht="16.5" customHeight="1">
      <c r="A51" s="246" t="s">
        <v>1558</v>
      </c>
      <c r="B51" s="201" t="s">
        <v>1559</v>
      </c>
      <c r="C51" s="223">
        <f ca="1">ROUND(C49*F50,0)</f>
        <v>29709</v>
      </c>
      <c r="D51" s="223"/>
      <c r="E51" s="223"/>
      <c r="F51" s="255"/>
      <c r="G51" s="225" t="s">
        <v>1560</v>
      </c>
    </row>
    <row r="52" spans="1:7" s="199" customFormat="1" ht="16.5" thickBot="1">
      <c r="A52" s="256" t="s">
        <v>1561</v>
      </c>
      <c r="B52" s="257"/>
      <c r="C52" s="258">
        <f ca="1">C31+C51</f>
        <v>37123</v>
      </c>
      <c r="D52" s="257"/>
      <c r="E52" s="257"/>
      <c r="F52" s="257"/>
      <c r="G52" s="259"/>
    </row>
    <row r="55" spans="1:7" ht="15">
      <c r="B55" s="261" t="s">
        <v>1562</v>
      </c>
      <c r="C55" s="262"/>
    </row>
    <row r="56" spans="1:7">
      <c r="B56" s="264" t="s">
        <v>802</v>
      </c>
      <c r="C56" s="266">
        <f ca="1">1-C57</f>
        <v>0.19999999999999996</v>
      </c>
    </row>
    <row r="57" spans="1:7">
      <c r="B57" s="264" t="s">
        <v>803</v>
      </c>
      <c r="C57" s="265">
        <f ca="1">ROUND(C51/C52,3)</f>
        <v>0.8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c r="C1" s="1714" t="s">
        <v>1563</v>
      </c>
      <c r="D1" s="189"/>
      <c r="E1" s="189"/>
      <c r="F1" s="189"/>
      <c r="G1" s="1060">
        <f>MATCH(B1,'数据-取费表'!A6:A16,0)+5</f>
        <v>8</v>
      </c>
      <c r="H1" s="996" t="str">
        <f>IF(ISERROR(FIND("住宅",B1)),"非住宅","住宅")</f>
        <v>非住宅</v>
      </c>
    </row>
    <row r="2" spans="1:8" s="191" customFormat="1" ht="18" customHeight="1">
      <c r="A2" s="192" t="s">
        <v>1462</v>
      </c>
      <c r="B2" s="3120">
        <f ca="1">ROUND(IF(D2="——",C52/10000,C52/10000-E2),4)</f>
        <v>32146.108100000001</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6645</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9675446</v>
      </c>
      <c r="D5" s="202" t="s">
        <v>1469</v>
      </c>
      <c r="E5" s="203" t="s">
        <v>1470</v>
      </c>
      <c r="F5" s="203" t="s">
        <v>1471</v>
      </c>
      <c r="G5" s="204"/>
    </row>
    <row r="6" spans="1:8" s="205" customFormat="1" ht="13.5" customHeight="1">
      <c r="A6" s="730" t="s">
        <v>1472</v>
      </c>
      <c r="B6" s="206" t="s">
        <v>1473</v>
      </c>
      <c r="C6" s="207"/>
      <c r="D6" s="208"/>
      <c r="E6" s="209"/>
      <c r="F6" s="209"/>
      <c r="G6" s="210"/>
    </row>
    <row r="7" spans="1:8" s="205" customFormat="1" ht="13.5" customHeight="1">
      <c r="A7" s="730" t="s">
        <v>1474</v>
      </c>
      <c r="B7" s="206" t="s">
        <v>1475</v>
      </c>
      <c r="C7" s="211">
        <f>ROUND(C6*F7,0)</f>
        <v>0</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9675446</v>
      </c>
      <c r="D8" s="213"/>
      <c r="E8" s="211"/>
      <c r="F8" s="212"/>
      <c r="G8" s="1711"/>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160</v>
      </c>
      <c r="F9" s="212"/>
      <c r="G9" s="217"/>
    </row>
    <row r="10" spans="1:8" s="205" customFormat="1" ht="13.5" customHeight="1">
      <c r="A10" s="731" t="s">
        <v>356</v>
      </c>
      <c r="B10" s="215" t="s">
        <v>1480</v>
      </c>
      <c r="C10" s="216">
        <f ca="1">ROUND(D10*E10,0)</f>
        <v>9675446</v>
      </c>
      <c r="D10" s="793">
        <f ca="1">IF(B1="",'数据-汇总表'!E6,IF(INDIRECT("'数据-取费表'!c"&amp;$G$1)="住宅",INDIRECT("'数据-取费表'!s"&amp;$G$1),INDIRECT("'数据-取费表'!k"&amp;$G$1)+INDIRECT("'数据-取费表'!s"&amp;$G$1)))</f>
        <v>48377.229999999996</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9675446</v>
      </c>
      <c r="D19" s="203">
        <f ca="1">D9+D10</f>
        <v>48377.229999999996</v>
      </c>
      <c r="E19" s="202">
        <f>'数据-取费表'!B31</f>
        <v>200</v>
      </c>
      <c r="F19" s="222"/>
      <c r="G19" s="1711"/>
    </row>
    <row r="20" spans="1:7" s="205" customFormat="1" ht="13.5" customHeight="1">
      <c r="A20" s="246" t="s">
        <v>1574</v>
      </c>
      <c r="B20" s="201" t="s">
        <v>1575</v>
      </c>
      <c r="C20" s="223">
        <f ca="1">ROUND((C5+C19)*F20,0)</f>
        <v>387018</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1230350</v>
      </c>
      <c r="D22" s="226">
        <f ca="1">C26</f>
        <v>5.9999999999999995E-4</v>
      </c>
      <c r="E22" s="227" t="s">
        <v>1579</v>
      </c>
      <c r="F22" s="228">
        <f ca="1">'数据-取费表'!B40</f>
        <v>3.1E-2</v>
      </c>
      <c r="G22" s="225" t="str">
        <f>IF('数据-取费表'!B22&lt;=1,"单利计息","复利计息")</f>
        <v>复利计息</v>
      </c>
    </row>
    <row r="23" spans="1:7" s="205" customFormat="1" ht="13.5" customHeight="1">
      <c r="A23" s="732" t="s">
        <v>1472</v>
      </c>
      <c r="B23" s="206" t="s">
        <v>1583</v>
      </c>
      <c r="C23" s="229">
        <f ca="1">ROUND(IF('数据-取费表'!B22&lt;=1,C5*F22*'数据-取费表'!B22,C5*(POWER((1+F22),'数据-取费表'!B22)-1)),0)</f>
        <v>609176</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609176</v>
      </c>
      <c r="D24" s="229"/>
      <c r="E24" s="229"/>
      <c r="F24" s="230"/>
      <c r="G24" s="231" t="s">
        <v>1586</v>
      </c>
    </row>
    <row r="25" spans="1:7" s="205" customFormat="1" ht="24">
      <c r="A25" s="732" t="s">
        <v>1476</v>
      </c>
      <c r="B25" s="206" t="s">
        <v>1587</v>
      </c>
      <c r="C25" s="229">
        <f ca="1">ROUND(IF('数据-取费表'!B22&lt;=1,C20*F22*'数据-取费表'!B22/2,C20*(POWER((1+F22),'数据-取费表'!B22/2)-1)),0)</f>
        <v>11998</v>
      </c>
      <c r="D25" s="229"/>
      <c r="E25" s="232"/>
      <c r="F25" s="230"/>
      <c r="G25" s="233" t="s">
        <v>1588</v>
      </c>
    </row>
    <row r="26" spans="1:7" s="205" customFormat="1">
      <c r="A26" s="732" t="s">
        <v>350</v>
      </c>
      <c r="B26" s="206" t="s">
        <v>1511</v>
      </c>
      <c r="C26" s="229">
        <f ca="1">ROUND(IF('数据-取费表'!B22&lt;=1,F21*F22*'数据-取费表'!B22/2,F21*(POWER((1+F22),'数据-取费表'!B22/2)-1)),4)</f>
        <v>5.9999999999999995E-4</v>
      </c>
      <c r="D26" s="229"/>
      <c r="E26" s="232"/>
      <c r="F26" s="230"/>
      <c r="G26" s="234"/>
    </row>
    <row r="27" spans="1:7" s="205" customFormat="1" ht="24.75">
      <c r="A27" s="246" t="s">
        <v>1512</v>
      </c>
      <c r="B27" s="235" t="s">
        <v>1513</v>
      </c>
      <c r="C27" s="236">
        <f ca="1">C28</f>
        <v>1579033</v>
      </c>
      <c r="D27" s="226">
        <f ca="1">C29</f>
        <v>1.6000000000000001E-3</v>
      </c>
      <c r="E27" s="227" t="s">
        <v>1514</v>
      </c>
      <c r="F27" s="237">
        <f ca="1">IF(B1="",'数据-取费表'!Q16,INDIRECT("'数据-取费表'!q"&amp;$G$1))</f>
        <v>0.08</v>
      </c>
      <c r="G27" s="238" t="s">
        <v>1515</v>
      </c>
    </row>
    <row r="28" spans="1:7" s="205" customFormat="1" ht="13.5" customHeight="1">
      <c r="A28" s="732" t="s">
        <v>346</v>
      </c>
      <c r="B28" s="239" t="s">
        <v>1516</v>
      </c>
      <c r="C28" s="240">
        <f ca="1">ROUND((C5+C19+C20)*F27,0)</f>
        <v>1579033</v>
      </c>
      <c r="D28" s="226"/>
      <c r="E28" s="227"/>
      <c r="F28" s="237"/>
      <c r="G28" s="238"/>
    </row>
    <row r="29" spans="1:7" s="205" customFormat="1" ht="13.5" customHeight="1">
      <c r="A29" s="732" t="s">
        <v>347</v>
      </c>
      <c r="B29" s="239" t="s">
        <v>1517</v>
      </c>
      <c r="C29" s="229">
        <f ca="1">ROUND(C21*F27,4)</f>
        <v>1.6000000000000001E-3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24388635</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260598619</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238974450</v>
      </c>
      <c r="D34" s="208"/>
      <c r="E34" s="211"/>
      <c r="F34" s="248"/>
      <c r="G34" s="210"/>
    </row>
    <row r="35" spans="1:7" ht="13.5" customHeight="1">
      <c r="A35" s="732" t="s">
        <v>351</v>
      </c>
      <c r="B35" s="206" t="s">
        <v>1527</v>
      </c>
      <c r="C35" s="211">
        <f ca="1">ROUND(C34*F35,0)</f>
        <v>7169234</v>
      </c>
      <c r="D35" s="211"/>
      <c r="E35" s="211"/>
      <c r="F35" s="250">
        <f>'数据-取费表'!B33</f>
        <v>0.03</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9675446</v>
      </c>
      <c r="D37" s="208">
        <f ca="1">D19</f>
        <v>48377.229999999996</v>
      </c>
      <c r="E37" s="240">
        <f>'数据-取费表'!B35</f>
        <v>200</v>
      </c>
      <c r="F37" s="250"/>
      <c r="G37" s="252"/>
    </row>
    <row r="38" spans="1:7" ht="13.5" customHeight="1">
      <c r="A38" s="732" t="s">
        <v>354</v>
      </c>
      <c r="B38" s="206" t="s">
        <v>1533</v>
      </c>
      <c r="C38" s="211">
        <f ca="1">ROUND(C34*F38,0)</f>
        <v>4779489</v>
      </c>
      <c r="D38" s="211"/>
      <c r="E38" s="211"/>
      <c r="F38" s="250">
        <f>'数据-取费表'!B36</f>
        <v>0.02</v>
      </c>
      <c r="G38" s="210" t="s">
        <v>1528</v>
      </c>
    </row>
    <row r="39" spans="1:7" s="205" customFormat="1" ht="13.5" customHeight="1">
      <c r="A39" s="246" t="s">
        <v>1534</v>
      </c>
      <c r="B39" s="201" t="s">
        <v>1535</v>
      </c>
      <c r="C39" s="223">
        <f ca="1">ROUND(C33*F20,0)</f>
        <v>5211972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8240128</v>
      </c>
      <c r="D41" s="226">
        <f ca="1">C44</f>
        <v>5.9999999999999995E-4</v>
      </c>
      <c r="E41" s="227" t="s">
        <v>1539</v>
      </c>
      <c r="F41" s="228">
        <f ca="1">F22</f>
        <v>3.1E-2</v>
      </c>
      <c r="G41" s="225" t="str">
        <f>IF('数据-取费表'!B22&lt;=1,"单利计息","复利计息")</f>
        <v>复利计息</v>
      </c>
    </row>
    <row r="42" spans="1:7" ht="13.5" customHeight="1">
      <c r="A42" s="732" t="s">
        <v>346</v>
      </c>
      <c r="B42" s="206" t="s">
        <v>1543</v>
      </c>
      <c r="C42" s="229">
        <f ca="1">ROUND(IF('数据-取费表'!B22&lt;=1,C33*F22*'数据-取费表'!B20/2,C33*(POWER((1+F22),'数据-取费表'!B20/2)-1)),0)</f>
        <v>8078557</v>
      </c>
      <c r="D42" s="229"/>
      <c r="E42" s="229"/>
      <c r="F42" s="230"/>
      <c r="G42" s="3392" t="s">
        <v>1591</v>
      </c>
    </row>
    <row r="43" spans="1:7" ht="13.5" customHeight="1">
      <c r="A43" s="732" t="s">
        <v>347</v>
      </c>
      <c r="B43" s="206" t="s">
        <v>1545</v>
      </c>
      <c r="C43" s="229">
        <f ca="1">ROUND(IF('数据-取费表'!B22&lt;=1,C39*F22*'数据-取费表'!B20/2,C39*(POWER((1+F22),'数据-取费表'!B20/2)-1)),0)</f>
        <v>161571</v>
      </c>
      <c r="D43" s="229"/>
      <c r="E43" s="229"/>
      <c r="F43" s="230"/>
      <c r="G43" s="3393"/>
    </row>
    <row r="44" spans="1:7" ht="13.5" customHeight="1">
      <c r="A44" s="732" t="s">
        <v>348</v>
      </c>
      <c r="B44" s="206" t="s">
        <v>1546</v>
      </c>
      <c r="C44" s="229">
        <f ca="1">ROUND(IF('数据-取费表'!B22&lt;=1,C40*F22*'数据-取费表'!B20/2,C40*(POWER((1+F22),'数据-取费表'!B20/2)-1)),4)</f>
        <v>5.9999999999999995E-4</v>
      </c>
      <c r="D44" s="229"/>
      <c r="E44" s="229"/>
      <c r="F44" s="230"/>
      <c r="G44" s="3394"/>
    </row>
    <row r="45" spans="1:7" s="205" customFormat="1" ht="13.5" customHeight="1">
      <c r="A45" s="246" t="s">
        <v>1547</v>
      </c>
      <c r="B45" s="235" t="s">
        <v>1513</v>
      </c>
      <c r="C45" s="236">
        <f ca="1">C46</f>
        <v>21264847</v>
      </c>
      <c r="D45" s="226">
        <f ca="1">C47</f>
        <v>1.6000000000000001E-3</v>
      </c>
      <c r="E45" s="227" t="s">
        <v>1539</v>
      </c>
      <c r="F45" s="237">
        <f ca="1">F27</f>
        <v>0.08</v>
      </c>
      <c r="G45" s="238" t="s">
        <v>1548</v>
      </c>
    </row>
    <row r="46" spans="1:7" s="205" customFormat="1" ht="13.5" customHeight="1">
      <c r="A46" s="732" t="s">
        <v>346</v>
      </c>
      <c r="B46" s="239" t="s">
        <v>1549</v>
      </c>
      <c r="C46" s="240">
        <f ca="1">ROUND((C33+C39)*F27,0)</f>
        <v>21264847</v>
      </c>
      <c r="D46" s="254"/>
      <c r="E46" s="227"/>
      <c r="F46" s="237"/>
      <c r="G46" s="238"/>
    </row>
    <row r="47" spans="1:7" s="205" customFormat="1" ht="13.5" customHeight="1">
      <c r="A47" s="732" t="s">
        <v>347</v>
      </c>
      <c r="B47" s="239" t="s">
        <v>1550</v>
      </c>
      <c r="C47" s="229">
        <f ca="1">ROUND(C40*F27,4)</f>
        <v>1.6000000000000001E-3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319432738</v>
      </c>
      <c r="D49" s="223"/>
      <c r="E49" s="223"/>
      <c r="F49" s="255"/>
      <c r="G49" s="225" t="s">
        <v>1554</v>
      </c>
    </row>
    <row r="50" spans="1:7" s="249" customFormat="1">
      <c r="A50" s="246" t="s">
        <v>1555</v>
      </c>
      <c r="B50" s="201" t="s">
        <v>1556</v>
      </c>
      <c r="C50" s="223"/>
      <c r="D50" s="223"/>
      <c r="E50" s="223"/>
      <c r="F50" s="255">
        <f>IF('数据-取费表'!B24=0,'数据-取费表'!N16,1)</f>
        <v>0.93</v>
      </c>
      <c r="G50" s="238"/>
    </row>
    <row r="51" spans="1:7" ht="16.5" customHeight="1">
      <c r="A51" s="246" t="s">
        <v>1558</v>
      </c>
      <c r="B51" s="201" t="s">
        <v>1593</v>
      </c>
      <c r="C51" s="223">
        <f ca="1">ROUND(C49*F50,0)</f>
        <v>297072446</v>
      </c>
      <c r="D51" s="223"/>
      <c r="E51" s="223"/>
      <c r="F51" s="255"/>
      <c r="G51" s="225" t="s">
        <v>1560</v>
      </c>
    </row>
    <row r="52" spans="1:7" s="199" customFormat="1" ht="16.5" thickBot="1">
      <c r="A52" s="256" t="s">
        <v>1561</v>
      </c>
      <c r="B52" s="257"/>
      <c r="C52" s="258">
        <f ca="1">C31+C51</f>
        <v>321461081</v>
      </c>
      <c r="D52" s="257"/>
      <c r="E52" s="257"/>
      <c r="F52" s="257"/>
      <c r="G52" s="259"/>
    </row>
    <row r="55" spans="1:7" ht="15">
      <c r="B55" s="261" t="s">
        <v>1562</v>
      </c>
      <c r="C55" s="262"/>
    </row>
    <row r="56" spans="1:7">
      <c r="B56" s="264" t="s">
        <v>802</v>
      </c>
      <c r="C56" s="266">
        <f ca="1">1-C57</f>
        <v>7.5999999999999956E-2</v>
      </c>
    </row>
    <row r="57" spans="1:7">
      <c r="B57" s="264" t="s">
        <v>803</v>
      </c>
      <c r="C57" s="265">
        <f ca="1">ROUND(C51/C52,3)</f>
        <v>0.92400000000000004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21</v>
      </c>
      <c r="D1" s="1268" t="s">
        <v>43</v>
      </c>
      <c r="E1" s="1269" t="s">
        <v>678</v>
      </c>
      <c r="F1" s="997">
        <f ca="1">J53</f>
        <v>41.38</v>
      </c>
      <c r="G1" s="1283">
        <f>MATCH(C1,'数据-取费表'!A6:A16,0)+5</f>
        <v>6</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f ca="1">C40+J29+L46</f>
        <v>41534</v>
      </c>
      <c r="C2" s="1286" t="s">
        <v>805</v>
      </c>
      <c r="D2" s="1286"/>
      <c r="E2" s="1292"/>
      <c r="F2" s="1293"/>
      <c r="G2" s="2476"/>
      <c r="H2" s="2466"/>
      <c r="I2" s="2466"/>
      <c r="J2" s="2466"/>
      <c r="K2" s="2467"/>
      <c r="L2" s="2466"/>
      <c r="M2" s="2466"/>
    </row>
    <row r="3" spans="1:37" ht="18" customHeight="1" thickBot="1">
      <c r="A3" s="1294" t="s">
        <v>806</v>
      </c>
      <c r="B3" s="1295">
        <f ca="1">IF(ISERROR(B2*10000/F43),0,ROUND(B2*10000/F43,0))</f>
        <v>14665</v>
      </c>
      <c r="C3" s="1286" t="s">
        <v>807</v>
      </c>
      <c r="D3" s="1286"/>
      <c r="E3" s="1292"/>
      <c r="F3" s="1293"/>
      <c r="G3" s="2476"/>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5">
        <f ca="1">C6+C10+C12</f>
        <v>2468</v>
      </c>
      <c r="D5" s="1270" t="s">
        <v>693</v>
      </c>
      <c r="E5" s="1006"/>
      <c r="F5" s="1007"/>
      <c r="G5" s="1289"/>
      <c r="H5" s="290">
        <v>1</v>
      </c>
      <c r="I5" s="291" t="s">
        <v>692</v>
      </c>
      <c r="J5" s="1005">
        <f ca="1">J6+J10+J12</f>
        <v>0</v>
      </c>
      <c r="K5" s="1270" t="s">
        <v>693</v>
      </c>
      <c r="L5" s="1006"/>
      <c r="M5" s="1007"/>
    </row>
    <row r="6" spans="1:37" ht="18" customHeight="1">
      <c r="A6" s="1004" t="s">
        <v>398</v>
      </c>
      <c r="B6" s="3397" t="s">
        <v>694</v>
      </c>
      <c r="C6" s="1009">
        <f ca="1">ROUND(F6*F8*F7*(1-F9)/10000,0)</f>
        <v>2465</v>
      </c>
      <c r="D6" s="146" t="s">
        <v>2109</v>
      </c>
      <c r="E6" s="293" t="s">
        <v>696</v>
      </c>
      <c r="F6" s="294">
        <f ca="1">INDIRECT("'数据-取费表'!u"&amp;$G$1)</f>
        <v>2.65</v>
      </c>
      <c r="G6" s="1289"/>
      <c r="H6" s="1004" t="s">
        <v>398</v>
      </c>
      <c r="I6" s="3397" t="s">
        <v>694</v>
      </c>
      <c r="J6" s="292">
        <f ca="1">ROUND(M6*M8*M7*(1-M9)/10000,0)</f>
        <v>0</v>
      </c>
      <c r="K6" s="146" t="s">
        <v>2108</v>
      </c>
      <c r="L6" s="293" t="s">
        <v>696</v>
      </c>
      <c r="M6" s="294">
        <f ca="1">INDIRECT("'数据-取费表'!z"&amp;$G$1)</f>
        <v>0</v>
      </c>
    </row>
    <row r="7" spans="1:37" ht="18" customHeight="1">
      <c r="A7" s="1008"/>
      <c r="B7" s="3398"/>
      <c r="C7" s="1010"/>
      <c r="D7" s="298"/>
      <c r="E7" s="1011" t="s">
        <v>697</v>
      </c>
      <c r="F7" s="294">
        <f ca="1">IF(INDIRECT("'数据-取费表'!ah"&amp;$G$1)="",INDIRECT("'数据-取费表'!k"&amp;$G$1),INDIRECT("'数据-取费表'!ah"&amp;$G$1))</f>
        <v>28321.48</v>
      </c>
      <c r="G7" s="1289"/>
      <c r="H7" s="295"/>
      <c r="I7" s="3398"/>
      <c r="J7" s="297"/>
      <c r="K7" s="298"/>
      <c r="L7" s="293" t="s">
        <v>697</v>
      </c>
      <c r="M7" s="294">
        <f ca="1">F7</f>
        <v>28321.48</v>
      </c>
    </row>
    <row r="8" spans="1:37" ht="18" customHeight="1">
      <c r="A8" s="295"/>
      <c r="B8" s="3398"/>
      <c r="C8" s="297"/>
      <c r="D8" s="298"/>
      <c r="E8" s="293" t="s">
        <v>698</v>
      </c>
      <c r="F8" s="294">
        <f ca="1">INDIRECT("'数据-取费表'!ai"&amp;$G$1)</f>
        <v>365</v>
      </c>
      <c r="G8" s="1289"/>
      <c r="H8" s="295"/>
      <c r="I8" s="3398"/>
      <c r="J8" s="297"/>
      <c r="K8" s="298"/>
      <c r="L8" s="293" t="s">
        <v>698</v>
      </c>
      <c r="M8" s="294">
        <f ca="1">INDIRECT("'数据-取费表'!ai"&amp;$G$1)</f>
        <v>365</v>
      </c>
    </row>
    <row r="9" spans="1:37" ht="18" customHeight="1">
      <c r="A9" s="295"/>
      <c r="B9" s="3399"/>
      <c r="C9" s="297"/>
      <c r="D9" s="298"/>
      <c r="E9" s="293" t="s">
        <v>699</v>
      </c>
      <c r="F9" s="303">
        <f ca="1">INDIRECT("'数据-取费表'!w"&amp;$G$1)</f>
        <v>0.1</v>
      </c>
      <c r="G9" s="1289"/>
      <c r="H9" s="295"/>
      <c r="I9" s="3399"/>
      <c r="J9" s="297"/>
      <c r="K9" s="298"/>
      <c r="L9" s="304" t="s">
        <v>699</v>
      </c>
      <c r="M9" s="305">
        <f ca="1">INDIRECT("'数据-取费表'!ab"&amp;$G$1)</f>
        <v>0</v>
      </c>
    </row>
    <row r="10" spans="1:37" ht="18" customHeight="1">
      <c r="A10" s="1004" t="s">
        <v>402</v>
      </c>
      <c r="B10" s="1271" t="s">
        <v>700</v>
      </c>
      <c r="C10" s="307">
        <f ca="1">ROUND(IF(F10="押一",C6/12*F11,IF(F10="押二",C6/12*2*F11,IF(F10="押三",C6/12*3*F11,C11*F11))),0)</f>
        <v>3</v>
      </c>
      <c r="D10" s="149" t="s">
        <v>2117</v>
      </c>
      <c r="E10" s="304" t="s">
        <v>701</v>
      </c>
      <c r="F10" s="1051" t="s">
        <v>3694</v>
      </c>
      <c r="G10" s="1289"/>
      <c r="H10" s="1004" t="s">
        <v>402</v>
      </c>
      <c r="I10" s="1271" t="s">
        <v>700</v>
      </c>
      <c r="J10" s="292">
        <f ca="1">ROUND(IF(M10="押一",J6/12*M11,IF(M10="押二",J6/12*2*M11,IF(M10="押三",J6/12*3*M11,J11*M11))),0)</f>
        <v>0</v>
      </c>
      <c r="K10" s="149" t="s">
        <v>2116</v>
      </c>
      <c r="L10" s="304" t="s">
        <v>701</v>
      </c>
      <c r="M10" s="1051"/>
    </row>
    <row r="11" spans="1:37" ht="18" customHeight="1">
      <c r="A11" s="299"/>
      <c r="B11" s="1272" t="s">
        <v>679</v>
      </c>
      <c r="C11" s="903"/>
      <c r="D11" s="1273"/>
      <c r="E11" s="304" t="s">
        <v>702</v>
      </c>
      <c r="F11" s="305">
        <f ca="1">'数据-取费表'!B39</f>
        <v>1.4999999999999999E-2</v>
      </c>
      <c r="G11" s="1289"/>
      <c r="H11" s="1012"/>
      <c r="I11" s="1272" t="s">
        <v>679</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17929</v>
      </c>
      <c r="D13" s="1016" t="s">
        <v>705</v>
      </c>
      <c r="E13" s="1016" t="s">
        <v>706</v>
      </c>
      <c r="F13" s="1017">
        <f ca="1">INDIRECT("'数据-取费表'!y"&amp;$G$1)</f>
        <v>0.93</v>
      </c>
      <c r="G13" s="1289"/>
      <c r="H13" s="1014">
        <v>2</v>
      </c>
      <c r="I13" s="1015" t="s">
        <v>704</v>
      </c>
      <c r="J13" s="1003">
        <f ca="1">ROUND(J14*J15,0)</f>
        <v>0</v>
      </c>
      <c r="K13" s="1022" t="s">
        <v>705</v>
      </c>
      <c r="L13" s="1296"/>
      <c r="M13" s="1297"/>
    </row>
    <row r="14" spans="1:37" ht="18" customHeight="1">
      <c r="A14" s="926" t="s">
        <v>397</v>
      </c>
      <c r="B14" s="293" t="s">
        <v>707</v>
      </c>
      <c r="C14" s="309">
        <f ca="1">INDIRECT("'数据-取费表'!m"&amp;$G$1)+INDIRECT("'数据-取费表'!t"&amp;$G$1)</f>
        <v>14161</v>
      </c>
      <c r="D14" s="1254" t="s">
        <v>708</v>
      </c>
      <c r="E14" s="1252"/>
      <c r="F14" s="310"/>
      <c r="G14" s="1289"/>
      <c r="H14" s="926" t="s">
        <v>398</v>
      </c>
      <c r="I14" s="293" t="s">
        <v>709</v>
      </c>
      <c r="J14" s="21">
        <f ca="1">C29</f>
        <v>19278</v>
      </c>
      <c r="K14" s="12"/>
      <c r="L14" s="757"/>
      <c r="M14" s="758"/>
    </row>
    <row r="15" spans="1:37" s="1301" customFormat="1" ht="18" customHeight="1" thickBot="1">
      <c r="A15" s="926" t="s">
        <v>399</v>
      </c>
      <c r="B15" s="293" t="s">
        <v>710</v>
      </c>
      <c r="C15" s="21">
        <f ca="1">ROUND(C14*F15,0)</f>
        <v>425</v>
      </c>
      <c r="D15" s="311" t="s">
        <v>711</v>
      </c>
      <c r="E15" s="311" t="s">
        <v>712</v>
      </c>
      <c r="F15" s="312">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ROUND(INDIRECT("'数据-取费表'!m"&amp;$G$1)*F16,0)</f>
        <v>0</v>
      </c>
      <c r="D16" s="293" t="s">
        <v>711</v>
      </c>
      <c r="E16" s="293" t="s">
        <v>712</v>
      </c>
      <c r="F16" s="313">
        <f ca="1">IF(INDIRECT("'数据-取费表'!c"&amp;$G$1)="住宅",'数据-取费表'!B34,0)</f>
        <v>0</v>
      </c>
      <c r="G16" s="1289"/>
      <c r="H16" s="1014" t="s">
        <v>393</v>
      </c>
      <c r="I16" s="1015" t="s">
        <v>714</v>
      </c>
      <c r="J16" s="301">
        <f ca="1">ROUND(J17+J22+J23+J24,0)</f>
        <v>98</v>
      </c>
      <c r="K16" s="1022" t="s">
        <v>715</v>
      </c>
      <c r="L16" s="1023"/>
      <c r="M16" s="1007"/>
    </row>
    <row r="17" spans="1:37" s="1301" customFormat="1" ht="18" customHeight="1">
      <c r="A17" s="926" t="s">
        <v>681</v>
      </c>
      <c r="B17" s="293" t="s">
        <v>716</v>
      </c>
      <c r="C17" s="21">
        <f ca="1">ROUND(F17*(F43+INDIRECT("'数据-取费表'!S"&amp;$G$1))/10000,0)</f>
        <v>573</v>
      </c>
      <c r="D17" s="293" t="s">
        <v>717</v>
      </c>
      <c r="E17" s="293" t="s">
        <v>718</v>
      </c>
      <c r="F17" s="23">
        <f>'数据-取费表'!B35</f>
        <v>200</v>
      </c>
      <c r="G17" s="1300"/>
      <c r="H17" s="926" t="s">
        <v>398</v>
      </c>
      <c r="I17" s="293" t="s">
        <v>719</v>
      </c>
      <c r="J17" s="2137">
        <f ca="1">ROUND(IF(AND(项目基本情况!B11="自然人",项目基本情况!B10="北京市"),J6*M17/(1+'数据-取费表'!C42),J18+J19+J20),2)</f>
        <v>1.33</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283</v>
      </c>
      <c r="D18" s="293" t="s">
        <v>711</v>
      </c>
      <c r="E18" s="293" t="s">
        <v>712</v>
      </c>
      <c r="F18" s="313">
        <f>'数据-取费表'!B36</f>
        <v>0.02</v>
      </c>
      <c r="G18" s="1300"/>
      <c r="H18" s="926" t="s">
        <v>397</v>
      </c>
      <c r="I18" s="293" t="s">
        <v>723</v>
      </c>
      <c r="J18" s="21">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15442</v>
      </c>
      <c r="D19" s="123" t="s">
        <v>726</v>
      </c>
      <c r="E19" s="1266"/>
      <c r="F19" s="23"/>
      <c r="G19" s="1289"/>
      <c r="H19" s="926" t="s">
        <v>399</v>
      </c>
      <c r="I19" s="293" t="s">
        <v>727</v>
      </c>
      <c r="J19" s="21">
        <f ca="1">IF(K19="按租金收入计税",ROUND(J6*M19/(1+'数据-取费表'!C42),2),ROUND(C29*M19*0.7,2))</f>
        <v>0</v>
      </c>
      <c r="K19" s="1275" t="s">
        <v>3338</v>
      </c>
      <c r="L19" s="293" t="s">
        <v>712</v>
      </c>
      <c r="M19" s="313">
        <f>IF(K19="按租金收入计税",'数据-取费表'!B51,'数据-取费表'!B50)</f>
        <v>0.12</v>
      </c>
    </row>
    <row r="20" spans="1:37" s="1301" customFormat="1" ht="18" customHeight="1">
      <c r="A20" s="926" t="s">
        <v>402</v>
      </c>
      <c r="B20" s="293" t="s">
        <v>728</v>
      </c>
      <c r="C20" s="21">
        <f ca="1">ROUND(C19*F20,0)</f>
        <v>309</v>
      </c>
      <c r="D20" s="314" t="s">
        <v>729</v>
      </c>
      <c r="E20" s="293" t="s">
        <v>712</v>
      </c>
      <c r="F20" s="313">
        <f>'数据-取费表'!B37</f>
        <v>0.02</v>
      </c>
      <c r="G20" s="1300"/>
      <c r="H20" s="926" t="s">
        <v>680</v>
      </c>
      <c r="I20" s="146" t="s">
        <v>730</v>
      </c>
      <c r="J20" s="22">
        <f ca="1">ROUND(M20*M21/10000,2)</f>
        <v>1.33</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f ca="1">INDIRECT("'数据-取费表'!r"&amp;$G$1)</f>
        <v>8883.130000000001</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3" t="str">
        <f>IF(F23&lt;=1,"单利计息。","复利计息。")&amp;"建造成本、管理费用、销售费用产生的利息。"</f>
        <v>复利计息。建造成本、管理费用、销售费用产生的利息。</v>
      </c>
      <c r="E22" s="1266"/>
      <c r="F22" s="23"/>
      <c r="G22" s="1289"/>
      <c r="H22" s="926" t="s">
        <v>402</v>
      </c>
      <c r="I22" s="293" t="s">
        <v>738</v>
      </c>
      <c r="J22" s="21">
        <f ca="1">ROUND(J14*M22,2)</f>
        <v>96.39</v>
      </c>
      <c r="K22" s="1253" t="s">
        <v>739</v>
      </c>
      <c r="L22" s="293" t="s">
        <v>712</v>
      </c>
      <c r="M22" s="319">
        <f ca="1">INDIRECT("'数据-取费表'!Ak"&amp;$G$1)</f>
        <v>5.0000000000000001E-3</v>
      </c>
    </row>
    <row r="23" spans="1:37" s="1301" customFormat="1" ht="18" customHeight="1">
      <c r="A23" s="926" t="s">
        <v>397</v>
      </c>
      <c r="B23" s="293" t="s">
        <v>740</v>
      </c>
      <c r="C23" s="21">
        <f ca="1">IF('数据-取费表'!B22&lt;=1,ROUND(C19*F24*F23/2,0)+ROUND(C20*F24*F23/2,0),ROUND(C19*(POWER((1+F24),F23/2)-1),0)+ROUND(C20*(POWER((1+F24),F23/2)-1),0))</f>
        <v>489</v>
      </c>
      <c r="D23" s="137" t="str">
        <f>IF(F23&lt;=1,"(建造成本+管理费用)×利率×(建设周期÷2)","(建造成本+管理费用)×((1+利率)^(建设周期÷2)-1)")</f>
        <v>(建造成本+管理费用)×((1+利率)^(建设周期÷2)-1)</v>
      </c>
      <c r="E23" s="293" t="s">
        <v>741</v>
      </c>
      <c r="F23" s="316">
        <f>'数据-取费表'!B20</f>
        <v>2</v>
      </c>
      <c r="G23" s="1300"/>
      <c r="H23" s="926" t="s">
        <v>437</v>
      </c>
      <c r="I23" s="293" t="s">
        <v>742</v>
      </c>
      <c r="J23" s="21">
        <f ca="1">ROUND(J13*M23,2)</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0"/>
      <c r="H24" s="1024" t="s">
        <v>684</v>
      </c>
      <c r="I24" s="1025" t="s">
        <v>728</v>
      </c>
      <c r="J24" s="1026">
        <f ca="1">ROUND(J5*M24,2)</f>
        <v>0</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3" t="s">
        <v>751</v>
      </c>
      <c r="E25" s="1266"/>
      <c r="F25" s="23"/>
      <c r="G25" s="1289"/>
      <c r="H25" s="1014" t="s">
        <v>394</v>
      </c>
      <c r="I25" s="1029" t="s">
        <v>752</v>
      </c>
      <c r="J25" s="301">
        <f ca="1">J5-J16</f>
        <v>-98</v>
      </c>
      <c r="K25" s="1030" t="s">
        <v>753</v>
      </c>
      <c r="L25" s="1031"/>
      <c r="M25" s="1032"/>
    </row>
    <row r="26" spans="1:37">
      <c r="A26" s="926" t="s">
        <v>397</v>
      </c>
      <c r="B26" s="293" t="s">
        <v>754</v>
      </c>
      <c r="C26" s="21">
        <f ca="1">ROUND((C19+C20)*F26,0)</f>
        <v>1575</v>
      </c>
      <c r="D26" s="314" t="s">
        <v>755</v>
      </c>
      <c r="E26" s="304" t="s">
        <v>756</v>
      </c>
      <c r="F26" s="303">
        <f ca="1">INDIRECT("'数据-取费表'!q"&amp;$G$1)</f>
        <v>0.1</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2E-3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19278</v>
      </c>
      <c r="D29" s="1027"/>
      <c r="E29" s="1025"/>
      <c r="F29" s="1028"/>
      <c r="G29" s="1300"/>
      <c r="H29" s="324" t="s">
        <v>396</v>
      </c>
      <c r="I29" s="325" t="s">
        <v>768</v>
      </c>
      <c r="J29" s="326">
        <f ca="1">ROUND(J26/(1+F40)^F41,0)</f>
        <v>0</v>
      </c>
      <c r="K29" s="327" t="s">
        <v>769</v>
      </c>
      <c r="L29" s="328"/>
      <c r="M29" s="329">
        <f ca="1">INDIRECT("'数据-取费表'!k"&amp;$G$1)</f>
        <v>28321.48</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554</v>
      </c>
      <c r="D30" s="1022" t="s">
        <v>715</v>
      </c>
      <c r="E30" s="1023"/>
      <c r="F30" s="1007"/>
      <c r="G30" s="1289"/>
      <c r="H30" s="2468"/>
      <c r="I30" s="1302"/>
      <c r="J30" s="1303"/>
      <c r="K30" s="121"/>
      <c r="L30" s="2469"/>
      <c r="M30" s="2470"/>
    </row>
    <row r="31" spans="1:37" ht="18" customHeight="1">
      <c r="A31" s="926" t="s">
        <v>398</v>
      </c>
      <c r="B31" s="293" t="s">
        <v>719</v>
      </c>
      <c r="C31" s="2137">
        <f ca="1">ROUND(IF(AND(项目基本情况!B11="自然人",项目基本情况!B10="北京市"),C6*F31/(1+'数据-取费表'!C42),C32+C33+C34),2)</f>
        <v>414.51</v>
      </c>
      <c r="D31" s="1254" t="s">
        <v>720</v>
      </c>
      <c r="E31" s="1253" t="s">
        <v>770</v>
      </c>
      <c r="F31" s="2136" t="str">
        <f>IF(项目基本情况!B11="企业","——",IF(M47="住宅",IF(F6*F7*F8/12/(1+'数据-取费表'!F30)&gt;100000,4%,2.5%),IF(F6*F7*F8/12/(1+'数据-取费表'!F30)&gt;100000,12%,7%)))</f>
        <v>——</v>
      </c>
      <c r="G31" s="1289"/>
      <c r="H31" s="2567" t="s">
        <v>2308</v>
      </c>
      <c r="I31" s="1302"/>
      <c r="J31" s="1303"/>
      <c r="K31" s="121"/>
      <c r="L31" s="2469"/>
      <c r="M31" s="2470"/>
    </row>
    <row r="32" spans="1:37" ht="18" customHeight="1">
      <c r="A32" s="926" t="s">
        <v>397</v>
      </c>
      <c r="B32" s="293" t="s">
        <v>723</v>
      </c>
      <c r="C32" s="21">
        <f ca="1">IF(项目基本情况!B11="自然人","——",ROUND(C6*F32/(1+'数据-取费表'!C42),2))</f>
        <v>131.47</v>
      </c>
      <c r="D32" s="1253" t="s">
        <v>724</v>
      </c>
      <c r="E32" s="293" t="s">
        <v>712</v>
      </c>
      <c r="F32" s="321">
        <f>'数据-取费表'!B41</f>
        <v>5.6000000000000001E-2</v>
      </c>
      <c r="G32" s="1289"/>
      <c r="H32" s="2468"/>
      <c r="I32" s="1302"/>
      <c r="J32" s="1303"/>
      <c r="K32" s="121"/>
      <c r="L32" s="2469"/>
      <c r="M32" s="2470"/>
    </row>
    <row r="33" spans="1:18" ht="18" customHeight="1">
      <c r="A33" s="926" t="s">
        <v>399</v>
      </c>
      <c r="B33" s="293" t="s">
        <v>727</v>
      </c>
      <c r="C33" s="21">
        <f ca="1">IF(项目基本情况!B11="自然人","——",IF(D33="按租金收入计税",ROUND(C6*F33/(1+'数据-取费表'!C42),2),IF(D33="按房产原值计税",ROUND(C29*F33*0.7,2),INDIRECT("'数据-取费表'!Aj"&amp;$G$1))))</f>
        <v>281.70999999999998</v>
      </c>
      <c r="D33" s="1275" t="s">
        <v>3338</v>
      </c>
      <c r="E33" s="293" t="s">
        <v>712</v>
      </c>
      <c r="F33" s="313">
        <f>IF(D33="按票据","——",IF(D33="按租金收入计税",'数据-取费表'!B51,'数据-取费表'!B50))</f>
        <v>0.12</v>
      </c>
      <c r="G33" s="1289"/>
      <c r="H33" s="2471"/>
      <c r="I33" s="1302"/>
      <c r="J33" s="1303"/>
      <c r="K33" s="2472"/>
      <c r="L33" s="2471"/>
      <c r="M33" s="2471"/>
    </row>
    <row r="34" spans="1:18" ht="18" customHeight="1">
      <c r="A34" s="1004" t="s">
        <v>680</v>
      </c>
      <c r="B34" s="146" t="s">
        <v>730</v>
      </c>
      <c r="C34" s="22">
        <f ca="1">IF(项目基本情况!B11="自然人","——",ROUND(F34*F35/10000,2))</f>
        <v>1.33</v>
      </c>
      <c r="D34" s="315" t="s">
        <v>731</v>
      </c>
      <c r="E34" s="293" t="s">
        <v>732</v>
      </c>
      <c r="F34" s="316">
        <f>'数据-取费表'!B52</f>
        <v>1.5</v>
      </c>
      <c r="G34" s="1289"/>
      <c r="H34" s="2468"/>
      <c r="I34" s="1302"/>
      <c r="J34" s="1303"/>
      <c r="K34" s="2473"/>
      <c r="L34" s="2474"/>
      <c r="M34" s="2474"/>
    </row>
    <row r="35" spans="1:18" ht="18" customHeight="1">
      <c r="A35" s="1038"/>
      <c r="B35" s="1036"/>
      <c r="C35" s="26"/>
      <c r="D35" s="318"/>
      <c r="E35" s="293" t="s">
        <v>736</v>
      </c>
      <c r="F35" s="294">
        <f ca="1">INDIRECT("'数据-取费表'!r"&amp;$G$1)</f>
        <v>8883.130000000001</v>
      </c>
      <c r="G35" s="1289"/>
      <c r="H35" s="2468"/>
      <c r="I35" s="1302"/>
      <c r="J35" s="1303"/>
      <c r="K35" s="2472"/>
      <c r="L35" s="2471"/>
      <c r="M35" s="2471"/>
    </row>
    <row r="36" spans="1:18" ht="18" customHeight="1">
      <c r="A36" s="1037" t="s">
        <v>402</v>
      </c>
      <c r="B36" s="293" t="s">
        <v>738</v>
      </c>
      <c r="C36" s="21">
        <f ca="1">ROUND(C29*F36,2)</f>
        <v>96.39</v>
      </c>
      <c r="D36" s="1253" t="s">
        <v>771</v>
      </c>
      <c r="E36" s="293" t="s">
        <v>712</v>
      </c>
      <c r="F36" s="319">
        <f ca="1">INDIRECT("'数据-取费表'!Ak"&amp;$G$1)</f>
        <v>5.0000000000000001E-3</v>
      </c>
      <c r="G36" s="1289"/>
      <c r="H36" s="2471"/>
      <c r="I36" s="1302"/>
      <c r="J36" s="1303"/>
      <c r="K36" s="2328"/>
      <c r="L36" s="2471"/>
      <c r="M36" s="2471"/>
    </row>
    <row r="37" spans="1:18" ht="18" customHeight="1">
      <c r="A37" s="926" t="s">
        <v>437</v>
      </c>
      <c r="B37" s="293" t="s">
        <v>742</v>
      </c>
      <c r="C37" s="21">
        <f ca="1">ROUND(C13*F37,2)</f>
        <v>17.93</v>
      </c>
      <c r="D37" s="1253" t="s">
        <v>743</v>
      </c>
      <c r="E37" s="293" t="s">
        <v>744</v>
      </c>
      <c r="F37" s="320">
        <f ca="1">INDIRECT("'数据-取费表'!Al"&amp;$G$1)</f>
        <v>1E-3</v>
      </c>
      <c r="G37" s="1289"/>
      <c r="H37" s="2471"/>
      <c r="I37" s="1302"/>
      <c r="J37" s="1303"/>
      <c r="K37" s="2328"/>
      <c r="L37" s="2471"/>
      <c r="M37" s="2471"/>
    </row>
    <row r="38" spans="1:18" ht="18" customHeight="1" thickBot="1">
      <c r="A38" s="1024" t="s">
        <v>684</v>
      </c>
      <c r="B38" s="1025" t="s">
        <v>728</v>
      </c>
      <c r="C38" s="1026">
        <f ca="1">ROUND(C5*F38,2)</f>
        <v>24.68</v>
      </c>
      <c r="D38" s="1027" t="s">
        <v>748</v>
      </c>
      <c r="E38" s="1025" t="s">
        <v>744</v>
      </c>
      <c r="F38" s="1021">
        <f ca="1">INDIRECT("'数据-取费表'!Am"&amp;$G$1)</f>
        <v>0.01</v>
      </c>
      <c r="G38" s="1289"/>
      <c r="H38" s="2471"/>
      <c r="I38" s="1302"/>
      <c r="J38" s="1303"/>
      <c r="K38" s="2469"/>
      <c r="L38" s="2471"/>
      <c r="M38" s="2471"/>
    </row>
    <row r="39" spans="1:18" ht="24.6" customHeight="1" thickTop="1">
      <c r="A39" s="1014" t="s">
        <v>394</v>
      </c>
      <c r="B39" s="1029" t="s">
        <v>772</v>
      </c>
      <c r="C39" s="301">
        <f ca="1">C5-C30</f>
        <v>1914</v>
      </c>
      <c r="D39" s="1030" t="s">
        <v>773</v>
      </c>
      <c r="E39" s="1031"/>
      <c r="F39" s="1032"/>
      <c r="G39" s="1289"/>
      <c r="H39" s="2471"/>
      <c r="I39" s="1302"/>
      <c r="J39" s="1303"/>
      <c r="K39" s="2469"/>
      <c r="L39" s="2471"/>
      <c r="M39" s="2471"/>
    </row>
    <row r="40" spans="1:18" ht="18" customHeight="1">
      <c r="A40" s="290" t="s">
        <v>395</v>
      </c>
      <c r="B40" s="291" t="s">
        <v>774</v>
      </c>
      <c r="C40" s="292">
        <f ca="1">ROUND(C39*(1-((1+F42)/(1+F40))^F41)/(F40-F42),0)</f>
        <v>41147</v>
      </c>
      <c r="D40" s="315" t="s">
        <v>758</v>
      </c>
      <c r="E40" s="293" t="s">
        <v>759</v>
      </c>
      <c r="F40" s="303">
        <f ca="1">INDIRECT("'数据-取费表'!I"&amp;$G$1)</f>
        <v>5.5E-2</v>
      </c>
      <c r="G40" s="1289"/>
      <c r="H40" s="1363"/>
      <c r="I40" s="1302"/>
      <c r="J40" s="1303"/>
      <c r="K40" s="2469"/>
      <c r="L40" s="1363"/>
      <c r="M40" s="1363"/>
    </row>
    <row r="41" spans="1:18" ht="18" customHeight="1">
      <c r="A41" s="295"/>
      <c r="B41" s="296"/>
      <c r="C41" s="297"/>
      <c r="D41" s="322" t="s">
        <v>775</v>
      </c>
      <c r="E41" s="293" t="s">
        <v>763</v>
      </c>
      <c r="F41" s="323">
        <f ca="1">IF(INDIRECT("'数据-取费表'!af"&amp;$G$1)=0,INDIRECT("'数据-取费表'!ae"&amp;$G$1),INDIRECT("'数据-取费表'!af"&amp;$G$1))</f>
        <v>41.38</v>
      </c>
      <c r="G41" s="1289"/>
      <c r="H41" s="121">
        <f ca="1">C39/C5</f>
        <v>0.77552674230145868</v>
      </c>
      <c r="I41" s="1302"/>
      <c r="J41" s="1303"/>
      <c r="K41" s="2328"/>
      <c r="L41" s="121"/>
      <c r="M41" s="121"/>
    </row>
    <row r="42" spans="1:18" ht="18" customHeight="1">
      <c r="A42" s="299"/>
      <c r="B42" s="300"/>
      <c r="C42" s="301"/>
      <c r="D42" s="318"/>
      <c r="E42" s="293" t="s">
        <v>766</v>
      </c>
      <c r="F42" s="303">
        <f ca="1">INDIRECT("'数据-取费表'!v"&amp;$G$1)</f>
        <v>0.02</v>
      </c>
      <c r="G42" s="1289"/>
      <c r="H42" s="121"/>
      <c r="I42" s="1302"/>
      <c r="J42" s="1303"/>
      <c r="K42" s="2328"/>
      <c r="L42" s="121"/>
      <c r="M42" s="121"/>
    </row>
    <row r="43" spans="1:18" ht="18" customHeight="1" thickBot="1">
      <c r="A43" s="324" t="s">
        <v>396</v>
      </c>
      <c r="B43" s="325" t="s">
        <v>776</v>
      </c>
      <c r="C43" s="326">
        <f ca="1">ROUND(C40*10000/F43,0)</f>
        <v>14529</v>
      </c>
      <c r="D43" s="327" t="s">
        <v>777</v>
      </c>
      <c r="E43" s="328" t="s">
        <v>778</v>
      </c>
      <c r="F43" s="329">
        <f ca="1">INDIRECT("'数据-取费表'!k"&amp;$G$1)</f>
        <v>28321.48</v>
      </c>
      <c r="G43" s="1289"/>
      <c r="H43" s="121"/>
      <c r="I43" s="121"/>
      <c r="J43" s="121"/>
      <c r="K43" s="2328"/>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5" t="s">
        <v>808</v>
      </c>
      <c r="P45" s="1363"/>
      <c r="Q45" s="1363"/>
      <c r="R45" s="1363"/>
    </row>
    <row r="46" spans="1:18" s="1289" customFormat="1" ht="13.5" thickBot="1">
      <c r="A46" s="1308" t="s">
        <v>809</v>
      </c>
      <c r="C46" s="1309">
        <f ca="1">C68-C40</f>
        <v>-43010</v>
      </c>
      <c r="D46" s="1310" t="str">
        <f>C2</f>
        <v>万元</v>
      </c>
      <c r="E46" s="1304"/>
      <c r="F46" s="1304"/>
      <c r="I46" s="1311" t="s">
        <v>810</v>
      </c>
      <c r="J46" s="1312"/>
      <c r="K46" s="1313"/>
      <c r="L46" s="1314">
        <f ca="1">IF(M47="住宅",0,IF(L48&gt;J51,L60,J60))</f>
        <v>387</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t="s">
        <v>3615</v>
      </c>
      <c r="K47" s="1320" t="s">
        <v>816</v>
      </c>
      <c r="L47" s="1321">
        <f ca="1">INDIRECT("'数据-取费表'!d"&amp;$G$1)</f>
        <v>50</v>
      </c>
      <c r="M47" s="1285" t="str">
        <f>IF(ISNUMBER(FIND("住宅",C1)),"住宅","非住宅")</f>
        <v>非住宅</v>
      </c>
      <c r="O47" s="1322" t="s">
        <v>403</v>
      </c>
      <c r="P47" s="1323" t="s">
        <v>817</v>
      </c>
      <c r="Q47" s="1324">
        <f ca="1">C40+J29</f>
        <v>41147</v>
      </c>
      <c r="R47" s="1324" t="s">
        <v>818</v>
      </c>
    </row>
    <row r="48" spans="1:18" s="1289" customFormat="1" ht="28.5" thickBot="1">
      <c r="A48" s="1045" t="s">
        <v>438</v>
      </c>
      <c r="B48" s="291" t="s">
        <v>692</v>
      </c>
      <c r="C48" s="1265">
        <f ca="1">C49+C53+C55</f>
        <v>0</v>
      </c>
      <c r="D48" s="1047"/>
      <c r="E48" s="1048"/>
      <c r="F48" s="906"/>
      <c r="G48" s="679"/>
      <c r="H48" s="680"/>
      <c r="I48" s="1325" t="s">
        <v>819</v>
      </c>
      <c r="J48" s="1326" t="s">
        <v>3616</v>
      </c>
      <c r="K48" s="1327" t="s">
        <v>820</v>
      </c>
      <c r="L48" s="1328">
        <f ca="1">INDIRECT("'数据-取费表'!f"&amp;$G$1)</f>
        <v>41.38</v>
      </c>
      <c r="O48" s="1322" t="s">
        <v>404</v>
      </c>
      <c r="P48" s="1323" t="s">
        <v>821</v>
      </c>
      <c r="Q48" s="1324">
        <f ca="1">J60</f>
        <v>387</v>
      </c>
      <c r="R48" s="1324" t="s">
        <v>822</v>
      </c>
    </row>
    <row r="49" spans="1:18" s="1289" customFormat="1" ht="13.5" thickBot="1">
      <c r="A49" s="919" t="s">
        <v>439</v>
      </c>
      <c r="B49" s="1276" t="s">
        <v>779</v>
      </c>
      <c r="C49" s="1049">
        <f ca="1">ROUND(F49*F51*F50*(1-F52)/10000,0)</f>
        <v>0</v>
      </c>
      <c r="D49" s="990" t="s">
        <v>2110</v>
      </c>
      <c r="E49" s="1277" t="s">
        <v>780</v>
      </c>
      <c r="F49" s="995"/>
      <c r="H49" s="680"/>
      <c r="I49" s="1325" t="s">
        <v>823</v>
      </c>
      <c r="J49" s="1329">
        <f>'数据-取费表'!N18</f>
        <v>2020</v>
      </c>
      <c r="K49" s="1327" t="s">
        <v>824</v>
      </c>
      <c r="L49" s="1330"/>
      <c r="O49" s="1331" t="s">
        <v>405</v>
      </c>
      <c r="P49" s="1323" t="s">
        <v>825</v>
      </c>
      <c r="Q49" s="1324">
        <f ca="1">C29</f>
        <v>19278</v>
      </c>
      <c r="R49" s="1324" t="s">
        <v>818</v>
      </c>
    </row>
    <row r="50" spans="1:18" s="1289" customFormat="1" ht="13.5" thickBot="1">
      <c r="A50" s="920"/>
      <c r="B50" s="923"/>
      <c r="C50" s="1053"/>
      <c r="D50" s="897"/>
      <c r="E50" s="991" t="s">
        <v>697</v>
      </c>
      <c r="F50" s="992">
        <f ca="1">F7</f>
        <v>28321.48</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1"/>
      <c r="B51" s="923"/>
      <c r="C51" s="924"/>
      <c r="D51" s="897"/>
      <c r="E51" s="925" t="s">
        <v>698</v>
      </c>
      <c r="F51" s="294">
        <f ca="1">F8</f>
        <v>365</v>
      </c>
      <c r="I51" s="1335" t="s">
        <v>829</v>
      </c>
      <c r="J51" s="1328">
        <f>IF(J49="",J50,J49+J50-YEAR('数据-取费表'!B2))</f>
        <v>56</v>
      </c>
      <c r="K51" s="1336" t="s">
        <v>830</v>
      </c>
      <c r="L51" s="1337">
        <f ca="1">ROUND(-PV(INDIRECT("'数据-取费表'!h"&amp;$G$1),J51,(C39-C13*C76),0),0)</f>
        <v>12322</v>
      </c>
      <c r="M51" s="1338"/>
      <c r="O51" s="1331" t="s">
        <v>407</v>
      </c>
      <c r="P51" s="1323" t="s">
        <v>831</v>
      </c>
      <c r="Q51" s="1334">
        <f>J52</f>
        <v>7.4999999999999997E-2</v>
      </c>
      <c r="R51" s="1324"/>
    </row>
    <row r="52" spans="1:18" s="1289" customFormat="1" ht="13.5" thickBot="1">
      <c r="A52" s="921"/>
      <c r="B52" s="923"/>
      <c r="C52" s="924"/>
      <c r="D52" s="897"/>
      <c r="E52" s="925" t="s">
        <v>699</v>
      </c>
      <c r="F52" s="989"/>
      <c r="I52" s="1339" t="s">
        <v>832</v>
      </c>
      <c r="J52" s="1340">
        <v>7.4999999999999997E-2</v>
      </c>
      <c r="K52" s="1339" t="s">
        <v>833</v>
      </c>
      <c r="L52" s="1340"/>
      <c r="O52" s="1331" t="s">
        <v>408</v>
      </c>
      <c r="P52" s="1323" t="s">
        <v>834</v>
      </c>
      <c r="Q52" s="1324">
        <f ca="1">J53</f>
        <v>41.38</v>
      </c>
      <c r="R52" s="1324" t="s">
        <v>835</v>
      </c>
    </row>
    <row r="53" spans="1:18" s="1289" customFormat="1" ht="24.75" thickBot="1">
      <c r="A53" s="1076" t="s">
        <v>440</v>
      </c>
      <c r="B53" s="1278" t="s">
        <v>700</v>
      </c>
      <c r="C53" s="307">
        <f ca="1">ROUND(IF(F53="押一",C49/12*F11,IF(F53="押二",C49/12*2*F11,IF(F53="押三",C49/12*3*F11,C54*F11))),0)</f>
        <v>0</v>
      </c>
      <c r="D53" s="149" t="s">
        <v>2116</v>
      </c>
      <c r="E53" s="304" t="s">
        <v>701</v>
      </c>
      <c r="F53" s="1051"/>
      <c r="I53" s="1341" t="s">
        <v>836</v>
      </c>
      <c r="J53" s="2003">
        <f ca="1">IF(M47="住宅",IF(D1="——",MAX(J51,L48),MAX(J51,L48-'数据-取费表'!B24)),IF(D1="——",MIN(J51,L48),MIN(J51,L48-'数据-取费表'!B24)))</f>
        <v>41.38</v>
      </c>
      <c r="K53" s="3395" t="s">
        <v>837</v>
      </c>
      <c r="L53" s="3396"/>
      <c r="O53" s="1322" t="s">
        <v>409</v>
      </c>
      <c r="P53" s="1323" t="s">
        <v>838</v>
      </c>
      <c r="Q53" s="1324">
        <f ca="1">Q47+Q48</f>
        <v>41534</v>
      </c>
      <c r="R53" s="1324" t="s">
        <v>410</v>
      </c>
    </row>
    <row r="54" spans="1:18" s="1289" customFormat="1" ht="13.5" thickBot="1">
      <c r="A54" s="1077"/>
      <c r="B54" s="1272" t="s">
        <v>679</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f ca="1">ROUND(IF(J47="钢混",J57/J50,1-(1-2%)*(J50-J57)/J50),3)</f>
        <v>0.24399999999999999</v>
      </c>
      <c r="K55" s="1347" t="s">
        <v>841</v>
      </c>
      <c r="L55" s="1348"/>
      <c r="O55" s="1315" t="s">
        <v>811</v>
      </c>
      <c r="P55" s="1316" t="s">
        <v>812</v>
      </c>
      <c r="Q55" s="1317" t="s">
        <v>813</v>
      </c>
      <c r="R55" s="1317" t="s">
        <v>814</v>
      </c>
    </row>
    <row r="56" spans="1:18" s="1289" customFormat="1" ht="25.5" thickTop="1" thickBot="1">
      <c r="A56" s="901">
        <v>2</v>
      </c>
      <c r="B56" s="902" t="s">
        <v>704</v>
      </c>
      <c r="C56" s="223">
        <f ca="1">C13</f>
        <v>17929</v>
      </c>
      <c r="D56" s="1349"/>
      <c r="E56" s="1350"/>
      <c r="F56" s="1342"/>
      <c r="I56" s="1351" t="s">
        <v>842</v>
      </c>
      <c r="J56" s="1352" t="s">
        <v>3614</v>
      </c>
      <c r="K56" s="1325" t="s">
        <v>843</v>
      </c>
      <c r="L56" s="1328" t="str">
        <f ca="1">IF(L48&lt;J51,"——",L48-J53)</f>
        <v>——</v>
      </c>
      <c r="O56" s="1322" t="s">
        <v>403</v>
      </c>
      <c r="P56" s="1323" t="s">
        <v>817</v>
      </c>
      <c r="Q56" s="1324">
        <f ca="1">C40+J29</f>
        <v>41147</v>
      </c>
      <c r="R56" s="1324" t="s">
        <v>818</v>
      </c>
    </row>
    <row r="57" spans="1:18" s="1289" customFormat="1" ht="24.75" thickBot="1">
      <c r="A57" s="1353"/>
      <c r="B57" s="894" t="s">
        <v>767</v>
      </c>
      <c r="C57" s="229">
        <f ca="1">C29</f>
        <v>19278</v>
      </c>
      <c r="D57" s="1354"/>
      <c r="E57" s="1355"/>
      <c r="F57" s="1356"/>
      <c r="I57" s="1357" t="s">
        <v>844</v>
      </c>
      <c r="J57" s="1358">
        <f ca="1">IF(OR(M47="住宅",J51&lt;L48,J56="是"),"——",J51-L48)</f>
        <v>14.619999999999997</v>
      </c>
      <c r="K57" s="1325" t="s">
        <v>845</v>
      </c>
      <c r="L57" s="1328" t="str">
        <f ca="1">IF(L48&lt;J51,"——",IF(L55="比较法",L49,IF(L55="基准地价",L50,L51)))</f>
        <v>——</v>
      </c>
      <c r="O57" s="1322" t="s">
        <v>404</v>
      </c>
      <c r="P57" s="1323" t="s">
        <v>846</v>
      </c>
      <c r="Q57" s="1324">
        <f ca="1">L60</f>
        <v>0</v>
      </c>
      <c r="R57" s="1324" t="s">
        <v>847</v>
      </c>
    </row>
    <row r="58" spans="1:18" s="1289" customFormat="1" ht="24.75" thickBot="1">
      <c r="A58" s="306" t="s">
        <v>393</v>
      </c>
      <c r="B58" s="902" t="s">
        <v>714</v>
      </c>
      <c r="C58" s="307">
        <f ca="1">ROUND(C59+C64+C65+C66,0)</f>
        <v>115</v>
      </c>
      <c r="D58" s="904" t="s">
        <v>715</v>
      </c>
      <c r="E58" s="905"/>
      <c r="F58" s="906"/>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7">
        <f ca="1">ROUND(IF(AND(项目基本情况!B11="自然人",项目基本情况!B10="北京市"),C49*F59/(1+'数据-取费表'!C42),C60+C61+C62),0)</f>
        <v>1</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7711</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IF(项目基本情况!B11="自然人","——",ROUND(C48*F60/(1+'数据-取费表'!C42),2))</f>
        <v>0</v>
      </c>
      <c r="D60" s="908" t="s">
        <v>724</v>
      </c>
      <c r="E60" s="894" t="s">
        <v>712</v>
      </c>
      <c r="F60" s="321">
        <f t="shared" ref="F60:F66" si="0">F32</f>
        <v>5.6000000000000001E-2</v>
      </c>
      <c r="I60" s="1360" t="s">
        <v>853</v>
      </c>
      <c r="J60" s="1361">
        <f ca="1">IF(OR(M47="住宅",J51&lt;L48,J56="是"),"0",ROUND(J59/(1+J52)^J53,0))</f>
        <v>387</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IF(项目基本情况!B11="自然人","——",IF(D61="按租金收入计税",ROUND(C49*F61/(1+'数据-取费表'!C42),2),IF(D61="按房产原值计税",ROUND(C57*F61*0.7,2),INDIRECT("'数据-取费表'!Aj"&amp;$G$1))))</f>
        <v>0</v>
      </c>
      <c r="D61" s="1275" t="s">
        <v>3338</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IF(项目基本情况!B11="自然人","——",ROUND(F62*F63/10000,2))</f>
        <v>1.33</v>
      </c>
      <c r="D62" s="909" t="s">
        <v>786</v>
      </c>
      <c r="E62" s="894" t="s">
        <v>787</v>
      </c>
      <c r="F62" s="316">
        <f t="shared" si="0"/>
        <v>1.5</v>
      </c>
      <c r="I62" s="1364" t="s">
        <v>858</v>
      </c>
      <c r="J62" s="609" t="s">
        <v>859</v>
      </c>
      <c r="K62" s="609" t="s">
        <v>860</v>
      </c>
      <c r="L62" s="609" t="s">
        <v>861</v>
      </c>
      <c r="M62" s="1365" t="s">
        <v>862</v>
      </c>
      <c r="O62" s="1322" t="s">
        <v>409</v>
      </c>
      <c r="P62" s="1323" t="s">
        <v>863</v>
      </c>
      <c r="Q62" s="1324">
        <f ca="1">Q56+Q57</f>
        <v>41147</v>
      </c>
      <c r="R62" s="1324" t="s">
        <v>410</v>
      </c>
    </row>
    <row r="63" spans="1:18" s="1289" customFormat="1" ht="13.5" thickBot="1">
      <c r="A63" s="317"/>
      <c r="B63" s="900"/>
      <c r="C63" s="26"/>
      <c r="D63" s="910"/>
      <c r="E63" s="894" t="s">
        <v>788</v>
      </c>
      <c r="F63" s="294">
        <f t="shared" ca="1" si="0"/>
        <v>8883.130000000001</v>
      </c>
      <c r="I63" s="1364" t="s">
        <v>864</v>
      </c>
      <c r="J63" s="609">
        <v>70</v>
      </c>
      <c r="K63" s="609">
        <v>50</v>
      </c>
      <c r="L63" s="609">
        <v>80</v>
      </c>
      <c r="M63" s="1366">
        <v>0.02</v>
      </c>
      <c r="O63" s="1307" t="s">
        <v>865</v>
      </c>
      <c r="P63" s="1286"/>
      <c r="Q63" s="1286"/>
      <c r="R63" s="1286"/>
    </row>
    <row r="64" spans="1:18" s="1289" customFormat="1" ht="13.5" thickBot="1">
      <c r="A64" s="926" t="s">
        <v>789</v>
      </c>
      <c r="B64" s="894" t="s">
        <v>790</v>
      </c>
      <c r="C64" s="21">
        <f ca="1">ROUND(C57*F64,2)</f>
        <v>96.39</v>
      </c>
      <c r="D64" s="908" t="s">
        <v>791</v>
      </c>
      <c r="E64" s="894" t="s">
        <v>783</v>
      </c>
      <c r="F64" s="319">
        <f t="shared" ca="1" si="0"/>
        <v>5.0000000000000001E-3</v>
      </c>
      <c r="I64" s="1364" t="s">
        <v>866</v>
      </c>
      <c r="J64" s="609">
        <v>50</v>
      </c>
      <c r="K64" s="609">
        <v>35</v>
      </c>
      <c r="L64" s="609">
        <v>60</v>
      </c>
      <c r="M64" s="1365">
        <v>0</v>
      </c>
      <c r="O64" s="1315" t="s">
        <v>811</v>
      </c>
      <c r="P64" s="1316" t="s">
        <v>812</v>
      </c>
      <c r="Q64" s="1317" t="s">
        <v>813</v>
      </c>
      <c r="R64" s="1317" t="s">
        <v>814</v>
      </c>
    </row>
    <row r="65" spans="1:18" s="1289" customFormat="1" ht="13.5" thickBot="1">
      <c r="A65" s="926" t="s">
        <v>792</v>
      </c>
      <c r="B65" s="894" t="s">
        <v>742</v>
      </c>
      <c r="C65" s="21">
        <f ca="1">ROUND(C56*F65,2)</f>
        <v>17.93</v>
      </c>
      <c r="D65" s="908" t="s">
        <v>743</v>
      </c>
      <c r="E65" s="894" t="s">
        <v>744</v>
      </c>
      <c r="F65" s="320">
        <f t="shared" ca="1" si="0"/>
        <v>1E-3</v>
      </c>
      <c r="I65" s="1364" t="s">
        <v>867</v>
      </c>
      <c r="J65" s="609">
        <v>40</v>
      </c>
      <c r="K65" s="609">
        <v>30</v>
      </c>
      <c r="L65" s="609">
        <v>50</v>
      </c>
      <c r="M65" s="1366">
        <v>0.02</v>
      </c>
      <c r="O65" s="1322" t="s">
        <v>403</v>
      </c>
      <c r="P65" s="1323" t="s">
        <v>868</v>
      </c>
      <c r="Q65" s="1324">
        <f ca="1">C40+J29</f>
        <v>41147</v>
      </c>
      <c r="R65" s="1324" t="s">
        <v>818</v>
      </c>
    </row>
    <row r="66" spans="1:18" s="1289" customFormat="1" ht="16.5" thickBot="1">
      <c r="A66" s="926" t="s">
        <v>793</v>
      </c>
      <c r="B66" s="894" t="s">
        <v>728</v>
      </c>
      <c r="C66" s="21">
        <f ca="1">ROUND(C48*F66,2)</f>
        <v>0</v>
      </c>
      <c r="D66" s="908" t="s">
        <v>794</v>
      </c>
      <c r="E66" s="894" t="s">
        <v>712</v>
      </c>
      <c r="F66" s="303">
        <f t="shared" ca="1" si="0"/>
        <v>0.01</v>
      </c>
      <c r="O66" s="1322" t="s">
        <v>404</v>
      </c>
      <c r="P66" s="1323" t="s">
        <v>846</v>
      </c>
      <c r="Q66" s="1324">
        <f ca="1">L60</f>
        <v>0</v>
      </c>
      <c r="R66" s="1324" t="s">
        <v>869</v>
      </c>
    </row>
    <row r="67" spans="1:18" s="1289" customFormat="1" ht="16.5" thickBot="1">
      <c r="A67" s="901" t="s">
        <v>394</v>
      </c>
      <c r="B67" s="911" t="s">
        <v>752</v>
      </c>
      <c r="C67" s="307">
        <f ca="1">C48-C58</f>
        <v>-115</v>
      </c>
      <c r="D67" s="907" t="s">
        <v>753</v>
      </c>
      <c r="E67" s="912"/>
      <c r="F67" s="913"/>
      <c r="O67" s="1331" t="s">
        <v>405</v>
      </c>
      <c r="P67" s="1323" t="s">
        <v>850</v>
      </c>
      <c r="Q67" s="1367">
        <f ca="1">L51</f>
        <v>12322</v>
      </c>
      <c r="R67" s="1324" t="s">
        <v>870</v>
      </c>
    </row>
    <row r="68" spans="1:18" s="1289" customFormat="1" ht="16.5" thickBot="1">
      <c r="A68" s="891" t="s">
        <v>395</v>
      </c>
      <c r="B68" s="892" t="s">
        <v>774</v>
      </c>
      <c r="C68" s="292">
        <f ca="1">ROUND(C67*(1-((1+F70)/(1+F68))^F69)/(F68-F70),0)</f>
        <v>-1863</v>
      </c>
      <c r="D68" s="909" t="s">
        <v>758</v>
      </c>
      <c r="E68" s="894" t="s">
        <v>759</v>
      </c>
      <c r="F68" s="303">
        <f ca="1">F40</f>
        <v>5.5E-2</v>
      </c>
      <c r="O68" s="1331" t="s">
        <v>406</v>
      </c>
      <c r="P68" s="1368" t="s">
        <v>871</v>
      </c>
      <c r="Q68" s="1324">
        <f ca="1">ROUND(Q69-Q70*Q71,0)</f>
        <v>659</v>
      </c>
      <c r="R68" s="1324" t="s">
        <v>414</v>
      </c>
    </row>
    <row r="69" spans="1:18" s="1289" customFormat="1" ht="13.5" thickBot="1">
      <c r="A69" s="895"/>
      <c r="B69" s="896"/>
      <c r="C69" s="297"/>
      <c r="D69" s="914" t="s">
        <v>762</v>
      </c>
      <c r="E69" s="894" t="s">
        <v>763</v>
      </c>
      <c r="F69" s="323">
        <f ca="1">F41</f>
        <v>41.38</v>
      </c>
      <c r="O69" s="1331" t="s">
        <v>411</v>
      </c>
      <c r="P69" s="1368" t="s">
        <v>872</v>
      </c>
      <c r="Q69" s="1324">
        <f ca="1">C39</f>
        <v>1914</v>
      </c>
      <c r="R69" s="1324" t="s">
        <v>818</v>
      </c>
    </row>
    <row r="70" spans="1:18" s="1289" customFormat="1" ht="13.5" thickBot="1">
      <c r="A70" s="898"/>
      <c r="B70" s="899"/>
      <c r="C70" s="301"/>
      <c r="D70" s="910"/>
      <c r="E70" s="894" t="s">
        <v>766</v>
      </c>
      <c r="F70" s="989"/>
      <c r="O70" s="1331" t="s">
        <v>412</v>
      </c>
      <c r="P70" s="1368" t="s">
        <v>873</v>
      </c>
      <c r="Q70" s="1324">
        <f ca="1">C13</f>
        <v>17929</v>
      </c>
      <c r="R70" s="1324" t="s">
        <v>818</v>
      </c>
    </row>
    <row r="71" spans="1:18" s="1289" customFormat="1" ht="13.5" thickBot="1">
      <c r="A71" s="915" t="s">
        <v>396</v>
      </c>
      <c r="B71" s="916" t="s">
        <v>776</v>
      </c>
      <c r="C71" s="326">
        <f ca="1">ROUND(C68*10000/F71,0)</f>
        <v>-658</v>
      </c>
      <c r="D71" s="917" t="s">
        <v>777</v>
      </c>
      <c r="E71" s="918" t="s">
        <v>778</v>
      </c>
      <c r="F71" s="329">
        <f ca="1">F43</f>
        <v>28321.48</v>
      </c>
      <c r="O71" s="1331" t="s">
        <v>413</v>
      </c>
      <c r="P71" s="1368" t="s">
        <v>874</v>
      </c>
      <c r="Q71" s="1334">
        <f ca="1">C76</f>
        <v>7.0000000000000007E-2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1255</v>
      </c>
      <c r="D75" s="1289"/>
      <c r="E75" s="1289"/>
      <c r="F75" s="1289"/>
      <c r="K75" s="1306"/>
      <c r="L75" s="1289"/>
      <c r="O75" s="1322" t="s">
        <v>409</v>
      </c>
      <c r="P75" s="1323" t="s">
        <v>838</v>
      </c>
      <c r="Q75" s="1324">
        <f ca="1">Q65+Q66</f>
        <v>41147</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0.34399999999999997</v>
      </c>
    </row>
    <row r="80" spans="1:18">
      <c r="B80" s="330" t="s">
        <v>800</v>
      </c>
      <c r="C80" s="265">
        <f ca="1">ROUND(C75/C39,3)</f>
        <v>0.65600000000000003</v>
      </c>
    </row>
    <row r="81" spans="2:3">
      <c r="B81" s="261" t="s">
        <v>801</v>
      </c>
      <c r="C81" s="229"/>
    </row>
    <row r="82" spans="2:3">
      <c r="B82" s="264" t="s">
        <v>802</v>
      </c>
      <c r="C82" s="266">
        <f ca="1">1-C83</f>
        <v>0.56400000000000006</v>
      </c>
    </row>
    <row r="83" spans="2:3">
      <c r="B83" s="264" t="s">
        <v>803</v>
      </c>
      <c r="C83" s="265">
        <f ca="1">ROUND(C13/C40,3)</f>
        <v>0.436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c r="D1" s="1268" t="s">
        <v>43</v>
      </c>
      <c r="E1" s="1269" t="s">
        <v>678</v>
      </c>
      <c r="F1" s="997">
        <f ca="1">J53</f>
        <v>0</v>
      </c>
      <c r="G1" s="1283">
        <f>MATCH(C1,'数据-取费表'!A6:A16,0)+5</f>
        <v>8</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21" t="e">
        <f ca="1">ROUND(D2/10000,4)</f>
        <v>#DIV/0!</v>
      </c>
      <c r="C2" s="1286" t="s">
        <v>879</v>
      </c>
      <c r="D2" s="1372" t="e">
        <f ca="1">C40+J29+L46</f>
        <v>#DIV/0!</v>
      </c>
      <c r="E2" s="1292" t="s">
        <v>880</v>
      </c>
      <c r="F2" s="1293"/>
      <c r="G2" s="2476"/>
      <c r="H2" s="2466"/>
      <c r="I2" s="2466"/>
      <c r="J2" s="2466"/>
      <c r="K2" s="2467"/>
      <c r="L2" s="2466"/>
      <c r="M2" s="2466"/>
    </row>
    <row r="3" spans="1:37" ht="18" customHeight="1" thickBot="1">
      <c r="A3" s="1294" t="s">
        <v>881</v>
      </c>
      <c r="B3" s="1295">
        <f ca="1">IF(ISERROR(D2/F43),0,ROUND(D2/F43,0))</f>
        <v>0</v>
      </c>
      <c r="C3" s="1286" t="s">
        <v>882</v>
      </c>
      <c r="D3" s="1286"/>
      <c r="E3" s="1292"/>
      <c r="F3" s="1293"/>
      <c r="G3" s="2476"/>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5">
        <f ca="1">C6+C10+C12</f>
        <v>0</v>
      </c>
      <c r="D5" s="1270" t="s">
        <v>889</v>
      </c>
      <c r="E5" s="1006"/>
      <c r="F5" s="1007"/>
      <c r="G5" s="1289"/>
      <c r="H5" s="290">
        <v>1</v>
      </c>
      <c r="I5" s="291" t="s">
        <v>888</v>
      </c>
      <c r="J5" s="1005">
        <f ca="1">J6+J10+J12</f>
        <v>0</v>
      </c>
      <c r="K5" s="1270" t="s">
        <v>889</v>
      </c>
      <c r="L5" s="1006"/>
      <c r="M5" s="1007"/>
    </row>
    <row r="6" spans="1:37" ht="18" customHeight="1">
      <c r="A6" s="1004" t="s">
        <v>398</v>
      </c>
      <c r="B6" s="3397" t="s">
        <v>694</v>
      </c>
      <c r="C6" s="1009">
        <f ca="1">ROUND(F6*F8*F7*(1-F9),0)</f>
        <v>0</v>
      </c>
      <c r="D6" s="146" t="s">
        <v>2106</v>
      </c>
      <c r="E6" s="293" t="s">
        <v>696</v>
      </c>
      <c r="F6" s="294">
        <f ca="1">INDIRECT("'数据-取费表'!u"&amp;$G$1)</f>
        <v>0</v>
      </c>
      <c r="G6" s="1289"/>
      <c r="H6" s="1004" t="s">
        <v>398</v>
      </c>
      <c r="I6" s="3397" t="s">
        <v>694</v>
      </c>
      <c r="J6" s="292">
        <f ca="1">ROUND(M6*M8*M7*(1-M9),0)</f>
        <v>0</v>
      </c>
      <c r="K6" s="1281" t="s">
        <v>2107</v>
      </c>
      <c r="L6" s="293" t="s">
        <v>696</v>
      </c>
      <c r="M6" s="294">
        <f ca="1">INDIRECT("'数据-取费表'!z"&amp;$G$1)</f>
        <v>0</v>
      </c>
    </row>
    <row r="7" spans="1:37" ht="18" customHeight="1">
      <c r="A7" s="1008"/>
      <c r="B7" s="3398"/>
      <c r="C7" s="1010"/>
      <c r="D7" s="298"/>
      <c r="E7" s="1011" t="s">
        <v>697</v>
      </c>
      <c r="F7" s="294">
        <f ca="1">IF(INDIRECT("'数据-取费表'!ah"&amp;$G$1)="",INDIRECT("'数据-取费表'!k"&amp;$G$1),INDIRECT("'数据-取费表'!ah"&amp;$G$1))</f>
        <v>0</v>
      </c>
      <c r="G7" s="1289"/>
      <c r="H7" s="295"/>
      <c r="I7" s="3398"/>
      <c r="J7" s="297"/>
      <c r="K7" s="298"/>
      <c r="L7" s="293" t="s">
        <v>697</v>
      </c>
      <c r="M7" s="294">
        <f ca="1">F7</f>
        <v>0</v>
      </c>
    </row>
    <row r="8" spans="1:37" ht="18" customHeight="1">
      <c r="A8" s="295"/>
      <c r="B8" s="3398"/>
      <c r="C8" s="297"/>
      <c r="D8" s="298"/>
      <c r="E8" s="293" t="s">
        <v>698</v>
      </c>
      <c r="F8" s="294">
        <f ca="1">INDIRECT("'数据-取费表'!ai"&amp;$G$1)</f>
        <v>0</v>
      </c>
      <c r="G8" s="1289"/>
      <c r="H8" s="295"/>
      <c r="I8" s="3398"/>
      <c r="J8" s="297"/>
      <c r="K8" s="298"/>
      <c r="L8" s="293" t="s">
        <v>698</v>
      </c>
      <c r="M8" s="294">
        <f ca="1">INDIRECT("'数据-取费表'!ai"&amp;$G$1)</f>
        <v>0</v>
      </c>
    </row>
    <row r="9" spans="1:37" ht="18" customHeight="1">
      <c r="A9" s="295"/>
      <c r="B9" s="3399"/>
      <c r="C9" s="297"/>
      <c r="D9" s="298"/>
      <c r="E9" s="293" t="s">
        <v>699</v>
      </c>
      <c r="F9" s="303">
        <f ca="1">INDIRECT("'数据-取费表'!w"&amp;$G$1)</f>
        <v>0</v>
      </c>
      <c r="G9" s="1289"/>
      <c r="H9" s="295"/>
      <c r="I9" s="3399"/>
      <c r="J9" s="297"/>
      <c r="K9" s="298"/>
      <c r="L9" s="304" t="s">
        <v>699</v>
      </c>
      <c r="M9" s="305">
        <f ca="1">INDIRECT("'数据-取费表'!ab"&amp;$G$1)</f>
        <v>0</v>
      </c>
    </row>
    <row r="10" spans="1:37" ht="18" customHeight="1">
      <c r="A10" s="1004" t="s">
        <v>402</v>
      </c>
      <c r="B10" s="1271" t="s">
        <v>700</v>
      </c>
      <c r="C10" s="307">
        <f ca="1">ROUND(IF(F10="押一",C6/12*F11,IF(F10="押二",C6/12*2*F11,IF(F10="押三",C6/12*3*F11,C11*F11))),0)</f>
        <v>0</v>
      </c>
      <c r="D10" s="149" t="s">
        <v>2116</v>
      </c>
      <c r="E10" s="304" t="s">
        <v>701</v>
      </c>
      <c r="F10" s="1051"/>
      <c r="G10" s="1289"/>
      <c r="H10" s="1004" t="s">
        <v>402</v>
      </c>
      <c r="I10" s="1271" t="s">
        <v>700</v>
      </c>
      <c r="J10" s="292">
        <f ca="1">ROUND(IF(M10="押一",J6/12*M11,IF(M10="押二",J6/12*2*M11,IF(M10="押三",J6/12*3*M11,J11*M11))),0)</f>
        <v>0</v>
      </c>
      <c r="K10" s="1282" t="s">
        <v>2118</v>
      </c>
      <c r="L10" s="304" t="s">
        <v>701</v>
      </c>
      <c r="M10" s="1051"/>
    </row>
    <row r="11" spans="1:37" ht="18" customHeight="1">
      <c r="A11" s="299"/>
      <c r="B11" s="1272" t="s">
        <v>890</v>
      </c>
      <c r="C11" s="903"/>
      <c r="D11" s="298"/>
      <c r="E11" s="304" t="s">
        <v>702</v>
      </c>
      <c r="F11" s="305">
        <f ca="1">'数据-取费表'!B39</f>
        <v>1.4999999999999999E-2</v>
      </c>
      <c r="G11" s="1289"/>
      <c r="H11" s="1012"/>
      <c r="I11" s="1272" t="s">
        <v>891</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3" t="s">
        <v>707</v>
      </c>
      <c r="C14" s="309">
        <f ca="1">ROUND(INDIRECT("'数据-取费表'!l"&amp;$G$1)*F43+'数据-取费表'!L14*INDIRECT("'数据-取费表'!S"&amp;$G$1),0)</f>
        <v>0</v>
      </c>
      <c r="D14" s="1254" t="s">
        <v>708</v>
      </c>
      <c r="E14" s="1252"/>
      <c r="F14" s="310"/>
      <c r="G14" s="1289"/>
      <c r="H14" s="926" t="s">
        <v>398</v>
      </c>
      <c r="I14" s="293" t="s">
        <v>709</v>
      </c>
      <c r="J14" s="21">
        <f ca="1">C29</f>
        <v>0</v>
      </c>
      <c r="K14" s="12"/>
      <c r="L14" s="757"/>
      <c r="M14" s="758"/>
    </row>
    <row r="15" spans="1:37" s="1301" customFormat="1" ht="18" customHeight="1" thickBot="1">
      <c r="A15" s="926" t="s">
        <v>399</v>
      </c>
      <c r="B15" s="293" t="s">
        <v>710</v>
      </c>
      <c r="C15" s="21">
        <f ca="1">ROUND(C14*F15,0)</f>
        <v>0</v>
      </c>
      <c r="D15" s="311" t="s">
        <v>711</v>
      </c>
      <c r="E15" s="311" t="s">
        <v>712</v>
      </c>
      <c r="F15" s="312">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4" t="s">
        <v>393</v>
      </c>
      <c r="I16" s="1015" t="s">
        <v>714</v>
      </c>
      <c r="J16" s="301">
        <f ca="1">ROUND(J17+J22+J23+J24,0)</f>
        <v>0</v>
      </c>
      <c r="K16" s="1022" t="s">
        <v>715</v>
      </c>
      <c r="L16" s="1023"/>
      <c r="M16" s="1007"/>
    </row>
    <row r="17" spans="1:37" s="1301" customFormat="1" ht="18" customHeight="1">
      <c r="A17" s="926" t="s">
        <v>681</v>
      </c>
      <c r="B17" s="293" t="s">
        <v>716</v>
      </c>
      <c r="C17" s="21">
        <f ca="1">ROUND(F17*(F43+INDIRECT("'数据-取费表'!S"&amp;$G$1)),0)</f>
        <v>0</v>
      </c>
      <c r="D17" s="293" t="s">
        <v>717</v>
      </c>
      <c r="E17" s="293" t="s">
        <v>718</v>
      </c>
      <c r="F17" s="23">
        <f>'数据-取费表'!B35</f>
        <v>200</v>
      </c>
      <c r="G17" s="1300"/>
      <c r="H17" s="926" t="s">
        <v>398</v>
      </c>
      <c r="I17" s="293"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0</v>
      </c>
      <c r="D18" s="293" t="s">
        <v>711</v>
      </c>
      <c r="E18" s="293" t="s">
        <v>712</v>
      </c>
      <c r="F18" s="313">
        <f>'数据-取费表'!B36</f>
        <v>0.02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0</v>
      </c>
      <c r="D19" s="123" t="s">
        <v>726</v>
      </c>
      <c r="E19" s="1266"/>
      <c r="F19" s="23"/>
      <c r="G19" s="1289"/>
      <c r="H19" s="926" t="s">
        <v>399</v>
      </c>
      <c r="I19" s="293" t="s">
        <v>727</v>
      </c>
      <c r="J19" s="21">
        <f ca="1">IF(K19="按租金收入计税",ROUND(J6*M19/(1+'数据-取费表'!C42),0),ROUND(C29*M19*0.7,0))</f>
        <v>0</v>
      </c>
      <c r="K19" s="1275" t="s">
        <v>3338</v>
      </c>
      <c r="L19" s="293" t="s">
        <v>712</v>
      </c>
      <c r="M19" s="313">
        <f>IF(K19="按租金收入计税",'数据-取费表'!B51,'数据-取费表'!B50)</f>
        <v>0.12</v>
      </c>
    </row>
    <row r="20" spans="1:37" s="1301" customFormat="1" ht="18" customHeight="1">
      <c r="A20" s="926" t="s">
        <v>402</v>
      </c>
      <c r="B20" s="293" t="s">
        <v>728</v>
      </c>
      <c r="C20" s="21">
        <f ca="1">ROUND(C19*F20,0)</f>
        <v>0</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3" t="str">
        <f>IF(F23&lt;=1,"单利计息。","复利计息。")&amp;"建造成本、管理费用、销售费用产生的利息。"</f>
        <v>复利计息。建造成本、管理费用、销售费用产生的利息。</v>
      </c>
      <c r="E22" s="1266"/>
      <c r="F22" s="23"/>
      <c r="G22" s="1289"/>
      <c r="H22" s="926" t="s">
        <v>402</v>
      </c>
      <c r="I22" s="293" t="s">
        <v>738</v>
      </c>
      <c r="J22" s="21">
        <f ca="1">ROUND(J14*M22,0)</f>
        <v>0</v>
      </c>
      <c r="K22" s="1253" t="s">
        <v>739</v>
      </c>
      <c r="L22" s="293" t="s">
        <v>712</v>
      </c>
      <c r="M22" s="319">
        <f ca="1">INDIRECT("'数据-取费表'!Ak"&amp;$G$1)</f>
        <v>0</v>
      </c>
    </row>
    <row r="23" spans="1:37" s="1301" customFormat="1" ht="18" customHeight="1">
      <c r="A23" s="926"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0"/>
      <c r="H23" s="926" t="s">
        <v>437</v>
      </c>
      <c r="I23" s="293" t="s">
        <v>742</v>
      </c>
      <c r="J23" s="21">
        <f ca="1">ROUND(J13*M23,0)</f>
        <v>0</v>
      </c>
      <c r="K23" s="1253" t="s">
        <v>743</v>
      </c>
      <c r="L23" s="293" t="s">
        <v>744</v>
      </c>
      <c r="M23" s="320">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0"/>
      <c r="H24" s="1024" t="s">
        <v>684</v>
      </c>
      <c r="I24" s="1025" t="s">
        <v>728</v>
      </c>
      <c r="J24" s="1026">
        <f ca="1">ROUND(J5*M24,0)</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3" t="s">
        <v>751</v>
      </c>
      <c r="E25" s="1266"/>
      <c r="F25" s="23"/>
      <c r="G25" s="1289"/>
      <c r="H25" s="1014" t="s">
        <v>394</v>
      </c>
      <c r="I25" s="1029" t="s">
        <v>752</v>
      </c>
      <c r="J25" s="301">
        <f ca="1">J5-J16</f>
        <v>0</v>
      </c>
      <c r="K25" s="1030" t="s">
        <v>753</v>
      </c>
      <c r="L25" s="1031"/>
      <c r="M25" s="1032"/>
    </row>
    <row r="26" spans="1:37" ht="18" customHeight="1">
      <c r="A26" s="926" t="s">
        <v>397</v>
      </c>
      <c r="B26" s="293" t="s">
        <v>754</v>
      </c>
      <c r="C26" s="21">
        <f ca="1">ROUND((C19+C20)*F26,0)</f>
        <v>0</v>
      </c>
      <c r="D26" s="314" t="s">
        <v>755</v>
      </c>
      <c r="E26" s="304" t="s">
        <v>756</v>
      </c>
      <c r="F26" s="303">
        <f ca="1">INDIRECT("'数据-取费表'!q"&amp;$G$1)</f>
        <v>0</v>
      </c>
      <c r="G26" s="1289"/>
      <c r="H26" s="290" t="s">
        <v>395</v>
      </c>
      <c r="I26" s="291" t="s">
        <v>757</v>
      </c>
      <c r="J26" s="292">
        <f ca="1">IF(J5&lt;&gt;0,ROUND(J25*(1-((1+M28)/(1+M26))^M27)/(M26-M28),0),0)</f>
        <v>0</v>
      </c>
      <c r="K26" s="315" t="s">
        <v>758</v>
      </c>
      <c r="L26" s="293" t="s">
        <v>759</v>
      </c>
      <c r="M26" s="303">
        <f ca="1">INDIRECT("'数据-取费表'!I"&amp;$G$1)</f>
        <v>0</v>
      </c>
    </row>
    <row r="27" spans="1:37" ht="18" customHeight="1">
      <c r="A27" s="926" t="s">
        <v>399</v>
      </c>
      <c r="B27" s="293" t="s">
        <v>760</v>
      </c>
      <c r="C27" s="21">
        <f ca="1">ROUND(F21*F26,4)</f>
        <v>0</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4" t="s">
        <v>396</v>
      </c>
      <c r="I29" s="325" t="s">
        <v>768</v>
      </c>
      <c r="J29" s="326">
        <f ca="1">ROUND(J26/(1+F40)^F41,0)</f>
        <v>0</v>
      </c>
      <c r="K29" s="327" t="s">
        <v>769</v>
      </c>
      <c r="L29" s="328"/>
      <c r="M29" s="329">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0</v>
      </c>
      <c r="D30" s="1022" t="s">
        <v>715</v>
      </c>
      <c r="E30" s="1023"/>
      <c r="F30" s="1007"/>
      <c r="G30" s="1289"/>
      <c r="H30" s="2468"/>
      <c r="I30" s="1302"/>
      <c r="J30" s="1303"/>
      <c r="K30" s="121"/>
      <c r="L30" s="2469"/>
      <c r="M30" s="2470"/>
    </row>
    <row r="31" spans="1:37" ht="18" customHeight="1">
      <c r="A31" s="926" t="s">
        <v>398</v>
      </c>
      <c r="B31" s="293"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7" t="s">
        <v>2308</v>
      </c>
      <c r="I31" s="1302"/>
      <c r="J31" s="1303"/>
      <c r="K31" s="121"/>
      <c r="L31" s="2469"/>
      <c r="M31" s="2470"/>
    </row>
    <row r="32" spans="1:37" ht="18" customHeight="1">
      <c r="A32" s="926" t="s">
        <v>397</v>
      </c>
      <c r="B32" s="293" t="s">
        <v>723</v>
      </c>
      <c r="C32" s="21">
        <f ca="1">IF(项目基本情况!B11="自然人","——",ROUND(C6*F32/(1+'数据-取费表'!C42),0))</f>
        <v>0</v>
      </c>
      <c r="D32" s="1253" t="s">
        <v>724</v>
      </c>
      <c r="E32" s="293" t="s">
        <v>712</v>
      </c>
      <c r="F32" s="321">
        <f>'数据-取费表'!B41</f>
        <v>5.6000000000000001E-2</v>
      </c>
      <c r="G32" s="1289"/>
      <c r="H32" s="2468"/>
      <c r="I32" s="1302"/>
      <c r="J32" s="1303"/>
      <c r="K32" s="121"/>
      <c r="L32" s="2469"/>
      <c r="M32" s="2470"/>
    </row>
    <row r="33" spans="1:18" ht="18" customHeight="1">
      <c r="A33" s="926" t="s">
        <v>399</v>
      </c>
      <c r="B33" s="293" t="s">
        <v>727</v>
      </c>
      <c r="C33" s="21">
        <f ca="1">IF(项目基本情况!B11="自然人","——",IF(D33="按租金收入计税",ROUND(C6*F33/(1+'数据-取费表'!C42),0),IF(D33="按房产原值计税",ROUND(C29*F33*0.7,0),INDIRECT("'数据-取费表'!Aj"&amp;$G$1))))</f>
        <v>0</v>
      </c>
      <c r="D33" s="1275" t="s">
        <v>3338</v>
      </c>
      <c r="E33" s="293" t="s">
        <v>712</v>
      </c>
      <c r="F33" s="313">
        <f>IF(D33="按票据","——",IF(D33="按租金收入计税",'数据-取费表'!B51,'数据-取费表'!B50))</f>
        <v>0.12</v>
      </c>
      <c r="G33" s="1289"/>
      <c r="H33" s="2471"/>
      <c r="I33" s="1302"/>
      <c r="J33" s="1303"/>
      <c r="K33" s="2472"/>
      <c r="L33" s="2471"/>
      <c r="M33" s="2471"/>
    </row>
    <row r="34" spans="1:18" ht="18" customHeight="1">
      <c r="A34" s="1004" t="s">
        <v>680</v>
      </c>
      <c r="B34" s="146" t="s">
        <v>730</v>
      </c>
      <c r="C34" s="22">
        <f ca="1">IF(项目基本情况!B11="自然人","——",ROUND(F34*F35,0))</f>
        <v>0</v>
      </c>
      <c r="D34" s="315" t="s">
        <v>731</v>
      </c>
      <c r="E34" s="293" t="s">
        <v>732</v>
      </c>
      <c r="F34" s="316">
        <f>'数据-取费表'!B52</f>
        <v>1.5</v>
      </c>
      <c r="G34" s="1289"/>
      <c r="H34" s="2468"/>
      <c r="I34" s="1302"/>
      <c r="J34" s="1303"/>
      <c r="K34" s="2473"/>
      <c r="L34" s="2474"/>
      <c r="M34" s="2474"/>
    </row>
    <row r="35" spans="1:18" ht="18" customHeight="1">
      <c r="A35" s="1038"/>
      <c r="B35" s="1036"/>
      <c r="C35" s="26"/>
      <c r="D35" s="318"/>
      <c r="E35" s="293" t="s">
        <v>736</v>
      </c>
      <c r="F35" s="294">
        <f ca="1">INDIRECT("'数据-取费表'!r"&amp;$G$1)</f>
        <v>0</v>
      </c>
      <c r="G35" s="1289"/>
      <c r="H35" s="2468"/>
      <c r="I35" s="1302"/>
      <c r="J35" s="1303"/>
      <c r="K35" s="2472"/>
      <c r="L35" s="2471"/>
      <c r="M35" s="2471"/>
    </row>
    <row r="36" spans="1:18" ht="18" customHeight="1">
      <c r="A36" s="1037" t="s">
        <v>402</v>
      </c>
      <c r="B36" s="293" t="s">
        <v>738</v>
      </c>
      <c r="C36" s="21">
        <f ca="1">ROUND(C29*F36,0)</f>
        <v>0</v>
      </c>
      <c r="D36" s="1253" t="s">
        <v>771</v>
      </c>
      <c r="E36" s="293" t="s">
        <v>712</v>
      </c>
      <c r="F36" s="319">
        <f ca="1">INDIRECT("'数据-取费表'!Ak"&amp;$G$1)</f>
        <v>0</v>
      </c>
      <c r="G36" s="1289"/>
      <c r="H36" s="2471"/>
      <c r="I36" s="1302"/>
      <c r="J36" s="1303"/>
      <c r="K36" s="2328"/>
      <c r="L36" s="2471"/>
      <c r="M36" s="2471"/>
    </row>
    <row r="37" spans="1:18" ht="18" customHeight="1">
      <c r="A37" s="926" t="s">
        <v>437</v>
      </c>
      <c r="B37" s="293" t="s">
        <v>742</v>
      </c>
      <c r="C37" s="21">
        <f ca="1">ROUND(C13*F37,0)</f>
        <v>0</v>
      </c>
      <c r="D37" s="1253" t="s">
        <v>743</v>
      </c>
      <c r="E37" s="293" t="s">
        <v>744</v>
      </c>
      <c r="F37" s="320">
        <f ca="1">INDIRECT("'数据-取费表'!Al"&amp;$G$1)</f>
        <v>0</v>
      </c>
      <c r="G37" s="1289"/>
      <c r="H37" s="2471"/>
      <c r="I37" s="1302"/>
      <c r="J37" s="1303"/>
      <c r="K37" s="2328"/>
      <c r="L37" s="2471"/>
      <c r="M37" s="2471"/>
    </row>
    <row r="38" spans="1:18" ht="18" customHeight="1" thickBot="1">
      <c r="A38" s="1024" t="s">
        <v>684</v>
      </c>
      <c r="B38" s="1025" t="s">
        <v>728</v>
      </c>
      <c r="C38" s="1026">
        <f ca="1">ROUND(C5*F38,0)</f>
        <v>0</v>
      </c>
      <c r="D38" s="1027" t="s">
        <v>748</v>
      </c>
      <c r="E38" s="1025" t="s">
        <v>744</v>
      </c>
      <c r="F38" s="1021">
        <f ca="1">INDIRECT("'数据-取费表'!Am"&amp;$G$1)</f>
        <v>0</v>
      </c>
      <c r="G38" s="1289"/>
      <c r="H38" s="2471"/>
      <c r="I38" s="1302"/>
      <c r="J38" s="1303"/>
      <c r="K38" s="2469"/>
      <c r="L38" s="2471"/>
      <c r="M38" s="2471"/>
    </row>
    <row r="39" spans="1:18" ht="24.6" customHeight="1" thickTop="1">
      <c r="A39" s="1014" t="s">
        <v>394</v>
      </c>
      <c r="B39" s="1029" t="s">
        <v>772</v>
      </c>
      <c r="C39" s="301">
        <f ca="1">C5-C30</f>
        <v>0</v>
      </c>
      <c r="D39" s="1030" t="s">
        <v>773</v>
      </c>
      <c r="E39" s="1031"/>
      <c r="F39" s="1032"/>
      <c r="G39" s="1289"/>
      <c r="H39" s="2471"/>
      <c r="I39" s="1302"/>
      <c r="J39" s="1303"/>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89"/>
      <c r="H40" s="1363"/>
      <c r="I40" s="1302"/>
      <c r="J40" s="1303"/>
      <c r="K40" s="2469"/>
      <c r="L40" s="1363"/>
      <c r="M40" s="1363"/>
    </row>
    <row r="41" spans="1:18" ht="18" customHeight="1">
      <c r="A41" s="295"/>
      <c r="B41" s="296"/>
      <c r="C41" s="297"/>
      <c r="D41" s="322" t="s">
        <v>775</v>
      </c>
      <c r="E41" s="293" t="s">
        <v>763</v>
      </c>
      <c r="F41" s="323">
        <f ca="1">IF(INDIRECT("'数据-取费表'!af"&amp;$G$1)=0,INDIRECT("'数据-取费表'!ae"&amp;$G$1),INDIRECT("'数据-取费表'!af"&amp;$G$1))</f>
        <v>0</v>
      </c>
      <c r="G41" s="1289"/>
      <c r="H41" s="121"/>
      <c r="I41" s="1302"/>
      <c r="J41" s="1303"/>
      <c r="K41" s="2328"/>
      <c r="L41" s="121"/>
      <c r="M41" s="121"/>
    </row>
    <row r="42" spans="1:18" ht="18" customHeight="1">
      <c r="A42" s="299"/>
      <c r="B42" s="300"/>
      <c r="C42" s="301"/>
      <c r="D42" s="318"/>
      <c r="E42" s="293" t="s">
        <v>766</v>
      </c>
      <c r="F42" s="303">
        <f ca="1">INDIRECT("'数据-取费表'!v"&amp;$G$1)</f>
        <v>0</v>
      </c>
      <c r="G42" s="1289"/>
      <c r="H42" s="121"/>
      <c r="I42" s="1302"/>
      <c r="J42" s="1303"/>
      <c r="K42" s="2328"/>
      <c r="L42" s="121"/>
      <c r="M42" s="121"/>
    </row>
    <row r="43" spans="1:18" ht="18" customHeight="1" thickBot="1">
      <c r="A43" s="324" t="s">
        <v>396</v>
      </c>
      <c r="B43" s="325" t="s">
        <v>776</v>
      </c>
      <c r="C43" s="326" t="e">
        <f ca="1">ROUND(C40/F43,0)</f>
        <v>#DIV/0!</v>
      </c>
      <c r="D43" s="327" t="s">
        <v>777</v>
      </c>
      <c r="E43" s="328" t="s">
        <v>778</v>
      </c>
      <c r="F43" s="329">
        <f ca="1">INDIRECT("'数据-取费表'!k"&amp;$G$1)</f>
        <v>0</v>
      </c>
      <c r="G43" s="1289"/>
      <c r="H43" s="121"/>
      <c r="I43" s="121"/>
      <c r="J43" s="121"/>
      <c r="K43" s="2328"/>
      <c r="L43" s="121"/>
      <c r="M43" s="121"/>
    </row>
    <row r="44" spans="1:18" s="1289" customFormat="1" ht="18" customHeight="1">
      <c r="A44" s="1304"/>
      <c r="B44" s="1304"/>
      <c r="C44" s="1305"/>
      <c r="D44" s="1304"/>
      <c r="E44" s="1304"/>
      <c r="F44" s="1304"/>
      <c r="K44" s="1306"/>
    </row>
    <row r="45" spans="1:18" s="1289" customFormat="1" ht="18" customHeight="1" thickBot="1">
      <c r="A45" s="3127" t="s">
        <v>3354</v>
      </c>
      <c r="B45" s="1304"/>
      <c r="C45" s="1373" t="e">
        <f ca="1">ROUND((C68-C40)/10000,4)</f>
        <v>#DIV/0!</v>
      </c>
      <c r="D45" s="3128" t="s">
        <v>3355</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5" t="s">
        <v>438</v>
      </c>
      <c r="B48" s="291" t="s">
        <v>692</v>
      </c>
      <c r="C48" s="1265">
        <f ca="1">C49+C53+C55</f>
        <v>0</v>
      </c>
      <c r="D48" s="1047"/>
      <c r="E48" s="1048"/>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c r="K49" s="1327" t="s">
        <v>824</v>
      </c>
      <c r="L49" s="1330"/>
      <c r="O49" s="1331" t="s">
        <v>405</v>
      </c>
      <c r="P49" s="1323" t="s">
        <v>825</v>
      </c>
      <c r="Q49" s="1324">
        <f ca="1">C29</f>
        <v>0</v>
      </c>
      <c r="R49" s="1324" t="s">
        <v>818</v>
      </c>
    </row>
    <row r="50" spans="1:18" s="1289" customFormat="1" ht="13.5" thickBot="1">
      <c r="A50" s="920"/>
      <c r="B50" s="923"/>
      <c r="C50" s="924"/>
      <c r="D50" s="897"/>
      <c r="E50" s="991" t="s">
        <v>697</v>
      </c>
      <c r="F50" s="992">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1"/>
      <c r="B51" s="923"/>
      <c r="C51" s="924"/>
      <c r="D51" s="897"/>
      <c r="E51" s="925" t="s">
        <v>698</v>
      </c>
      <c r="F51" s="294">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30.75" customHeight="1" thickBot="1">
      <c r="A53" s="1046" t="s">
        <v>440</v>
      </c>
      <c r="B53" s="314" t="s">
        <v>700</v>
      </c>
      <c r="C53" s="307">
        <f ca="1">ROUND(IF(F53="押一",C49/12*F11,IF(F53="押二",C49/12*2*F11,IF(F53="押三",C49/12*3*F11,C54*F11))),0)</f>
        <v>0</v>
      </c>
      <c r="D53" s="149" t="s">
        <v>2119</v>
      </c>
      <c r="E53" s="304" t="s">
        <v>701</v>
      </c>
      <c r="F53" s="1051"/>
      <c r="I53" s="1341" t="s">
        <v>836</v>
      </c>
      <c r="J53" s="2003">
        <f ca="1">IF(M47="住宅",IF(D1="——",MAX(J51,L48),MAX(J51,L48-'数据-取费表'!B24)),IF(D1="——",MIN(J51,L48),MIN(J51,L48-'数据-取费表'!B24)))</f>
        <v>0</v>
      </c>
      <c r="K53" s="3395" t="s">
        <v>837</v>
      </c>
      <c r="L53" s="3396"/>
      <c r="O53" s="1322" t="s">
        <v>409</v>
      </c>
      <c r="P53" s="1323" t="s">
        <v>838</v>
      </c>
      <c r="Q53" s="1324" t="e">
        <f ca="1">Q47+Q48</f>
        <v>#DIV/0!</v>
      </c>
      <c r="R53" s="1324" t="s">
        <v>410</v>
      </c>
    </row>
    <row r="54" spans="1:18" s="1289" customFormat="1" ht="13.5"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4" t="s">
        <v>767</v>
      </c>
      <c r="C57" s="229">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6" t="s">
        <v>393</v>
      </c>
      <c r="B58" s="902" t="s">
        <v>714</v>
      </c>
      <c r="C58" s="307">
        <f ca="1">ROUND(C59+C64+C65+C66,0)</f>
        <v>0</v>
      </c>
      <c r="D58" s="904" t="s">
        <v>715</v>
      </c>
      <c r="E58" s="905"/>
      <c r="F58" s="906"/>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3338</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0</v>
      </c>
      <c r="D62" s="909" t="s">
        <v>786</v>
      </c>
      <c r="E62" s="894" t="s">
        <v>787</v>
      </c>
      <c r="F62" s="316">
        <f t="shared" si="0"/>
        <v>1.5</v>
      </c>
      <c r="I62" s="1364" t="s">
        <v>858</v>
      </c>
      <c r="J62" s="609" t="s">
        <v>859</v>
      </c>
      <c r="K62" s="609" t="s">
        <v>860</v>
      </c>
      <c r="L62" s="609" t="s">
        <v>861</v>
      </c>
      <c r="M62" s="1365" t="s">
        <v>862</v>
      </c>
      <c r="O62" s="1322" t="s">
        <v>409</v>
      </c>
      <c r="P62" s="1323" t="s">
        <v>863</v>
      </c>
      <c r="Q62" s="1324" t="e">
        <f ca="1">Q56+Q57</f>
        <v>#DIV/0!</v>
      </c>
      <c r="R62" s="1324" t="s">
        <v>410</v>
      </c>
    </row>
    <row r="63" spans="1:18" s="1289" customFormat="1" ht="13.5" thickBot="1">
      <c r="A63" s="317"/>
      <c r="B63" s="900"/>
      <c r="C63" s="26"/>
      <c r="D63" s="910"/>
      <c r="E63" s="894" t="s">
        <v>788</v>
      </c>
      <c r="F63" s="294">
        <f t="shared" ca="1" si="0"/>
        <v>0</v>
      </c>
      <c r="I63" s="1364" t="s">
        <v>864</v>
      </c>
      <c r="J63" s="609">
        <v>70</v>
      </c>
      <c r="K63" s="609">
        <v>50</v>
      </c>
      <c r="L63" s="609">
        <v>80</v>
      </c>
      <c r="M63" s="1366">
        <v>0.02</v>
      </c>
      <c r="O63" s="1307" t="s">
        <v>865</v>
      </c>
      <c r="P63" s="1286"/>
      <c r="Q63" s="1286"/>
      <c r="R63" s="1286"/>
    </row>
    <row r="64" spans="1:18" s="1289" customFormat="1" ht="13.5" thickBot="1">
      <c r="A64" s="926" t="s">
        <v>789</v>
      </c>
      <c r="B64" s="894" t="s">
        <v>790</v>
      </c>
      <c r="C64" s="21">
        <f ca="1">ROUND(C57*F64,0)</f>
        <v>0</v>
      </c>
      <c r="D64" s="908" t="s">
        <v>791</v>
      </c>
      <c r="E64" s="894" t="s">
        <v>783</v>
      </c>
      <c r="F64" s="319">
        <f t="shared" ca="1" si="0"/>
        <v>0</v>
      </c>
      <c r="I64" s="1364" t="s">
        <v>866</v>
      </c>
      <c r="J64" s="609">
        <v>50</v>
      </c>
      <c r="K64" s="609">
        <v>35</v>
      </c>
      <c r="L64" s="609">
        <v>60</v>
      </c>
      <c r="M64" s="1365">
        <v>0</v>
      </c>
      <c r="O64" s="1315" t="s">
        <v>811</v>
      </c>
      <c r="P64" s="1316" t="s">
        <v>812</v>
      </c>
      <c r="Q64" s="1317" t="s">
        <v>813</v>
      </c>
      <c r="R64" s="1317" t="s">
        <v>814</v>
      </c>
    </row>
    <row r="65" spans="1:18" s="1289" customFormat="1" ht="13.5" thickBot="1">
      <c r="A65" s="926" t="s">
        <v>792</v>
      </c>
      <c r="B65" s="894" t="s">
        <v>742</v>
      </c>
      <c r="C65" s="21">
        <f ca="1">ROUND(C56*F65,0)</f>
        <v>0</v>
      </c>
      <c r="D65" s="908" t="s">
        <v>743</v>
      </c>
      <c r="E65" s="894" t="s">
        <v>744</v>
      </c>
      <c r="F65" s="320">
        <f t="shared" ca="1" si="0"/>
        <v>0</v>
      </c>
      <c r="I65" s="1364" t="s">
        <v>867</v>
      </c>
      <c r="J65" s="609">
        <v>40</v>
      </c>
      <c r="K65" s="609">
        <v>30</v>
      </c>
      <c r="L65" s="609">
        <v>50</v>
      </c>
      <c r="M65" s="1366">
        <v>0.02</v>
      </c>
      <c r="O65" s="1322" t="s">
        <v>403</v>
      </c>
      <c r="P65" s="1323" t="s">
        <v>868</v>
      </c>
      <c r="Q65" s="1324" t="e">
        <f ca="1">C40+J29</f>
        <v>#DIV/0!</v>
      </c>
      <c r="R65" s="1324" t="s">
        <v>818</v>
      </c>
    </row>
    <row r="66" spans="1:18" s="1289" customFormat="1" ht="16.5" thickBot="1">
      <c r="A66" s="926" t="s">
        <v>793</v>
      </c>
      <c r="B66" s="894" t="s">
        <v>728</v>
      </c>
      <c r="C66" s="21">
        <f ca="1">ROUND(C48*F66,0)</f>
        <v>0</v>
      </c>
      <c r="D66" s="908" t="s">
        <v>794</v>
      </c>
      <c r="E66" s="894" t="s">
        <v>712</v>
      </c>
      <c r="F66" s="303">
        <f t="shared" ca="1" si="0"/>
        <v>0</v>
      </c>
      <c r="O66" s="1322" t="s">
        <v>404</v>
      </c>
      <c r="P66" s="1323" t="s">
        <v>846</v>
      </c>
      <c r="Q66" s="1324" t="e">
        <f ca="1">L60</f>
        <v>#DIV/0!</v>
      </c>
      <c r="R66" s="1324" t="s">
        <v>869</v>
      </c>
    </row>
    <row r="67" spans="1:18" s="1289" customFormat="1" ht="16.5" thickBot="1">
      <c r="A67" s="901" t="s">
        <v>394</v>
      </c>
      <c r="B67" s="911" t="s">
        <v>752</v>
      </c>
      <c r="C67" s="307">
        <f ca="1">C48-C58</f>
        <v>0</v>
      </c>
      <c r="D67" s="907" t="s">
        <v>753</v>
      </c>
      <c r="E67" s="912"/>
      <c r="F67" s="913"/>
      <c r="O67" s="1331" t="s">
        <v>405</v>
      </c>
      <c r="P67" s="1323" t="s">
        <v>850</v>
      </c>
      <c r="Q67" s="1367">
        <f ca="1">L51</f>
        <v>0</v>
      </c>
      <c r="R67" s="1324" t="s">
        <v>870</v>
      </c>
    </row>
    <row r="68" spans="1:18" s="1289" customFormat="1" ht="16.5" thickBot="1">
      <c r="A68" s="891" t="s">
        <v>395</v>
      </c>
      <c r="B68" s="892" t="s">
        <v>774</v>
      </c>
      <c r="C68" s="292" t="e">
        <f ca="1">ROUND(C67*(1-((1+F70)/(1+F68))^F69)/(F68-F70),0)</f>
        <v>#DIV/0!</v>
      </c>
      <c r="D68" s="909" t="s">
        <v>758</v>
      </c>
      <c r="E68" s="894" t="s">
        <v>759</v>
      </c>
      <c r="F68" s="303">
        <f ca="1">F40</f>
        <v>0</v>
      </c>
      <c r="O68" s="1331" t="s">
        <v>406</v>
      </c>
      <c r="P68" s="1368" t="s">
        <v>871</v>
      </c>
      <c r="Q68" s="1324">
        <f ca="1">ROUND(Q69-Q70*Q71,0)</f>
        <v>0</v>
      </c>
      <c r="R68" s="1324" t="s">
        <v>414</v>
      </c>
    </row>
    <row r="69" spans="1:18" s="1289" customFormat="1" ht="13.5" thickBot="1">
      <c r="A69" s="895"/>
      <c r="B69" s="896"/>
      <c r="C69" s="297"/>
      <c r="D69" s="914" t="s">
        <v>762</v>
      </c>
      <c r="E69" s="894" t="s">
        <v>763</v>
      </c>
      <c r="F69" s="323">
        <f ca="1">F41</f>
        <v>0</v>
      </c>
      <c r="O69" s="1331" t="s">
        <v>411</v>
      </c>
      <c r="P69" s="1368" t="s">
        <v>872</v>
      </c>
      <c r="Q69" s="1324">
        <f ca="1">C39</f>
        <v>0</v>
      </c>
      <c r="R69" s="1324" t="s">
        <v>818</v>
      </c>
    </row>
    <row r="70" spans="1:18" s="1289" customFormat="1" ht="13.5" thickBot="1">
      <c r="A70" s="898"/>
      <c r="B70" s="899"/>
      <c r="C70" s="301"/>
      <c r="D70" s="910"/>
      <c r="E70" s="894" t="s">
        <v>766</v>
      </c>
      <c r="F70" s="989"/>
      <c r="O70" s="1331" t="s">
        <v>412</v>
      </c>
      <c r="P70" s="1368" t="s">
        <v>873</v>
      </c>
      <c r="Q70" s="1324">
        <f ca="1">C13</f>
        <v>0</v>
      </c>
      <c r="R70" s="1324" t="s">
        <v>818</v>
      </c>
    </row>
    <row r="71" spans="1:18" s="1289" customFormat="1" ht="13.5" thickBot="1">
      <c r="A71" s="915" t="s">
        <v>396</v>
      </c>
      <c r="B71" s="916" t="s">
        <v>776</v>
      </c>
      <c r="C71" s="326" t="e">
        <f ca="1">ROUND(C68/F71,0)</f>
        <v>#DIV/0!</v>
      </c>
      <c r="D71" s="917" t="s">
        <v>777</v>
      </c>
      <c r="E71" s="918" t="s">
        <v>778</v>
      </c>
      <c r="F71" s="329">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0</v>
      </c>
      <c r="D75" s="1289"/>
      <c r="E75" s="1289"/>
      <c r="F75" s="1289"/>
      <c r="K75" s="1306"/>
      <c r="L75" s="1289"/>
      <c r="O75" s="1322" t="s">
        <v>409</v>
      </c>
      <c r="P75" s="1323" t="s">
        <v>838</v>
      </c>
      <c r="Q75" s="1324" t="e">
        <f ca="1">Q65+Q66</f>
        <v>#DIV/0!</v>
      </c>
      <c r="R75" s="1324" t="s">
        <v>410</v>
      </c>
    </row>
    <row r="76" spans="1:18">
      <c r="B76" s="332" t="s">
        <v>796</v>
      </c>
      <c r="C76" s="333">
        <f ca="1">INDIRECT("'数据-取费表'!j"&amp;$G$1)</f>
        <v>0</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0" t="s">
        <v>2317</v>
      </c>
      <c r="B2" s="2592" t="e">
        <f>IF(D2="——",C40,C40+E2)</f>
        <v>#DIV/0!</v>
      </c>
      <c r="C2" s="2593" t="s">
        <v>2318</v>
      </c>
      <c r="D2" s="3136" t="s">
        <v>3361</v>
      </c>
      <c r="E2" s="3137"/>
      <c r="F2" s="2595"/>
      <c r="G2" s="2596"/>
      <c r="H2" s="2597"/>
      <c r="I2" s="2598"/>
      <c r="J2" s="3406" t="s">
        <v>2319</v>
      </c>
      <c r="K2" s="3407"/>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408" t="s">
        <v>2329</v>
      </c>
      <c r="K3" s="3409"/>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408" t="s">
        <v>2331</v>
      </c>
      <c r="K4" s="3409"/>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14" t="s">
        <v>2335</v>
      </c>
      <c r="B6" s="3415"/>
      <c r="C6" s="3416"/>
      <c r="D6" s="2619"/>
      <c r="E6" s="2620"/>
      <c r="F6" s="2621"/>
      <c r="G6" s="2622"/>
      <c r="H6" s="2597"/>
      <c r="I6" s="2598"/>
      <c r="J6" s="3400">
        <v>1</v>
      </c>
      <c r="K6" s="3401"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400"/>
      <c r="K7" s="3402"/>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17" t="s">
        <v>2349</v>
      </c>
      <c r="C8" s="3418"/>
      <c r="D8" s="2638" t="s">
        <v>2350</v>
      </c>
      <c r="E8" s="2639" t="s">
        <v>2351</v>
      </c>
      <c r="F8" s="2640" t="s">
        <v>2352</v>
      </c>
      <c r="G8" s="2641"/>
      <c r="H8" s="2597"/>
      <c r="I8" s="2598"/>
      <c r="J8" s="3400"/>
      <c r="K8" s="3402"/>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17" t="s">
        <v>2355</v>
      </c>
      <c r="C9" s="3418"/>
      <c r="D9" s="2638">
        <f>ROUND(D6*E9,0)</f>
        <v>0</v>
      </c>
      <c r="E9" s="2642"/>
      <c r="F9" s="2643" t="s">
        <v>2356</v>
      </c>
      <c r="G9" s="2622"/>
      <c r="H9" s="2597"/>
      <c r="I9" s="2598"/>
      <c r="J9" s="3400"/>
      <c r="K9" s="3402"/>
      <c r="L9" s="2632" t="s">
        <v>2357</v>
      </c>
      <c r="M9" s="2633"/>
      <c r="N9" s="2609"/>
      <c r="O9" s="2634"/>
      <c r="P9" s="2634"/>
      <c r="Q9" s="2635">
        <v>365</v>
      </c>
      <c r="R9" s="2636">
        <f t="shared" si="0"/>
        <v>0</v>
      </c>
      <c r="S9" s="2590"/>
      <c r="T9" s="2590"/>
      <c r="U9" s="2590"/>
      <c r="V9" s="2598"/>
    </row>
    <row r="10" spans="1:22" s="2602" customFormat="1" ht="13.15" customHeight="1">
      <c r="A10" s="2637">
        <v>2</v>
      </c>
      <c r="B10" s="3417" t="s">
        <v>2358</v>
      </c>
      <c r="C10" s="3418"/>
      <c r="D10" s="2638">
        <f>ROUND(D6*E10,0)</f>
        <v>0</v>
      </c>
      <c r="E10" s="2642"/>
      <c r="F10" s="2643" t="s">
        <v>2359</v>
      </c>
      <c r="G10" s="2622"/>
      <c r="H10" s="2597"/>
      <c r="I10" s="2598"/>
      <c r="J10" s="3400"/>
      <c r="K10" s="3402"/>
      <c r="L10" s="2632" t="s">
        <v>2360</v>
      </c>
      <c r="M10" s="2633"/>
      <c r="N10" s="2609"/>
      <c r="O10" s="2634"/>
      <c r="P10" s="2634"/>
      <c r="Q10" s="2635">
        <v>365</v>
      </c>
      <c r="R10" s="2636">
        <f t="shared" si="0"/>
        <v>0</v>
      </c>
      <c r="S10" s="2590"/>
      <c r="T10" s="2590"/>
      <c r="U10" s="2590"/>
      <c r="V10" s="2598"/>
    </row>
    <row r="11" spans="1:22" s="2602" customFormat="1" ht="13.15" customHeight="1">
      <c r="A11" s="2637">
        <v>3</v>
      </c>
      <c r="B11" s="3417" t="s">
        <v>2361</v>
      </c>
      <c r="C11" s="3418"/>
      <c r="D11" s="2638">
        <f>D12+D14+D15+D16</f>
        <v>0</v>
      </c>
      <c r="E11" s="2644" t="e">
        <f>D11/D6</f>
        <v>#DIV/0!</v>
      </c>
      <c r="F11" s="2640"/>
      <c r="G11" s="2641"/>
      <c r="H11" s="2597"/>
      <c r="I11" s="2598"/>
      <c r="J11" s="3400"/>
      <c r="K11" s="3402"/>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410" t="s">
        <v>2364</v>
      </c>
      <c r="C12" s="3411"/>
      <c r="D12" s="2646">
        <f>ROUND(D13*1.2%*(1-30%),0)</f>
        <v>0</v>
      </c>
      <c r="E12" s="2647">
        <v>1.2E-2</v>
      </c>
      <c r="F12" s="2640" t="s">
        <v>2365</v>
      </c>
      <c r="G12" s="2641"/>
      <c r="H12" s="2597"/>
      <c r="I12" s="2598"/>
      <c r="J12" s="3400"/>
      <c r="K12" s="3402"/>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400"/>
      <c r="K13" s="3402"/>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410" t="s">
        <v>2370</v>
      </c>
      <c r="C14" s="3411"/>
      <c r="D14" s="2646">
        <f>ROUND(E14*B5/10000,0)</f>
        <v>0</v>
      </c>
      <c r="E14" s="2635"/>
      <c r="F14" s="2640" t="s">
        <v>2371</v>
      </c>
      <c r="G14" s="2641"/>
      <c r="H14" s="2597"/>
      <c r="I14" s="2598"/>
      <c r="J14" s="3400"/>
      <c r="K14" s="3403"/>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410" t="s">
        <v>2374</v>
      </c>
      <c r="C15" s="3411"/>
      <c r="D15" s="2646">
        <f>ROUND(D6*E15,0)</f>
        <v>0</v>
      </c>
      <c r="E15" s="2647">
        <v>5.5E-2</v>
      </c>
      <c r="F15" s="2640" t="s">
        <v>2375</v>
      </c>
      <c r="G15" s="2622"/>
      <c r="H15" s="2597"/>
      <c r="I15" s="2598"/>
      <c r="J15" s="3400">
        <v>2</v>
      </c>
      <c r="K15" s="3401"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410" t="s">
        <v>2383</v>
      </c>
      <c r="C16" s="3411"/>
      <c r="D16" s="2657">
        <f>D6*E16</f>
        <v>0</v>
      </c>
      <c r="E16" s="2658"/>
      <c r="F16" s="2643" t="s">
        <v>2384</v>
      </c>
      <c r="G16" s="2622"/>
      <c r="H16" s="2597"/>
      <c r="I16" s="2598"/>
      <c r="J16" s="3400"/>
      <c r="K16" s="3402"/>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12" t="s">
        <v>2386</v>
      </c>
      <c r="C17" s="3413"/>
      <c r="D17" s="2660">
        <f>ROUND(D6*E17,0)</f>
        <v>0</v>
      </c>
      <c r="E17" s="2661"/>
      <c r="F17" s="2662" t="s">
        <v>2387</v>
      </c>
      <c r="G17" s="2622"/>
      <c r="H17" s="2597"/>
      <c r="I17" s="2598"/>
      <c r="J17" s="3400"/>
      <c r="K17" s="3402"/>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400"/>
      <c r="K18" s="3402"/>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400"/>
      <c r="K19" s="3403"/>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00">
        <v>3</v>
      </c>
      <c r="K20" s="3401"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400"/>
      <c r="K21" s="3402"/>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400"/>
      <c r="K22" s="3402"/>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400"/>
      <c r="K23" s="3402"/>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400"/>
      <c r="K24" s="3403"/>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404">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405"/>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406" t="s">
        <v>2319</v>
      </c>
      <c r="K32" s="3407"/>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408" t="s">
        <v>2329</v>
      </c>
      <c r="K33" s="3409"/>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408" t="s">
        <v>2331</v>
      </c>
      <c r="K34" s="3409"/>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400">
        <v>1</v>
      </c>
      <c r="K36" s="3401"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400"/>
      <c r="K37" s="3402"/>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00"/>
      <c r="K38" s="3402"/>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400"/>
      <c r="K39" s="3402"/>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400"/>
      <c r="K40" s="3403"/>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404">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405"/>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41" sqref="L4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3335</v>
      </c>
      <c r="D1" s="1268" t="s">
        <v>43</v>
      </c>
      <c r="E1" s="1269" t="s">
        <v>678</v>
      </c>
      <c r="F1" s="997">
        <f ca="1">J53</f>
        <v>41.38</v>
      </c>
      <c r="G1" s="1283">
        <f>MATCH(C1,'数据-取费表'!A6:A16,0)+5</f>
        <v>7</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f ca="1">C40+J29+L46</f>
        <v>1028</v>
      </c>
      <c r="C2" s="1286" t="s">
        <v>805</v>
      </c>
      <c r="D2" s="1286"/>
      <c r="E2" s="1292"/>
      <c r="F2" s="1293"/>
      <c r="G2" s="2476"/>
      <c r="H2" s="2466"/>
      <c r="I2" s="2466"/>
      <c r="J2" s="2466"/>
      <c r="K2" s="2467"/>
      <c r="L2" s="2466"/>
      <c r="M2" s="2466"/>
    </row>
    <row r="3" spans="1:37" ht="18" customHeight="1" thickBot="1">
      <c r="A3" s="1294" t="s">
        <v>806</v>
      </c>
      <c r="B3" s="1295">
        <f ca="1">IF(ISERROR(B2*10000/F43),0,ROUND(B2*10000/F43,0))</f>
        <v>528</v>
      </c>
      <c r="C3" s="1286" t="s">
        <v>807</v>
      </c>
      <c r="D3" s="1286"/>
      <c r="E3" s="1292"/>
      <c r="F3" s="1293"/>
      <c r="G3" s="2476"/>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5">
        <f ca="1">C6+C10+C12</f>
        <v>136</v>
      </c>
      <c r="D5" s="1270" t="s">
        <v>693</v>
      </c>
      <c r="E5" s="1006"/>
      <c r="F5" s="1007"/>
      <c r="G5" s="1289"/>
      <c r="H5" s="290">
        <v>1</v>
      </c>
      <c r="I5" s="291" t="s">
        <v>692</v>
      </c>
      <c r="J5" s="1005">
        <f ca="1">J6+J10+J12</f>
        <v>0</v>
      </c>
      <c r="K5" s="1270" t="s">
        <v>693</v>
      </c>
      <c r="L5" s="1006"/>
      <c r="M5" s="1007"/>
    </row>
    <row r="6" spans="1:37" ht="18" customHeight="1">
      <c r="A6" s="1004" t="s">
        <v>398</v>
      </c>
      <c r="B6" s="3397" t="s">
        <v>694</v>
      </c>
      <c r="C6" s="1009">
        <f ca="1">ROUND(F6*F8*F7*(1-F9)/10000,0)</f>
        <v>136</v>
      </c>
      <c r="D6" s="146" t="s">
        <v>2109</v>
      </c>
      <c r="E6" s="293" t="s">
        <v>696</v>
      </c>
      <c r="F6" s="294">
        <f ca="1">INDIRECT("'数据-取费表'!u"&amp;$G$1)</f>
        <v>400</v>
      </c>
      <c r="G6" s="1289"/>
      <c r="H6" s="1004" t="s">
        <v>398</v>
      </c>
      <c r="I6" s="3397" t="s">
        <v>694</v>
      </c>
      <c r="J6" s="292">
        <f ca="1">ROUND(M6*M8*M7*(1-M9)/10000,0)</f>
        <v>0</v>
      </c>
      <c r="K6" s="146" t="s">
        <v>2108</v>
      </c>
      <c r="L6" s="293" t="s">
        <v>696</v>
      </c>
      <c r="M6" s="294">
        <f ca="1">INDIRECT("'数据-取费表'!z"&amp;$G$1)</f>
        <v>0</v>
      </c>
    </row>
    <row r="7" spans="1:37" ht="18" customHeight="1">
      <c r="A7" s="1008"/>
      <c r="B7" s="3398"/>
      <c r="C7" s="1010"/>
      <c r="D7" s="298"/>
      <c r="E7" s="1011" t="s">
        <v>697</v>
      </c>
      <c r="F7" s="294">
        <f ca="1">IF(INDIRECT("'数据-取费表'!ah"&amp;$G$1)="",INDIRECT("'数据-取费表'!k"&amp;$G$1),INDIRECT("'数据-取费表'!ah"&amp;$G$1))</f>
        <v>315</v>
      </c>
      <c r="G7" s="1289"/>
      <c r="H7" s="295"/>
      <c r="I7" s="3398"/>
      <c r="J7" s="297"/>
      <c r="K7" s="298"/>
      <c r="L7" s="293" t="s">
        <v>697</v>
      </c>
      <c r="M7" s="294">
        <f ca="1">F7</f>
        <v>315</v>
      </c>
    </row>
    <row r="8" spans="1:37" ht="18" customHeight="1">
      <c r="A8" s="295"/>
      <c r="B8" s="3398"/>
      <c r="C8" s="297"/>
      <c r="D8" s="298"/>
      <c r="E8" s="293" t="s">
        <v>698</v>
      </c>
      <c r="F8" s="294">
        <f ca="1">INDIRECT("'数据-取费表'!ai"&amp;$G$1)</f>
        <v>12</v>
      </c>
      <c r="G8" s="1289"/>
      <c r="H8" s="295"/>
      <c r="I8" s="3398"/>
      <c r="J8" s="297"/>
      <c r="K8" s="298"/>
      <c r="L8" s="293" t="s">
        <v>698</v>
      </c>
      <c r="M8" s="294">
        <f ca="1">INDIRECT("'数据-取费表'!ai"&amp;$G$1)</f>
        <v>12</v>
      </c>
    </row>
    <row r="9" spans="1:37" ht="18" customHeight="1">
      <c r="A9" s="295"/>
      <c r="B9" s="3399"/>
      <c r="C9" s="297"/>
      <c r="D9" s="298"/>
      <c r="E9" s="293" t="s">
        <v>699</v>
      </c>
      <c r="F9" s="303">
        <f ca="1">INDIRECT("'数据-取费表'!w"&amp;$G$1)</f>
        <v>0.1</v>
      </c>
      <c r="G9" s="1289"/>
      <c r="H9" s="295"/>
      <c r="I9" s="3399"/>
      <c r="J9" s="297"/>
      <c r="K9" s="298"/>
      <c r="L9" s="304" t="s">
        <v>699</v>
      </c>
      <c r="M9" s="305">
        <f ca="1">INDIRECT("'数据-取费表'!ab"&amp;$G$1)</f>
        <v>0</v>
      </c>
    </row>
    <row r="10" spans="1:37" ht="18" customHeight="1">
      <c r="A10" s="1004" t="s">
        <v>402</v>
      </c>
      <c r="B10" s="1271" t="s">
        <v>700</v>
      </c>
      <c r="C10" s="307">
        <f ca="1">ROUND(IF(F10="押一",C6/12*F11,IF(F10="押二",C6/12*2*F11,IF(F10="押三",C6/12*3*F11,C11*F11))),0)</f>
        <v>0</v>
      </c>
      <c r="D10" s="149" t="s">
        <v>2116</v>
      </c>
      <c r="E10" s="304" t="s">
        <v>701</v>
      </c>
      <c r="F10" s="1051"/>
      <c r="G10" s="1289"/>
      <c r="H10" s="1004" t="s">
        <v>402</v>
      </c>
      <c r="I10" s="1271" t="s">
        <v>700</v>
      </c>
      <c r="J10" s="292">
        <f ca="1">ROUND(IF(M10="押一",J6/12*M11,IF(M10="押二",J6/12*2*M11,IF(M10="押三",J6/12*3*M11,J11*M11))),0)</f>
        <v>0</v>
      </c>
      <c r="K10" s="149" t="s">
        <v>2116</v>
      </c>
      <c r="L10" s="304" t="s">
        <v>701</v>
      </c>
      <c r="M10" s="1051"/>
    </row>
    <row r="11" spans="1:37" ht="18" customHeight="1">
      <c r="A11" s="299"/>
      <c r="B11" s="1272" t="s">
        <v>679</v>
      </c>
      <c r="C11" s="903"/>
      <c r="D11" s="1273"/>
      <c r="E11" s="304" t="s">
        <v>702</v>
      </c>
      <c r="F11" s="305">
        <f ca="1">'数据-取费表'!B39</f>
        <v>1.4999999999999999E-2</v>
      </c>
      <c r="G11" s="1289"/>
      <c r="H11" s="1012"/>
      <c r="I11" s="1272" t="s">
        <v>679</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11770</v>
      </c>
      <c r="D13" s="1016" t="s">
        <v>705</v>
      </c>
      <c r="E13" s="1016" t="s">
        <v>706</v>
      </c>
      <c r="F13" s="1017">
        <f ca="1">INDIRECT("'数据-取费表'!y"&amp;$G$1)</f>
        <v>0.93</v>
      </c>
      <c r="G13" s="1289"/>
      <c r="H13" s="1014">
        <v>2</v>
      </c>
      <c r="I13" s="1015" t="s">
        <v>704</v>
      </c>
      <c r="J13" s="1003">
        <f ca="1">ROUND(J14*J15,0)</f>
        <v>0</v>
      </c>
      <c r="K13" s="1022" t="s">
        <v>705</v>
      </c>
      <c r="L13" s="1296"/>
      <c r="M13" s="1297"/>
    </row>
    <row r="14" spans="1:37" ht="18" customHeight="1">
      <c r="A14" s="926" t="s">
        <v>397</v>
      </c>
      <c r="B14" s="293" t="s">
        <v>707</v>
      </c>
      <c r="C14" s="309">
        <f ca="1">INDIRECT("'数据-取费表'!m"&amp;$G$1)+INDIRECT("'数据-取费表'!t"&amp;$G$1)</f>
        <v>9737</v>
      </c>
      <c r="D14" s="1254" t="s">
        <v>708</v>
      </c>
      <c r="E14" s="1252"/>
      <c r="F14" s="310"/>
      <c r="G14" s="1289"/>
      <c r="H14" s="926" t="s">
        <v>398</v>
      </c>
      <c r="I14" s="293" t="s">
        <v>709</v>
      </c>
      <c r="J14" s="21">
        <f ca="1">C29</f>
        <v>12656</v>
      </c>
      <c r="K14" s="12"/>
      <c r="L14" s="757"/>
      <c r="M14" s="758"/>
    </row>
    <row r="15" spans="1:37" s="1301" customFormat="1" ht="18" customHeight="1" thickBot="1">
      <c r="A15" s="926" t="s">
        <v>399</v>
      </c>
      <c r="B15" s="293" t="s">
        <v>710</v>
      </c>
      <c r="C15" s="21">
        <f ca="1">ROUND(C14*F15,0)</f>
        <v>292</v>
      </c>
      <c r="D15" s="311" t="s">
        <v>711</v>
      </c>
      <c r="E15" s="311" t="s">
        <v>712</v>
      </c>
      <c r="F15" s="312">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ROUND(INDIRECT("'数据-取费表'!m"&amp;$G$1)*F16,0)</f>
        <v>0</v>
      </c>
      <c r="D16" s="293" t="s">
        <v>711</v>
      </c>
      <c r="E16" s="293" t="s">
        <v>712</v>
      </c>
      <c r="F16" s="313">
        <f ca="1">IF(INDIRECT("'数据-取费表'!c"&amp;$G$1)="住宅",'数据-取费表'!B34,0)</f>
        <v>0</v>
      </c>
      <c r="G16" s="1289"/>
      <c r="H16" s="1014" t="s">
        <v>393</v>
      </c>
      <c r="I16" s="1015" t="s">
        <v>714</v>
      </c>
      <c r="J16" s="301">
        <f ca="1">ROUND(J17+J22+J23+J24,0)</f>
        <v>64</v>
      </c>
      <c r="K16" s="1022" t="s">
        <v>715</v>
      </c>
      <c r="L16" s="1023"/>
      <c r="M16" s="1007"/>
    </row>
    <row r="17" spans="1:37" s="1301" customFormat="1" ht="18" customHeight="1">
      <c r="A17" s="926" t="s">
        <v>681</v>
      </c>
      <c r="B17" s="293" t="s">
        <v>716</v>
      </c>
      <c r="C17" s="21">
        <f ca="1">ROUND(F17*(F43+INDIRECT("'数据-取费表'!S"&amp;$G$1))/10000,0)</f>
        <v>394</v>
      </c>
      <c r="D17" s="293" t="s">
        <v>717</v>
      </c>
      <c r="E17" s="293" t="s">
        <v>718</v>
      </c>
      <c r="F17" s="23">
        <f>'数据-取费表'!B35</f>
        <v>200</v>
      </c>
      <c r="G17" s="1300"/>
      <c r="H17" s="926" t="s">
        <v>398</v>
      </c>
      <c r="I17" s="293" t="s">
        <v>719</v>
      </c>
      <c r="J17" s="2137">
        <f ca="1">ROUND(IF(AND(项目基本情况!B11="自然人",项目基本情况!B10="北京市"),J6*M17/(1+'数据-取费表'!C42),J18+J19+J20),2)</f>
        <v>0.92</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195</v>
      </c>
      <c r="D18" s="293" t="s">
        <v>711</v>
      </c>
      <c r="E18" s="293" t="s">
        <v>712</v>
      </c>
      <c r="F18" s="313">
        <f>'数据-取费表'!B36</f>
        <v>0.02</v>
      </c>
      <c r="G18" s="1300"/>
      <c r="H18" s="926" t="s">
        <v>397</v>
      </c>
      <c r="I18" s="293" t="s">
        <v>723</v>
      </c>
      <c r="J18" s="21">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10618</v>
      </c>
      <c r="D19" s="123" t="s">
        <v>726</v>
      </c>
      <c r="E19" s="1266"/>
      <c r="F19" s="23"/>
      <c r="G19" s="1289"/>
      <c r="H19" s="926" t="s">
        <v>399</v>
      </c>
      <c r="I19" s="293" t="s">
        <v>727</v>
      </c>
      <c r="J19" s="21">
        <f ca="1">IF(K19="按租金收入计税",ROUND(J6*M19/(1+'数据-取费表'!C42),2),ROUND(C29*M19*0.7,2))</f>
        <v>0</v>
      </c>
      <c r="K19" s="1275" t="s">
        <v>3338</v>
      </c>
      <c r="L19" s="293" t="s">
        <v>712</v>
      </c>
      <c r="M19" s="313">
        <f>IF(K19="按租金收入计税",'数据-取费表'!B51,'数据-取费表'!B50)</f>
        <v>0.12</v>
      </c>
    </row>
    <row r="20" spans="1:37" s="1301" customFormat="1" ht="18" customHeight="1">
      <c r="A20" s="926" t="s">
        <v>402</v>
      </c>
      <c r="B20" s="293" t="s">
        <v>728</v>
      </c>
      <c r="C20" s="21">
        <f ca="1">ROUND(C19*F20,0)</f>
        <v>212</v>
      </c>
      <c r="D20" s="314" t="s">
        <v>729</v>
      </c>
      <c r="E20" s="293" t="s">
        <v>712</v>
      </c>
      <c r="F20" s="313">
        <f>'数据-取费表'!B37</f>
        <v>0.02</v>
      </c>
      <c r="G20" s="1300"/>
      <c r="H20" s="926" t="s">
        <v>680</v>
      </c>
      <c r="I20" s="146" t="s">
        <v>730</v>
      </c>
      <c r="J20" s="22">
        <f ca="1">ROUND(M20*M21/10000,2)</f>
        <v>0.92</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6107.9000000000005</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3" t="str">
        <f>IF(F23&lt;=1,"单利计息。","复利计息。")&amp;"建造成本、管理费用、销售费用产生的利息。"</f>
        <v>复利计息。建造成本、管理费用、销售费用产生的利息。</v>
      </c>
      <c r="E22" s="1266"/>
      <c r="F22" s="23"/>
      <c r="G22" s="1289"/>
      <c r="H22" s="926" t="s">
        <v>402</v>
      </c>
      <c r="I22" s="293" t="s">
        <v>738</v>
      </c>
      <c r="J22" s="21">
        <f ca="1">ROUND(J14*M22,2)</f>
        <v>63.28</v>
      </c>
      <c r="K22" s="1253" t="s">
        <v>739</v>
      </c>
      <c r="L22" s="293" t="s">
        <v>712</v>
      </c>
      <c r="M22" s="319">
        <f ca="1">INDIRECT("'数据-取费表'!Ak"&amp;$G$1)</f>
        <v>5.0000000000000001E-3</v>
      </c>
    </row>
    <row r="23" spans="1:37" s="1301" customFormat="1" ht="18" customHeight="1">
      <c r="A23" s="926" t="s">
        <v>397</v>
      </c>
      <c r="B23" s="293" t="s">
        <v>740</v>
      </c>
      <c r="C23" s="21">
        <f ca="1">IF('数据-取费表'!B22&lt;=1,ROUND(C19*F24*F23/2,0)+ROUND(C20*F24*F23/2,0),ROUND(C19*(POWER((1+F24),F23/2)-1),0)+ROUND(C20*(POWER((1+F24),F23/2)-1),0))</f>
        <v>336</v>
      </c>
      <c r="D23" s="137" t="str">
        <f>IF(F23&lt;=1,"(建造成本+管理费用)×利率×(建设周期÷2)","(建造成本+管理费用)×((1+利率)^(建设周期÷2)-1)")</f>
        <v>(建造成本+管理费用)×((1+利率)^(建设周期÷2)-1)</v>
      </c>
      <c r="E23" s="293" t="s">
        <v>741</v>
      </c>
      <c r="F23" s="316">
        <f>'数据-取费表'!B20</f>
        <v>2</v>
      </c>
      <c r="G23" s="1300"/>
      <c r="H23" s="926" t="s">
        <v>437</v>
      </c>
      <c r="I23" s="293" t="s">
        <v>742</v>
      </c>
      <c r="J23" s="21">
        <f ca="1">ROUND(J13*M23,2)</f>
        <v>0</v>
      </c>
      <c r="K23" s="1253" t="s">
        <v>743</v>
      </c>
      <c r="L23" s="293" t="s">
        <v>712</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0"/>
      <c r="H24" s="1024" t="s">
        <v>683</v>
      </c>
      <c r="I24" s="1025" t="s">
        <v>728</v>
      </c>
      <c r="J24" s="1026">
        <f ca="1">ROUND(J5*M24,2)</f>
        <v>0</v>
      </c>
      <c r="K24" s="1027" t="s">
        <v>748</v>
      </c>
      <c r="L24" s="1025" t="s">
        <v>712</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3" t="s">
        <v>751</v>
      </c>
      <c r="E25" s="1266"/>
      <c r="F25" s="23"/>
      <c r="G25" s="1289"/>
      <c r="H25" s="1014" t="s">
        <v>394</v>
      </c>
      <c r="I25" s="1029" t="s">
        <v>752</v>
      </c>
      <c r="J25" s="301">
        <f ca="1">J5-J16</f>
        <v>-64</v>
      </c>
      <c r="K25" s="1030" t="s">
        <v>753</v>
      </c>
      <c r="L25" s="1031"/>
      <c r="M25" s="1032"/>
    </row>
    <row r="26" spans="1:37">
      <c r="A26" s="926" t="s">
        <v>397</v>
      </c>
      <c r="B26" s="293" t="s">
        <v>754</v>
      </c>
      <c r="C26" s="21">
        <f ca="1">ROUND((C19+C20)*F26,0)</f>
        <v>542</v>
      </c>
      <c r="D26" s="314" t="s">
        <v>755</v>
      </c>
      <c r="E26" s="304" t="s">
        <v>756</v>
      </c>
      <c r="F26" s="303">
        <f ca="1">INDIRECT("'数据-取费表'!q"&amp;$G$1)</f>
        <v>0.05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12656</v>
      </c>
      <c r="D29" s="1027"/>
      <c r="E29" s="1025"/>
      <c r="F29" s="1028"/>
      <c r="G29" s="1300"/>
      <c r="H29" s="324" t="s">
        <v>396</v>
      </c>
      <c r="I29" s="325" t="s">
        <v>768</v>
      </c>
      <c r="J29" s="326">
        <f ca="1">ROUND(J26/(1+F40)^F41,0)</f>
        <v>0</v>
      </c>
      <c r="K29" s="327" t="s">
        <v>769</v>
      </c>
      <c r="L29" s="328"/>
      <c r="M29" s="329">
        <f ca="1">INDIRECT("'数据-取费表'!k"&amp;$G$1)</f>
        <v>19473.41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100</v>
      </c>
      <c r="D30" s="1022" t="s">
        <v>715</v>
      </c>
      <c r="E30" s="1023"/>
      <c r="F30" s="1007"/>
      <c r="G30" s="1289"/>
      <c r="H30" s="2468"/>
      <c r="I30" s="1302"/>
      <c r="J30" s="1303"/>
      <c r="K30" s="121"/>
      <c r="L30" s="2469"/>
      <c r="M30" s="2470"/>
    </row>
    <row r="31" spans="1:37" ht="18" customHeight="1">
      <c r="A31" s="926" t="s">
        <v>398</v>
      </c>
      <c r="B31" s="293" t="s">
        <v>719</v>
      </c>
      <c r="C31" s="2137">
        <f ca="1">ROUND(IF(AND(项目基本情况!B11="自然人",项目基本情况!B10="北京市"),C6*F31/(1+'数据-取费表'!C42),C32+C33+C34),2)</f>
        <v>23.71</v>
      </c>
      <c r="D31" s="1254" t="s">
        <v>720</v>
      </c>
      <c r="E31" s="1253" t="s">
        <v>770</v>
      </c>
      <c r="F31" s="2136" t="str">
        <f>IF(项目基本情况!B11="企业","——",IF(M47="住宅",IF(F6*F7*F8/12/(1+'数据-取费表'!F30)&gt;100000,4%,2.5%),IF(F6*F7*F8/12/(1+'数据-取费表'!F30)&gt;100000,12%,7%)))</f>
        <v>——</v>
      </c>
      <c r="G31" s="1289"/>
      <c r="H31" s="2567" t="s">
        <v>2308</v>
      </c>
      <c r="I31" s="1302"/>
      <c r="J31" s="1303"/>
      <c r="K31" s="121"/>
      <c r="L31" s="2469"/>
      <c r="M31" s="2470"/>
    </row>
    <row r="32" spans="1:37" ht="18" customHeight="1">
      <c r="A32" s="926" t="s">
        <v>397</v>
      </c>
      <c r="B32" s="293" t="s">
        <v>723</v>
      </c>
      <c r="C32" s="21">
        <f ca="1">IF(项目基本情况!B11="自然人","——",ROUND(C6*F32/(1+'数据-取费表'!C42),2))</f>
        <v>7.25</v>
      </c>
      <c r="D32" s="1253" t="s">
        <v>724</v>
      </c>
      <c r="E32" s="293" t="s">
        <v>712</v>
      </c>
      <c r="F32" s="321">
        <f>'数据-取费表'!B41</f>
        <v>5.6000000000000001E-2</v>
      </c>
      <c r="G32" s="1289"/>
      <c r="H32" s="2468"/>
      <c r="I32" s="1302"/>
      <c r="J32" s="1303"/>
      <c r="K32" s="121"/>
      <c r="L32" s="2469"/>
      <c r="M32" s="2470"/>
    </row>
    <row r="33" spans="1:18" ht="18" customHeight="1">
      <c r="A33" s="926" t="s">
        <v>399</v>
      </c>
      <c r="B33" s="293" t="s">
        <v>727</v>
      </c>
      <c r="C33" s="21">
        <f ca="1">IF(项目基本情况!B11="自然人","——",IF(D33="按租金收入计税",ROUND(C6*F33/(1+'数据-取费表'!C42),2),IF(D33="按房产原值计税",ROUND(C29*F33*0.7,2),INDIRECT("'数据-取费表'!Aj"&amp;$G$1))))</f>
        <v>15.54</v>
      </c>
      <c r="D33" s="1275" t="s">
        <v>3338</v>
      </c>
      <c r="E33" s="293" t="s">
        <v>712</v>
      </c>
      <c r="F33" s="313">
        <f>IF(D33="按票据","——",IF(D33="按租金收入计税",'数据-取费表'!B51,'数据-取费表'!B50))</f>
        <v>0.12</v>
      </c>
      <c r="G33" s="1289"/>
      <c r="H33" s="2471"/>
      <c r="I33" s="1302"/>
      <c r="J33" s="1303"/>
      <c r="K33" s="2472"/>
      <c r="L33" s="2471"/>
      <c r="M33" s="2471"/>
    </row>
    <row r="34" spans="1:18" ht="18" customHeight="1">
      <c r="A34" s="1004" t="s">
        <v>680</v>
      </c>
      <c r="B34" s="146" t="s">
        <v>730</v>
      </c>
      <c r="C34" s="22">
        <f ca="1">IF(项目基本情况!B11="自然人","——",ROUND(F34*F35/10000,2))</f>
        <v>0.92</v>
      </c>
      <c r="D34" s="315" t="s">
        <v>731</v>
      </c>
      <c r="E34" s="293" t="s">
        <v>732</v>
      </c>
      <c r="F34" s="316">
        <f>'数据-取费表'!B52</f>
        <v>1.5</v>
      </c>
      <c r="G34" s="1289"/>
      <c r="H34" s="2468"/>
      <c r="I34" s="1302"/>
      <c r="J34" s="1303"/>
      <c r="K34" s="2473"/>
      <c r="L34" s="2474"/>
      <c r="M34" s="2474"/>
    </row>
    <row r="35" spans="1:18" ht="18" customHeight="1">
      <c r="A35" s="1038"/>
      <c r="B35" s="1036"/>
      <c r="C35" s="26"/>
      <c r="D35" s="318"/>
      <c r="E35" s="293" t="s">
        <v>736</v>
      </c>
      <c r="F35" s="294">
        <f ca="1">INDIRECT("'数据-取费表'!r"&amp;$G$1)</f>
        <v>6107.9000000000005</v>
      </c>
      <c r="G35" s="1289"/>
      <c r="H35" s="2468"/>
      <c r="I35" s="1302"/>
      <c r="J35" s="1303"/>
      <c r="K35" s="2472"/>
      <c r="L35" s="2471"/>
      <c r="M35" s="2471"/>
    </row>
    <row r="36" spans="1:18" ht="18" customHeight="1">
      <c r="A36" s="1037" t="s">
        <v>402</v>
      </c>
      <c r="B36" s="293" t="s">
        <v>738</v>
      </c>
      <c r="C36" s="21">
        <f ca="1">ROUND(C29*F36,2)</f>
        <v>63.28</v>
      </c>
      <c r="D36" s="1253" t="s">
        <v>771</v>
      </c>
      <c r="E36" s="293" t="s">
        <v>712</v>
      </c>
      <c r="F36" s="319">
        <f ca="1">INDIRECT("'数据-取费表'!Ak"&amp;$G$1)</f>
        <v>5.0000000000000001E-3</v>
      </c>
      <c r="G36" s="1289"/>
      <c r="H36" s="2471"/>
      <c r="I36" s="1302"/>
      <c r="J36" s="1303"/>
      <c r="K36" s="2328"/>
      <c r="L36" s="2471"/>
      <c r="M36" s="2471"/>
    </row>
    <row r="37" spans="1:18" ht="18" customHeight="1">
      <c r="A37" s="926" t="s">
        <v>437</v>
      </c>
      <c r="B37" s="293" t="s">
        <v>742</v>
      </c>
      <c r="C37" s="21">
        <f ca="1">ROUND(C13*F37,2)</f>
        <v>11.77</v>
      </c>
      <c r="D37" s="1253" t="s">
        <v>743</v>
      </c>
      <c r="E37" s="293" t="s">
        <v>712</v>
      </c>
      <c r="F37" s="320">
        <f ca="1">INDIRECT("'数据-取费表'!Al"&amp;$G$1)</f>
        <v>1E-3</v>
      </c>
      <c r="G37" s="1289"/>
      <c r="H37" s="2471"/>
      <c r="I37" s="1302"/>
      <c r="J37" s="1303"/>
      <c r="K37" s="2328"/>
      <c r="L37" s="2471"/>
      <c r="M37" s="2471"/>
    </row>
    <row r="38" spans="1:18" ht="18" customHeight="1" thickBot="1">
      <c r="A38" s="1024" t="s">
        <v>683</v>
      </c>
      <c r="B38" s="1025" t="s">
        <v>728</v>
      </c>
      <c r="C38" s="1026">
        <f ca="1">ROUND(C5*F38,2)</f>
        <v>1.36</v>
      </c>
      <c r="D38" s="1027" t="s">
        <v>748</v>
      </c>
      <c r="E38" s="1025" t="s">
        <v>712</v>
      </c>
      <c r="F38" s="1021">
        <f ca="1">INDIRECT("'数据-取费表'!Am"&amp;$G$1)</f>
        <v>0.01</v>
      </c>
      <c r="G38" s="1289"/>
      <c r="H38" s="2471"/>
      <c r="I38" s="1302"/>
      <c r="J38" s="1303"/>
      <c r="K38" s="2469"/>
      <c r="L38" s="2471"/>
      <c r="M38" s="2471"/>
    </row>
    <row r="39" spans="1:18" ht="24.6" customHeight="1" thickTop="1">
      <c r="A39" s="1014" t="s">
        <v>394</v>
      </c>
      <c r="B39" s="1029" t="s">
        <v>752</v>
      </c>
      <c r="C39" s="301">
        <f ca="1">C5-C30</f>
        <v>36</v>
      </c>
      <c r="D39" s="1030" t="s">
        <v>753</v>
      </c>
      <c r="E39" s="1031"/>
      <c r="F39" s="1032"/>
      <c r="G39" s="1289"/>
      <c r="H39" s="2471"/>
      <c r="I39" s="1302"/>
      <c r="J39" s="1303"/>
      <c r="K39" s="2469"/>
      <c r="L39" s="2471"/>
      <c r="M39" s="2471"/>
    </row>
    <row r="40" spans="1:18" ht="18" customHeight="1">
      <c r="A40" s="290" t="s">
        <v>395</v>
      </c>
      <c r="B40" s="291" t="s">
        <v>774</v>
      </c>
      <c r="C40" s="292">
        <f ca="1">ROUND(C39*(1-((1+F42)/(1+F40))^F41)/(F40-F42),0)</f>
        <v>774</v>
      </c>
      <c r="D40" s="315" t="s">
        <v>758</v>
      </c>
      <c r="E40" s="293" t="s">
        <v>759</v>
      </c>
      <c r="F40" s="303">
        <f ca="1">INDIRECT("'数据-取费表'!I"&amp;$G$1)</f>
        <v>5.5E-2</v>
      </c>
      <c r="G40" s="1289"/>
      <c r="H40" s="1363"/>
      <c r="I40" s="1302"/>
      <c r="J40" s="1303"/>
      <c r="K40" s="2469"/>
      <c r="L40" s="1363"/>
      <c r="M40" s="1363"/>
    </row>
    <row r="41" spans="1:18" ht="18" customHeight="1">
      <c r="A41" s="295"/>
      <c r="B41" s="296"/>
      <c r="C41" s="297"/>
      <c r="D41" s="322" t="s">
        <v>775</v>
      </c>
      <c r="E41" s="293" t="s">
        <v>763</v>
      </c>
      <c r="F41" s="323">
        <f ca="1">IF(INDIRECT("'数据-取费表'!af"&amp;$G$1)=0,INDIRECT("'数据-取费表'!ae"&amp;$G$1),INDIRECT("'数据-取费表'!af"&amp;$G$1))</f>
        <v>41.38</v>
      </c>
      <c r="G41" s="1289"/>
      <c r="H41" s="121"/>
      <c r="I41" s="1302"/>
      <c r="J41" s="1303"/>
      <c r="K41" s="2328"/>
      <c r="L41" s="121"/>
      <c r="M41" s="121"/>
    </row>
    <row r="42" spans="1:18" ht="18" customHeight="1">
      <c r="A42" s="299"/>
      <c r="B42" s="300"/>
      <c r="C42" s="301"/>
      <c r="D42" s="318"/>
      <c r="E42" s="293" t="s">
        <v>766</v>
      </c>
      <c r="F42" s="303">
        <f ca="1">INDIRECT("'数据-取费表'!v"&amp;$G$1)</f>
        <v>0.02</v>
      </c>
      <c r="G42" s="1289"/>
      <c r="H42" s="121"/>
      <c r="I42" s="1302"/>
      <c r="J42" s="1303"/>
      <c r="K42" s="2328"/>
      <c r="L42" s="121"/>
      <c r="M42" s="121"/>
    </row>
    <row r="43" spans="1:18" ht="18" customHeight="1" thickBot="1">
      <c r="A43" s="324" t="s">
        <v>396</v>
      </c>
      <c r="B43" s="325" t="s">
        <v>776</v>
      </c>
      <c r="C43" s="326">
        <f ca="1">ROUND(C40*10000/F43,0)</f>
        <v>397</v>
      </c>
      <c r="D43" s="327" t="s">
        <v>777</v>
      </c>
      <c r="E43" s="328" t="s">
        <v>778</v>
      </c>
      <c r="F43" s="329">
        <f ca="1">INDIRECT("'数据-取费表'!k"&amp;$G$1)</f>
        <v>19473.41</v>
      </c>
      <c r="G43" s="1289"/>
      <c r="H43" s="121"/>
      <c r="I43" s="121"/>
      <c r="J43" s="121"/>
      <c r="K43" s="2328"/>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5" t="s">
        <v>808</v>
      </c>
      <c r="P45" s="1363"/>
      <c r="Q45" s="1363"/>
      <c r="R45" s="1363"/>
    </row>
    <row r="46" spans="1:18" s="1289" customFormat="1" ht="13.5" thickBot="1">
      <c r="A46" s="1308" t="s">
        <v>809</v>
      </c>
      <c r="C46" s="1309">
        <f ca="1">C68-C40</f>
        <v>-2005</v>
      </c>
      <c r="D46" s="1310" t="str">
        <f>C2</f>
        <v>万元</v>
      </c>
      <c r="E46" s="1304"/>
      <c r="F46" s="1304"/>
      <c r="I46" s="1311" t="s">
        <v>810</v>
      </c>
      <c r="J46" s="1312"/>
      <c r="K46" s="1313"/>
      <c r="L46" s="1314">
        <f ca="1">IF(M47="住宅",0,IF(L48&gt;J51,L60,J60))</f>
        <v>254</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t="s">
        <v>3615</v>
      </c>
      <c r="K47" s="1320" t="s">
        <v>816</v>
      </c>
      <c r="L47" s="1321">
        <f ca="1">INDIRECT("'数据-取费表'!d"&amp;$G$1)</f>
        <v>50</v>
      </c>
      <c r="M47" s="1285" t="str">
        <f>IF(ISNUMBER(FIND("住宅",C1)),"住宅","非住宅")</f>
        <v>非住宅</v>
      </c>
      <c r="O47" s="1322" t="s">
        <v>403</v>
      </c>
      <c r="P47" s="1323" t="s">
        <v>817</v>
      </c>
      <c r="Q47" s="1324">
        <f ca="1">C40+J29</f>
        <v>774</v>
      </c>
      <c r="R47" s="1324" t="s">
        <v>818</v>
      </c>
    </row>
    <row r="48" spans="1:18" s="1289" customFormat="1" ht="28.5" thickBot="1">
      <c r="A48" s="1045" t="s">
        <v>438</v>
      </c>
      <c r="B48" s="291" t="s">
        <v>692</v>
      </c>
      <c r="C48" s="1265">
        <f ca="1">C49+C53+C55</f>
        <v>0</v>
      </c>
      <c r="D48" s="1047"/>
      <c r="E48" s="1048"/>
      <c r="F48" s="906"/>
      <c r="G48" s="679"/>
      <c r="H48" s="680"/>
      <c r="I48" s="1325" t="s">
        <v>819</v>
      </c>
      <c r="J48" s="1326" t="s">
        <v>3616</v>
      </c>
      <c r="K48" s="1327" t="s">
        <v>820</v>
      </c>
      <c r="L48" s="1328">
        <f ca="1">INDIRECT("'数据-取费表'!f"&amp;$G$1)</f>
        <v>41.38</v>
      </c>
      <c r="O48" s="1322" t="s">
        <v>404</v>
      </c>
      <c r="P48" s="1323" t="s">
        <v>821</v>
      </c>
      <c r="Q48" s="1324">
        <f ca="1">J60</f>
        <v>254</v>
      </c>
      <c r="R48" s="1324" t="s">
        <v>822</v>
      </c>
    </row>
    <row r="49" spans="1:18" s="1289" customFormat="1" ht="13.5" thickBot="1">
      <c r="A49" s="919" t="s">
        <v>439</v>
      </c>
      <c r="B49" s="1276" t="s">
        <v>779</v>
      </c>
      <c r="C49" s="1049">
        <f ca="1">ROUND(F49*F51*F50*(1-F52)/10000,0)</f>
        <v>0</v>
      </c>
      <c r="D49" s="990" t="s">
        <v>2108</v>
      </c>
      <c r="E49" s="1277" t="s">
        <v>780</v>
      </c>
      <c r="F49" s="995"/>
      <c r="H49" s="680"/>
      <c r="I49" s="1325" t="s">
        <v>823</v>
      </c>
      <c r="J49" s="1329">
        <f>'数据-取费表'!N18</f>
        <v>2020</v>
      </c>
      <c r="K49" s="1327" t="s">
        <v>824</v>
      </c>
      <c r="L49" s="1330"/>
      <c r="O49" s="1331" t="s">
        <v>405</v>
      </c>
      <c r="P49" s="1323" t="s">
        <v>825</v>
      </c>
      <c r="Q49" s="1324">
        <f ca="1">C29</f>
        <v>12656</v>
      </c>
      <c r="R49" s="1324" t="s">
        <v>818</v>
      </c>
    </row>
    <row r="50" spans="1:18" s="1289" customFormat="1" ht="13.5" thickBot="1">
      <c r="A50" s="920"/>
      <c r="B50" s="923"/>
      <c r="C50" s="1053"/>
      <c r="D50" s="897"/>
      <c r="E50" s="991" t="s">
        <v>697</v>
      </c>
      <c r="F50" s="992">
        <f ca="1">F7</f>
        <v>315</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1"/>
      <c r="B51" s="923"/>
      <c r="C51" s="924"/>
      <c r="D51" s="897"/>
      <c r="E51" s="925" t="s">
        <v>698</v>
      </c>
      <c r="F51" s="294">
        <f ca="1">F8</f>
        <v>12</v>
      </c>
      <c r="I51" s="1335" t="s">
        <v>829</v>
      </c>
      <c r="J51" s="1328">
        <f>IF(J49="",J50,J49+J50-YEAR('数据-取费表'!B2))</f>
        <v>56</v>
      </c>
      <c r="K51" s="1336" t="s">
        <v>830</v>
      </c>
      <c r="L51" s="1337">
        <f ca="1">ROUND(-PV(INDIRECT("'数据-取费表'!h"&amp;$G$1),J51,(C39-C13*C76),0),0)</f>
        <v>-14733</v>
      </c>
      <c r="M51" s="1338"/>
      <c r="O51" s="1331" t="s">
        <v>407</v>
      </c>
      <c r="P51" s="1323" t="s">
        <v>831</v>
      </c>
      <c r="Q51" s="1334">
        <f>J52</f>
        <v>7.4999999999999997E-2</v>
      </c>
      <c r="R51" s="1324"/>
    </row>
    <row r="52" spans="1:18" s="1289" customFormat="1" ht="13.5" thickBot="1">
      <c r="A52" s="921"/>
      <c r="B52" s="923"/>
      <c r="C52" s="924"/>
      <c r="D52" s="897"/>
      <c r="E52" s="925" t="s">
        <v>699</v>
      </c>
      <c r="F52" s="989"/>
      <c r="I52" s="1339" t="s">
        <v>832</v>
      </c>
      <c r="J52" s="1340">
        <v>7.4999999999999997E-2</v>
      </c>
      <c r="K52" s="1339" t="s">
        <v>833</v>
      </c>
      <c r="L52" s="1340"/>
      <c r="O52" s="1331" t="s">
        <v>408</v>
      </c>
      <c r="P52" s="1323" t="s">
        <v>834</v>
      </c>
      <c r="Q52" s="1324">
        <f ca="1">J53</f>
        <v>41.38</v>
      </c>
      <c r="R52" s="1324" t="s">
        <v>835</v>
      </c>
    </row>
    <row r="53" spans="1:18" s="1289" customFormat="1" ht="24.75" thickBot="1">
      <c r="A53" s="1076" t="s">
        <v>440</v>
      </c>
      <c r="B53" s="1278" t="s">
        <v>700</v>
      </c>
      <c r="C53" s="307">
        <f ca="1">ROUND(IF(F53="押一",C49/12*F11,IF(F53="押二",C49/12*2*F11,IF(F53="押三",C49/12*3*F11,C54*F11))),0)</f>
        <v>0</v>
      </c>
      <c r="D53" s="149" t="s">
        <v>2116</v>
      </c>
      <c r="E53" s="304" t="s">
        <v>701</v>
      </c>
      <c r="F53" s="1051"/>
      <c r="I53" s="1341" t="s">
        <v>836</v>
      </c>
      <c r="J53" s="2003">
        <f ca="1">IF(M47="住宅",IF(D1="——",MAX(J51,L48),MAX(J51,L48-'数据-取费表'!B24)),IF(D1="——",MIN(J51,L48),MIN(J51,L48-'数据-取费表'!B24)))</f>
        <v>41.38</v>
      </c>
      <c r="K53" s="3395" t="s">
        <v>837</v>
      </c>
      <c r="L53" s="3396"/>
      <c r="O53" s="1322" t="s">
        <v>409</v>
      </c>
      <c r="P53" s="1323" t="s">
        <v>838</v>
      </c>
      <c r="Q53" s="1324">
        <f ca="1">Q47+Q48</f>
        <v>1028</v>
      </c>
      <c r="R53" s="1324" t="s">
        <v>410</v>
      </c>
    </row>
    <row r="54" spans="1:18" s="1289" customFormat="1" ht="13.5" thickBot="1">
      <c r="A54" s="1077"/>
      <c r="B54" s="1272" t="s">
        <v>679</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f ca="1">ROUND(IF(J47="钢混",J57/J50,1-(1-2%)*(J50-J57)/J50),3)</f>
        <v>0.24399999999999999</v>
      </c>
      <c r="K55" s="1347" t="s">
        <v>841</v>
      </c>
      <c r="L55" s="1348"/>
      <c r="O55" s="1315" t="s">
        <v>811</v>
      </c>
      <c r="P55" s="1316" t="s">
        <v>812</v>
      </c>
      <c r="Q55" s="1317" t="s">
        <v>813</v>
      </c>
      <c r="R55" s="1317" t="s">
        <v>814</v>
      </c>
    </row>
    <row r="56" spans="1:18" s="1289" customFormat="1" ht="25.5" thickTop="1" thickBot="1">
      <c r="A56" s="901">
        <v>2</v>
      </c>
      <c r="B56" s="902" t="s">
        <v>704</v>
      </c>
      <c r="C56" s="223">
        <f ca="1">C13</f>
        <v>11770</v>
      </c>
      <c r="D56" s="1349"/>
      <c r="E56" s="1350"/>
      <c r="F56" s="1342"/>
      <c r="I56" s="1351" t="s">
        <v>842</v>
      </c>
      <c r="J56" s="1352" t="s">
        <v>3614</v>
      </c>
      <c r="K56" s="1325" t="s">
        <v>843</v>
      </c>
      <c r="L56" s="1328" t="str">
        <f ca="1">IF(L48&lt;J51,"——",L48-J53)</f>
        <v>——</v>
      </c>
      <c r="O56" s="1322" t="s">
        <v>403</v>
      </c>
      <c r="P56" s="1323" t="s">
        <v>817</v>
      </c>
      <c r="Q56" s="1324">
        <f ca="1">C40+J29</f>
        <v>774</v>
      </c>
      <c r="R56" s="1324" t="s">
        <v>818</v>
      </c>
    </row>
    <row r="57" spans="1:18" s="1289" customFormat="1" ht="24.75" thickBot="1">
      <c r="A57" s="1353"/>
      <c r="B57" s="894" t="s">
        <v>767</v>
      </c>
      <c r="C57" s="229">
        <f ca="1">C29</f>
        <v>12656</v>
      </c>
      <c r="D57" s="1354"/>
      <c r="E57" s="1355"/>
      <c r="F57" s="1356"/>
      <c r="I57" s="1357" t="s">
        <v>844</v>
      </c>
      <c r="J57" s="1358">
        <f ca="1">IF(OR(M47="住宅",J51&lt;L48,J56="是"),"——",J51-L48)</f>
        <v>14.619999999999997</v>
      </c>
      <c r="K57" s="1325" t="s">
        <v>845</v>
      </c>
      <c r="L57" s="1328" t="str">
        <f ca="1">IF(L48&lt;J51,"——",IF(L55="比较法",L49,IF(L55="基准地价",L50,L51)))</f>
        <v>——</v>
      </c>
      <c r="O57" s="1322" t="s">
        <v>404</v>
      </c>
      <c r="P57" s="1323" t="s">
        <v>846</v>
      </c>
      <c r="Q57" s="1324">
        <f ca="1">L60</f>
        <v>0</v>
      </c>
      <c r="R57" s="1324" t="s">
        <v>847</v>
      </c>
    </row>
    <row r="58" spans="1:18" s="1289" customFormat="1" ht="24.75" thickBot="1">
      <c r="A58" s="306" t="s">
        <v>393</v>
      </c>
      <c r="B58" s="902" t="s">
        <v>714</v>
      </c>
      <c r="C58" s="307">
        <f ca="1">ROUND(C59+C64+C65+C66,0)</f>
        <v>76</v>
      </c>
      <c r="D58" s="904" t="s">
        <v>715</v>
      </c>
      <c r="E58" s="905"/>
      <c r="F58" s="906"/>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7">
        <f ca="1">ROUND(IF(AND(项目基本情况!B11="自然人",项目基本情况!B10="北京市"),C49*F59/(1+'数据-取费表'!C42),C60+C61+C62),0)</f>
        <v>1</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5062</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IF(项目基本情况!B11="自然人","——",ROUND(C48*F60/(1+'数据-取费表'!C42),2))</f>
        <v>0</v>
      </c>
      <c r="D60" s="908" t="s">
        <v>724</v>
      </c>
      <c r="E60" s="894" t="s">
        <v>712</v>
      </c>
      <c r="F60" s="321">
        <f t="shared" ref="F60:F66" si="0">F32</f>
        <v>5.6000000000000001E-2</v>
      </c>
      <c r="I60" s="1360" t="s">
        <v>853</v>
      </c>
      <c r="J60" s="1361">
        <f ca="1">IF(OR(M47="住宅",J51&lt;L48,J56="是"),"0",ROUND(J59/(1+J52)^J53,0))</f>
        <v>254</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727</v>
      </c>
      <c r="C61" s="21">
        <f ca="1">IF(项目基本情况!B11="自然人","——",IF(D61="按租金收入计税",ROUND(C49*F61/(1+'数据-取费表'!C42),2),IF(D61="按房产原值计税",ROUND(C57*F61*0.7,2),INDIRECT("'数据-取费表'!Aj"&amp;$G$1))))</f>
        <v>0</v>
      </c>
      <c r="D61" s="1275" t="s">
        <v>3338</v>
      </c>
      <c r="E61" s="894" t="s">
        <v>712</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730</v>
      </c>
      <c r="C62" s="22">
        <f ca="1">IF(项目基本情况!B11="自然人","——",ROUND(F62*F63/10000,2))</f>
        <v>0.92</v>
      </c>
      <c r="D62" s="909" t="s">
        <v>731</v>
      </c>
      <c r="E62" s="894" t="s">
        <v>732</v>
      </c>
      <c r="F62" s="316">
        <f t="shared" si="0"/>
        <v>1.5</v>
      </c>
      <c r="I62" s="1364" t="s">
        <v>858</v>
      </c>
      <c r="J62" s="609" t="s">
        <v>859</v>
      </c>
      <c r="K62" s="609" t="s">
        <v>860</v>
      </c>
      <c r="L62" s="609" t="s">
        <v>861</v>
      </c>
      <c r="M62" s="1365" t="s">
        <v>862</v>
      </c>
      <c r="O62" s="1322" t="s">
        <v>409</v>
      </c>
      <c r="P62" s="1323" t="s">
        <v>838</v>
      </c>
      <c r="Q62" s="1324">
        <f ca="1">Q56+Q57</f>
        <v>774</v>
      </c>
      <c r="R62" s="1324" t="s">
        <v>410</v>
      </c>
    </row>
    <row r="63" spans="1:18" s="1289" customFormat="1" ht="13.5" thickBot="1">
      <c r="A63" s="317"/>
      <c r="B63" s="900"/>
      <c r="C63" s="26"/>
      <c r="D63" s="910"/>
      <c r="E63" s="894" t="s">
        <v>736</v>
      </c>
      <c r="F63" s="294">
        <f t="shared" ca="1" si="0"/>
        <v>6107.9000000000005</v>
      </c>
      <c r="I63" s="1364" t="s">
        <v>864</v>
      </c>
      <c r="J63" s="609">
        <v>70</v>
      </c>
      <c r="K63" s="609">
        <v>50</v>
      </c>
      <c r="L63" s="609">
        <v>80</v>
      </c>
      <c r="M63" s="1366">
        <v>0.02</v>
      </c>
      <c r="O63" s="1307" t="s">
        <v>865</v>
      </c>
      <c r="P63" s="1286"/>
      <c r="Q63" s="1286"/>
      <c r="R63" s="1286"/>
    </row>
    <row r="64" spans="1:18" s="1289" customFormat="1" ht="13.5" thickBot="1">
      <c r="A64" s="926" t="s">
        <v>402</v>
      </c>
      <c r="B64" s="894" t="s">
        <v>738</v>
      </c>
      <c r="C64" s="21">
        <f ca="1">ROUND(C57*F64,2)</f>
        <v>63.28</v>
      </c>
      <c r="D64" s="908" t="s">
        <v>771</v>
      </c>
      <c r="E64" s="894" t="s">
        <v>712</v>
      </c>
      <c r="F64" s="319">
        <f t="shared" ca="1" si="0"/>
        <v>5.0000000000000001E-3</v>
      </c>
      <c r="I64" s="1364" t="s">
        <v>866</v>
      </c>
      <c r="J64" s="609">
        <v>50</v>
      </c>
      <c r="K64" s="609">
        <v>35</v>
      </c>
      <c r="L64" s="609">
        <v>60</v>
      </c>
      <c r="M64" s="1365">
        <v>0</v>
      </c>
      <c r="O64" s="1315" t="s">
        <v>811</v>
      </c>
      <c r="P64" s="1316" t="s">
        <v>812</v>
      </c>
      <c r="Q64" s="1317" t="s">
        <v>813</v>
      </c>
      <c r="R64" s="1317" t="s">
        <v>814</v>
      </c>
    </row>
    <row r="65" spans="1:18" s="1289" customFormat="1" ht="13.5" thickBot="1">
      <c r="A65" s="926" t="s">
        <v>792</v>
      </c>
      <c r="B65" s="894" t="s">
        <v>742</v>
      </c>
      <c r="C65" s="21">
        <f ca="1">ROUND(C56*F65,2)</f>
        <v>11.77</v>
      </c>
      <c r="D65" s="908" t="s">
        <v>743</v>
      </c>
      <c r="E65" s="894" t="s">
        <v>712</v>
      </c>
      <c r="F65" s="320">
        <f t="shared" ca="1" si="0"/>
        <v>1E-3</v>
      </c>
      <c r="I65" s="1364" t="s">
        <v>867</v>
      </c>
      <c r="J65" s="609">
        <v>40</v>
      </c>
      <c r="K65" s="609">
        <v>30</v>
      </c>
      <c r="L65" s="609">
        <v>50</v>
      </c>
      <c r="M65" s="1366">
        <v>0.02</v>
      </c>
      <c r="O65" s="1322" t="s">
        <v>403</v>
      </c>
      <c r="P65" s="1323" t="s">
        <v>817</v>
      </c>
      <c r="Q65" s="1324">
        <f ca="1">C40+J29</f>
        <v>774</v>
      </c>
      <c r="R65" s="1324" t="s">
        <v>818</v>
      </c>
    </row>
    <row r="66" spans="1:18" s="1289" customFormat="1" ht="16.5" thickBot="1">
      <c r="A66" s="926" t="s">
        <v>793</v>
      </c>
      <c r="B66" s="894" t="s">
        <v>728</v>
      </c>
      <c r="C66" s="21">
        <f ca="1">ROUND(C48*F66,2)</f>
        <v>0</v>
      </c>
      <c r="D66" s="908" t="s">
        <v>748</v>
      </c>
      <c r="E66" s="894" t="s">
        <v>712</v>
      </c>
      <c r="F66" s="303">
        <f t="shared" ca="1" si="0"/>
        <v>0.01</v>
      </c>
      <c r="O66" s="1322" t="s">
        <v>404</v>
      </c>
      <c r="P66" s="1323" t="s">
        <v>846</v>
      </c>
      <c r="Q66" s="1324">
        <f ca="1">L60</f>
        <v>0</v>
      </c>
      <c r="R66" s="1324" t="s">
        <v>869</v>
      </c>
    </row>
    <row r="67" spans="1:18" s="1289" customFormat="1" ht="16.5" thickBot="1">
      <c r="A67" s="901" t="s">
        <v>394</v>
      </c>
      <c r="B67" s="911" t="s">
        <v>752</v>
      </c>
      <c r="C67" s="307">
        <f ca="1">C48-C58</f>
        <v>-76</v>
      </c>
      <c r="D67" s="907" t="s">
        <v>753</v>
      </c>
      <c r="E67" s="912"/>
      <c r="F67" s="913"/>
      <c r="O67" s="1331" t="s">
        <v>405</v>
      </c>
      <c r="P67" s="1323" t="s">
        <v>850</v>
      </c>
      <c r="Q67" s="1367">
        <f ca="1">L51</f>
        <v>-14733</v>
      </c>
      <c r="R67" s="1324" t="s">
        <v>870</v>
      </c>
    </row>
    <row r="68" spans="1:18" s="1289" customFormat="1" ht="16.5" thickBot="1">
      <c r="A68" s="891" t="s">
        <v>395</v>
      </c>
      <c r="B68" s="892" t="s">
        <v>774</v>
      </c>
      <c r="C68" s="292">
        <f ca="1">ROUND(C67*(1-((1+F70)/(1+F68))^F69)/(F68-F70),0)</f>
        <v>-1231</v>
      </c>
      <c r="D68" s="909" t="s">
        <v>758</v>
      </c>
      <c r="E68" s="894" t="s">
        <v>759</v>
      </c>
      <c r="F68" s="303">
        <f ca="1">F40</f>
        <v>5.5E-2</v>
      </c>
      <c r="O68" s="1331" t="s">
        <v>406</v>
      </c>
      <c r="P68" s="1368" t="s">
        <v>871</v>
      </c>
      <c r="Q68" s="1324">
        <f ca="1">ROUND(Q69-Q70*Q71,0)</f>
        <v>-788</v>
      </c>
      <c r="R68" s="1324" t="s">
        <v>414</v>
      </c>
    </row>
    <row r="69" spans="1:18" s="1289" customFormat="1" ht="13.5" thickBot="1">
      <c r="A69" s="895"/>
      <c r="B69" s="896"/>
      <c r="C69" s="297"/>
      <c r="D69" s="914" t="s">
        <v>762</v>
      </c>
      <c r="E69" s="894" t="s">
        <v>763</v>
      </c>
      <c r="F69" s="323">
        <f ca="1">F41</f>
        <v>41.38</v>
      </c>
      <c r="O69" s="1331" t="s">
        <v>411</v>
      </c>
      <c r="P69" s="1368" t="s">
        <v>872</v>
      </c>
      <c r="Q69" s="1324">
        <f ca="1">C39</f>
        <v>36</v>
      </c>
      <c r="R69" s="1324" t="s">
        <v>818</v>
      </c>
    </row>
    <row r="70" spans="1:18" s="1289" customFormat="1" ht="13.5" thickBot="1">
      <c r="A70" s="898"/>
      <c r="B70" s="899"/>
      <c r="C70" s="301"/>
      <c r="D70" s="910"/>
      <c r="E70" s="894" t="s">
        <v>766</v>
      </c>
      <c r="F70" s="989"/>
      <c r="O70" s="1331" t="s">
        <v>412</v>
      </c>
      <c r="P70" s="1368" t="s">
        <v>873</v>
      </c>
      <c r="Q70" s="1324">
        <f ca="1">C13</f>
        <v>11770</v>
      </c>
      <c r="R70" s="1324" t="s">
        <v>818</v>
      </c>
    </row>
    <row r="71" spans="1:18" s="1289" customFormat="1" ht="13.5" thickBot="1">
      <c r="A71" s="915" t="s">
        <v>396</v>
      </c>
      <c r="B71" s="916" t="s">
        <v>776</v>
      </c>
      <c r="C71" s="326">
        <f ca="1">ROUND(C68*10000/F71,0)</f>
        <v>-632</v>
      </c>
      <c r="D71" s="917" t="s">
        <v>777</v>
      </c>
      <c r="E71" s="918" t="s">
        <v>778</v>
      </c>
      <c r="F71" s="329">
        <f ca="1">F43</f>
        <v>19473.41</v>
      </c>
      <c r="O71" s="1331" t="s">
        <v>413</v>
      </c>
      <c r="P71" s="1368" t="s">
        <v>874</v>
      </c>
      <c r="Q71" s="1334">
        <f ca="1">C76</f>
        <v>7.0000000000000007E-2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824</v>
      </c>
      <c r="D75" s="1289"/>
      <c r="E75" s="1289"/>
      <c r="F75" s="1289"/>
      <c r="K75" s="1306"/>
      <c r="L75" s="1289"/>
      <c r="O75" s="1322" t="s">
        <v>409</v>
      </c>
      <c r="P75" s="1323" t="s">
        <v>838</v>
      </c>
      <c r="Q75" s="1324">
        <f ca="1">Q65+Q66</f>
        <v>774</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-21.888999999999999</v>
      </c>
    </row>
    <row r="80" spans="1:18">
      <c r="B80" s="330" t="s">
        <v>800</v>
      </c>
      <c r="C80" s="265">
        <f ca="1">ROUND(C75/C39,3)</f>
        <v>22.888999999999999</v>
      </c>
    </row>
    <row r="81" spans="2:3">
      <c r="B81" s="261" t="s">
        <v>801</v>
      </c>
      <c r="C81" s="229"/>
    </row>
    <row r="82" spans="2:3">
      <c r="B82" s="264" t="s">
        <v>802</v>
      </c>
      <c r="C82" s="266">
        <f ca="1">1-C83</f>
        <v>-14.207000000000001</v>
      </c>
    </row>
    <row r="83" spans="2:3">
      <c r="B83" s="264" t="s">
        <v>803</v>
      </c>
      <c r="C83" s="265">
        <f ca="1">ROUND(C13/C40,3)</f>
        <v>15.207000000000001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7"/>
      <c r="G1" s="458"/>
      <c r="H1" s="458"/>
      <c r="I1" s="458"/>
      <c r="J1" s="458"/>
      <c r="K1" s="458"/>
      <c r="L1" s="458"/>
      <c r="M1" s="458"/>
      <c r="N1" s="458"/>
      <c r="O1" s="458"/>
      <c r="P1" s="458"/>
      <c r="Q1" s="458"/>
      <c r="R1" s="458"/>
      <c r="S1" s="458"/>
    </row>
    <row r="2" spans="1:22" ht="15.75">
      <c r="A2" s="1725" t="s">
        <v>1462</v>
      </c>
      <c r="B2" s="809">
        <f ca="1">SUMIF(B6:B13,"&lt;&gt;#ref!",B6:B13)</f>
        <v>42562</v>
      </c>
      <c r="C2" s="1726" t="s">
        <v>1651</v>
      </c>
      <c r="D2" s="1727" t="s">
        <v>1652</v>
      </c>
      <c r="E2" s="2390">
        <f>SUM(E6:E13)</f>
        <v>48377.229999999996</v>
      </c>
      <c r="F2" s="2477"/>
      <c r="G2" s="458"/>
      <c r="H2" s="458"/>
      <c r="I2" s="458"/>
      <c r="J2" s="458"/>
      <c r="K2" s="458"/>
      <c r="L2" s="458"/>
      <c r="M2" s="458"/>
      <c r="N2" s="458"/>
      <c r="O2" s="458"/>
      <c r="P2" s="458"/>
      <c r="Q2" s="458"/>
      <c r="R2" s="458"/>
      <c r="S2" s="458"/>
    </row>
    <row r="3" spans="1:22" ht="15.75">
      <c r="A3" s="1725" t="s">
        <v>686</v>
      </c>
      <c r="B3" s="2384">
        <f ca="1">ROUND(B2*10000/E2,0)</f>
        <v>8798</v>
      </c>
      <c r="C3" s="1726" t="s">
        <v>1659</v>
      </c>
      <c r="D3" s="2477"/>
      <c r="E3" s="2480"/>
      <c r="F3" s="2477"/>
      <c r="G3" s="458"/>
      <c r="H3" s="458"/>
      <c r="I3" s="458"/>
      <c r="J3" s="458"/>
      <c r="K3" s="458"/>
      <c r="L3" s="458"/>
      <c r="M3" s="458"/>
      <c r="N3" s="458"/>
      <c r="O3" s="458"/>
      <c r="P3" s="458"/>
      <c r="Q3" s="458"/>
      <c r="R3" s="458"/>
      <c r="S3" s="458"/>
    </row>
    <row r="4" spans="1:22" ht="15.75">
      <c r="A4" s="2481"/>
      <c r="B4" s="2477"/>
      <c r="C4" s="2477"/>
      <c r="D4" s="2477"/>
      <c r="E4" s="2480"/>
      <c r="F4" s="2477"/>
      <c r="G4" s="458"/>
      <c r="H4" s="458"/>
      <c r="I4" s="458"/>
      <c r="J4" s="458"/>
      <c r="K4" s="458"/>
      <c r="L4" s="458"/>
      <c r="M4" s="458"/>
      <c r="N4" s="458"/>
      <c r="O4" s="458"/>
      <c r="P4" s="458"/>
      <c r="Q4" s="458"/>
      <c r="R4" s="458"/>
      <c r="S4" s="458"/>
    </row>
    <row r="5" spans="1:22" ht="15">
      <c r="A5" s="2386" t="s">
        <v>1653</v>
      </c>
      <c r="B5" s="3419" t="s">
        <v>1654</v>
      </c>
      <c r="C5" s="3420"/>
      <c r="D5" s="2478"/>
      <c r="E5" s="1728" t="s">
        <v>1655</v>
      </c>
      <c r="F5" s="129" t="s">
        <v>1656</v>
      </c>
      <c r="G5" s="458"/>
      <c r="H5" s="458"/>
      <c r="I5" s="458"/>
      <c r="J5" s="458"/>
      <c r="K5" s="458"/>
      <c r="L5" s="458"/>
      <c r="M5" s="458"/>
      <c r="N5" s="458"/>
      <c r="O5" s="458"/>
      <c r="P5" s="458"/>
      <c r="Q5" s="458"/>
      <c r="R5" s="458"/>
      <c r="S5" s="458"/>
    </row>
    <row r="6" spans="1:22">
      <c r="A6" s="2387" t="str">
        <f>'数据-取费表'!AN6</f>
        <v>收益法</v>
      </c>
      <c r="B6" s="2385">
        <f ca="1">IF(F6="是",'数据-取费表'!AO6,0)</f>
        <v>41534</v>
      </c>
      <c r="C6" s="1726" t="s">
        <v>1651</v>
      </c>
      <c r="D6" s="2477"/>
      <c r="E6" s="2389">
        <f>IF(OR(A6=0,F6="否"),0,'数据-取费表'!K6+'数据-取费表'!S6)</f>
        <v>28666.55</v>
      </c>
      <c r="F6" s="1729" t="s">
        <v>1657</v>
      </c>
      <c r="G6" s="458"/>
      <c r="H6" s="458"/>
      <c r="I6" s="458"/>
      <c r="J6" s="458"/>
      <c r="K6" s="458"/>
      <c r="L6" s="458"/>
      <c r="M6" s="458"/>
      <c r="N6" s="458"/>
      <c r="O6" s="458"/>
      <c r="P6" s="458"/>
      <c r="Q6" s="458"/>
      <c r="R6" s="458"/>
      <c r="S6" s="458"/>
    </row>
    <row r="7" spans="1:22">
      <c r="A7" s="2387" t="str">
        <f>'数据-取费表'!AN7</f>
        <v>收益法 车库</v>
      </c>
      <c r="B7" s="2385">
        <f ca="1">IF(F7="是",'数据-取费表'!AO7,0)</f>
        <v>1028</v>
      </c>
      <c r="C7" s="1726" t="s">
        <v>1651</v>
      </c>
      <c r="D7" s="2477"/>
      <c r="E7" s="2389">
        <f>IF(OR(A7=0,F7="否"),0,'数据-取费表'!K7+'数据-取费表'!S7)</f>
        <v>19710.68</v>
      </c>
      <c r="F7" s="1729" t="s">
        <v>1657</v>
      </c>
      <c r="G7" s="458"/>
      <c r="H7" s="458"/>
      <c r="I7" s="458"/>
      <c r="J7" s="458"/>
      <c r="K7" s="458"/>
      <c r="L7" s="458"/>
      <c r="M7" s="458"/>
      <c r="N7" s="458"/>
      <c r="O7" s="458"/>
      <c r="P7" s="458"/>
      <c r="Q7" s="458"/>
      <c r="R7" s="458"/>
      <c r="S7" s="458"/>
    </row>
    <row r="8" spans="1:22">
      <c r="A8" s="2387">
        <f>'数据-取费表'!AN8</f>
        <v>0</v>
      </c>
      <c r="B8" s="2385" t="e">
        <f ca="1">IF(F8="是",'数据-取费表'!AO8,0)</f>
        <v>#REF!</v>
      </c>
      <c r="C8" s="1726" t="s">
        <v>1651</v>
      </c>
      <c r="D8" s="2477"/>
      <c r="E8" s="2389">
        <f>IF(OR(A8=0,F8="否"),0,'数据-取费表'!K8+'数据-取费表'!S8)</f>
        <v>0</v>
      </c>
      <c r="F8" s="1729" t="s">
        <v>1657</v>
      </c>
      <c r="G8" s="458"/>
      <c r="H8" s="458"/>
      <c r="I8" s="458"/>
      <c r="J8" s="458"/>
      <c r="K8" s="458"/>
      <c r="L8" s="458"/>
      <c r="M8" s="458"/>
      <c r="N8" s="458"/>
      <c r="O8" s="458"/>
      <c r="P8" s="458"/>
      <c r="Q8" s="458"/>
      <c r="R8" s="458"/>
      <c r="S8" s="458"/>
    </row>
    <row r="9" spans="1:22">
      <c r="A9" s="2387">
        <f>'数据-取费表'!AN9</f>
        <v>0</v>
      </c>
      <c r="B9" s="2385" t="e">
        <f ca="1">IF(F9="是",'数据-取费表'!AO9,0)</f>
        <v>#REF!</v>
      </c>
      <c r="C9" s="1726" t="s">
        <v>1651</v>
      </c>
      <c r="D9" s="2477"/>
      <c r="E9" s="2389">
        <f>IF(OR(A9=0,F9="否"),0,'数据-取费表'!K9+'数据-取费表'!S9)</f>
        <v>0</v>
      </c>
      <c r="F9" s="1729" t="s">
        <v>1657</v>
      </c>
      <c r="G9" s="458"/>
      <c r="H9" s="458"/>
      <c r="I9" s="458"/>
      <c r="J9" s="458"/>
      <c r="K9" s="458"/>
      <c r="L9" s="458"/>
      <c r="M9" s="458"/>
      <c r="N9" s="458"/>
      <c r="O9" s="458"/>
      <c r="P9" s="458"/>
      <c r="Q9" s="458"/>
      <c r="R9" s="458"/>
      <c r="S9" s="458"/>
    </row>
    <row r="10" spans="1:22">
      <c r="A10" s="2387">
        <f>'数据-取费表'!AN10</f>
        <v>0</v>
      </c>
      <c r="B10" s="2385" t="e">
        <f ca="1">IF(F10="是",'数据-取费表'!AO10,0)</f>
        <v>#REF!</v>
      </c>
      <c r="C10" s="1726" t="s">
        <v>1651</v>
      </c>
      <c r="D10" s="2477"/>
      <c r="E10" s="2389">
        <f>IF(OR(A10=0,F10="否"),0,'数据-取费表'!K10+'数据-取费表'!S10)</f>
        <v>0</v>
      </c>
      <c r="F10" s="1729" t="s">
        <v>1657</v>
      </c>
      <c r="G10" s="458"/>
      <c r="H10" s="458"/>
      <c r="I10" s="458"/>
      <c r="J10" s="458"/>
      <c r="K10" s="458"/>
      <c r="L10" s="458"/>
      <c r="M10" s="458"/>
      <c r="N10" s="458"/>
      <c r="O10" s="458"/>
      <c r="P10" s="458"/>
      <c r="Q10" s="458"/>
      <c r="R10" s="458"/>
      <c r="S10" s="458"/>
    </row>
    <row r="11" spans="1:22">
      <c r="A11" s="2387">
        <f>'数据-取费表'!AN11</f>
        <v>0</v>
      </c>
      <c r="B11" s="2385" t="e">
        <f ca="1">IF(F11="是",'数据-取费表'!AO11,0)</f>
        <v>#REF!</v>
      </c>
      <c r="C11" s="1726" t="s">
        <v>1651</v>
      </c>
      <c r="D11" s="2477"/>
      <c r="E11" s="2389">
        <f>IF(OR(A11=0,F11="否"),0,'数据-取费表'!K11+'数据-取费表'!S11)</f>
        <v>0</v>
      </c>
      <c r="F11" s="1729" t="s">
        <v>1657</v>
      </c>
      <c r="G11" s="458"/>
      <c r="H11" s="458"/>
      <c r="I11" s="458"/>
      <c r="J11" s="458"/>
      <c r="K11" s="458"/>
      <c r="L11" s="458"/>
      <c r="M11" s="458"/>
      <c r="N11" s="458"/>
      <c r="O11" s="458"/>
      <c r="P11" s="458"/>
      <c r="Q11" s="458"/>
      <c r="R11" s="458"/>
      <c r="S11" s="458"/>
    </row>
    <row r="12" spans="1:22">
      <c r="A12" s="2387">
        <f>'数据-取费表'!AN12</f>
        <v>0</v>
      </c>
      <c r="B12" s="2385" t="e">
        <f ca="1">IF(F12="是",'数据-取费表'!AO12,0)</f>
        <v>#REF!</v>
      </c>
      <c r="C12" s="1726" t="s">
        <v>1651</v>
      </c>
      <c r="D12" s="2477"/>
      <c r="E12" s="2389">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0" t="s">
        <v>1651</v>
      </c>
      <c r="D13" s="2479"/>
      <c r="E13" s="2389">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1661</v>
      </c>
      <c r="C1" s="1152" t="s">
        <v>1662</v>
      </c>
      <c r="D1" s="1139"/>
      <c r="E1" s="3122"/>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2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82"/>
      <c r="M2" s="2483"/>
      <c r="N2" s="2483"/>
      <c r="O2" s="2483"/>
      <c r="P2" s="1738"/>
      <c r="Q2" s="1739"/>
      <c r="R2" s="1739"/>
      <c r="S2" s="1739"/>
      <c r="T2" s="1739"/>
      <c r="U2" s="1739"/>
      <c r="V2" s="1739"/>
      <c r="W2" s="1739"/>
      <c r="X2" s="1739"/>
      <c r="Y2" s="1739"/>
      <c r="Z2" s="1739"/>
      <c r="AA2" s="1739"/>
      <c r="AB2" s="1739"/>
      <c r="AC2" s="996"/>
    </row>
    <row r="3" spans="1:29" s="337" customFormat="1" ht="28.5" customHeight="1" thickBot="1">
      <c r="A3" s="194" t="s">
        <v>686</v>
      </c>
      <c r="B3" s="342">
        <f>IF(C2="——",C49,ROUND(B2*10000/D3,0))</f>
        <v>0</v>
      </c>
      <c r="C3" s="343" t="s">
        <v>1665</v>
      </c>
      <c r="D3" s="342">
        <f>IF(D1="",'数据-汇总表'!E3,SUMIF('数据-汇总表'!$C19:$C33,D1,'数据-汇总表'!$E19:$E33))</f>
        <v>48377.229999999996</v>
      </c>
      <c r="E3" s="852"/>
      <c r="F3" s="1740"/>
      <c r="G3" s="852"/>
      <c r="H3" s="852"/>
      <c r="I3" s="852"/>
      <c r="J3" s="852"/>
      <c r="K3" s="1737"/>
      <c r="L3" s="2482"/>
      <c r="M3" s="2483"/>
      <c r="N3" s="2483"/>
      <c r="O3" s="2483"/>
      <c r="P3" s="1738"/>
      <c r="Q3" s="1739"/>
      <c r="R3" s="1739"/>
      <c r="S3" s="1739"/>
      <c r="T3" s="1739"/>
      <c r="U3" s="1739"/>
      <c r="V3" s="1739"/>
      <c r="W3" s="1739"/>
      <c r="X3" s="1739"/>
      <c r="Y3" s="1739"/>
      <c r="Z3" s="1739"/>
      <c r="AA3" s="1739"/>
      <c r="AB3" s="1739"/>
      <c r="AC3" s="996"/>
    </row>
    <row r="4" spans="1:29" ht="15">
      <c r="A4" s="344" t="s">
        <v>1666</v>
      </c>
      <c r="B4" s="345"/>
      <c r="C4" s="3439" t="s">
        <v>1667</v>
      </c>
      <c r="D4" s="3440"/>
      <c r="E4" s="3441" t="s">
        <v>1668</v>
      </c>
      <c r="F4" s="3442"/>
      <c r="G4" s="3439" t="s">
        <v>1669</v>
      </c>
      <c r="H4" s="3440"/>
      <c r="I4" s="3439" t="s">
        <v>1670</v>
      </c>
      <c r="J4" s="3440"/>
      <c r="K4" s="1741" t="s">
        <v>1671</v>
      </c>
      <c r="L4" s="2484"/>
      <c r="M4" s="2485"/>
      <c r="N4" s="2485"/>
      <c r="O4" s="2485"/>
      <c r="P4" s="3443" t="s">
        <v>1672</v>
      </c>
      <c r="Q4" s="3444"/>
      <c r="R4" s="3449" t="s">
        <v>1668</v>
      </c>
      <c r="S4" s="3450"/>
      <c r="T4" s="3449" t="s">
        <v>1669</v>
      </c>
      <c r="U4" s="3450"/>
      <c r="V4" s="3425" t="s">
        <v>1670</v>
      </c>
      <c r="W4" s="3425"/>
      <c r="X4" s="1262"/>
      <c r="Y4" s="3449" t="s">
        <v>1672</v>
      </c>
      <c r="Z4" s="3450"/>
      <c r="AA4" s="3436" t="s">
        <v>1668</v>
      </c>
      <c r="AB4" s="3436" t="s">
        <v>1669</v>
      </c>
      <c r="AC4" s="3436" t="s">
        <v>1670</v>
      </c>
    </row>
    <row r="5" spans="1:29" ht="15">
      <c r="A5" s="347"/>
      <c r="B5" s="348"/>
      <c r="C5" s="3457" t="s">
        <v>1673</v>
      </c>
      <c r="D5" s="3458"/>
      <c r="E5" s="3464" t="s">
        <v>1674</v>
      </c>
      <c r="F5" s="3465"/>
      <c r="G5" s="3457" t="s">
        <v>1675</v>
      </c>
      <c r="H5" s="3458"/>
      <c r="I5" s="3457" t="s">
        <v>1676</v>
      </c>
      <c r="J5" s="3458"/>
      <c r="K5" s="1742"/>
      <c r="L5" s="2484"/>
      <c r="M5" s="2485"/>
      <c r="N5" s="2485"/>
      <c r="O5" s="2485"/>
      <c r="P5" s="3445"/>
      <c r="Q5" s="3446"/>
      <c r="R5" s="3451"/>
      <c r="S5" s="3452"/>
      <c r="T5" s="3451"/>
      <c r="U5" s="3452"/>
      <c r="V5" s="3425"/>
      <c r="W5" s="3425"/>
      <c r="X5" s="1262"/>
      <c r="Y5" s="3451"/>
      <c r="Z5" s="3452"/>
      <c r="AA5" s="3437"/>
      <c r="AB5" s="3437"/>
      <c r="AC5" s="3437"/>
    </row>
    <row r="6" spans="1:29" ht="15.75" thickBot="1">
      <c r="A6" s="349"/>
      <c r="B6" s="350"/>
      <c r="C6" s="3455" t="s">
        <v>1677</v>
      </c>
      <c r="D6" s="3456"/>
      <c r="E6" s="3462" t="s">
        <v>1677</v>
      </c>
      <c r="F6" s="3463"/>
      <c r="G6" s="3455" t="s">
        <v>1677</v>
      </c>
      <c r="H6" s="3456"/>
      <c r="I6" s="3455" t="s">
        <v>1677</v>
      </c>
      <c r="J6" s="3456"/>
      <c r="K6" s="1742" t="s">
        <v>1678</v>
      </c>
      <c r="L6" s="2484"/>
      <c r="M6" s="2485"/>
      <c r="N6" s="2485"/>
      <c r="O6" s="2485"/>
      <c r="P6" s="3447"/>
      <c r="Q6" s="3448"/>
      <c r="R6" s="3451"/>
      <c r="S6" s="3452"/>
      <c r="T6" s="3453"/>
      <c r="U6" s="3454"/>
      <c r="V6" s="3425"/>
      <c r="W6" s="3425"/>
      <c r="X6" s="1262"/>
      <c r="Y6" s="3453"/>
      <c r="Z6" s="3454"/>
      <c r="AA6" s="3438"/>
      <c r="AB6" s="3438"/>
      <c r="AC6" s="3438"/>
    </row>
    <row r="7" spans="1:29" s="102" customFormat="1" ht="15.75" thickBot="1">
      <c r="A7" s="351" t="s">
        <v>1679</v>
      </c>
      <c r="B7" s="352"/>
      <c r="C7" s="353">
        <f>'数据-取费表'!B2</f>
        <v>45607</v>
      </c>
      <c r="D7" s="354">
        <v>100</v>
      </c>
      <c r="E7" s="355"/>
      <c r="F7" s="356">
        <f>SUMIF(58:58,YEAR(E7)&amp;"-"&amp;MONTH(E7),59:59)</f>
        <v>0</v>
      </c>
      <c r="G7" s="355"/>
      <c r="H7" s="354">
        <f>SUMIF(58:58,YEAR(G7)&amp;"-"&amp;MONTH(G7),59:59)</f>
        <v>0</v>
      </c>
      <c r="I7" s="355"/>
      <c r="J7" s="354">
        <f>SUMIF(58:58,YEAR(I7)&amp;"-"&amp;MONTH(I7),59:59)</f>
        <v>0</v>
      </c>
      <c r="K7" s="1743"/>
      <c r="L7" s="2486"/>
      <c r="M7" s="2437"/>
      <c r="N7" s="2437"/>
      <c r="O7" s="2437"/>
      <c r="P7" s="3459" t="s">
        <v>1680</v>
      </c>
      <c r="Q7" s="3461"/>
      <c r="R7" s="662" t="s">
        <v>20</v>
      </c>
      <c r="S7" s="663">
        <f t="shared" ref="S7:S15" si="0">F7</f>
        <v>0</v>
      </c>
      <c r="T7" s="662" t="s">
        <v>20</v>
      </c>
      <c r="U7" s="663">
        <f t="shared" ref="U7:U15" si="1">H7</f>
        <v>0</v>
      </c>
      <c r="V7" s="662" t="s">
        <v>20</v>
      </c>
      <c r="W7" s="663">
        <f t="shared" ref="W7:W15" si="2">J7</f>
        <v>0</v>
      </c>
      <c r="X7" s="664"/>
      <c r="Y7" s="3459" t="s">
        <v>1680</v>
      </c>
      <c r="Z7" s="3460"/>
      <c r="AA7" s="50" t="e">
        <f>D7/F7</f>
        <v>#DIV/0!</v>
      </c>
      <c r="AB7" s="50" t="e">
        <f>D7/H7</f>
        <v>#DIV/0!</v>
      </c>
      <c r="AC7" s="50" t="e">
        <f>D7/J7</f>
        <v>#DIV/0!</v>
      </c>
    </row>
    <row r="8" spans="1:29" s="102" customFormat="1" ht="15.7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6"/>
      <c r="M8" s="2437"/>
      <c r="N8" s="2437"/>
      <c r="O8" s="2437"/>
      <c r="P8" s="3459" t="s">
        <v>1683</v>
      </c>
      <c r="Q8" s="3460"/>
      <c r="R8" s="662" t="s">
        <v>20</v>
      </c>
      <c r="S8" s="663">
        <f t="shared" si="0"/>
        <v>100</v>
      </c>
      <c r="T8" s="662" t="s">
        <v>20</v>
      </c>
      <c r="U8" s="663">
        <f t="shared" si="1"/>
        <v>100</v>
      </c>
      <c r="V8" s="662" t="s">
        <v>20</v>
      </c>
      <c r="W8" s="663">
        <f t="shared" si="2"/>
        <v>100</v>
      </c>
      <c r="X8" s="664"/>
      <c r="Y8" s="3459" t="s">
        <v>1683</v>
      </c>
      <c r="Z8" s="3460"/>
      <c r="AA8" s="50">
        <f t="shared" ref="AA8:AA19" si="3">D8/F8</f>
        <v>1</v>
      </c>
      <c r="AB8" s="50">
        <f t="shared" ref="AB8:AB19" si="4">D8/H8</f>
        <v>1</v>
      </c>
      <c r="AC8" s="50">
        <f t="shared" ref="AC8:AC19" si="5">D8/J8</f>
        <v>1</v>
      </c>
    </row>
    <row r="9" spans="1:29" s="102"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6"/>
      <c r="M9" s="2437"/>
      <c r="N9" s="2437"/>
      <c r="O9" s="2437"/>
      <c r="P9" s="3435" t="s">
        <v>1686</v>
      </c>
      <c r="Q9" s="529" t="str">
        <f t="shared" ref="Q9:Q15" si="6">B9</f>
        <v>用途</v>
      </c>
      <c r="R9" s="662" t="s">
        <v>14</v>
      </c>
      <c r="S9" s="663">
        <f t="shared" si="0"/>
        <v>100</v>
      </c>
      <c r="T9" s="662" t="s">
        <v>14</v>
      </c>
      <c r="U9" s="663">
        <f t="shared" si="1"/>
        <v>100</v>
      </c>
      <c r="V9" s="662" t="s">
        <v>14</v>
      </c>
      <c r="W9" s="663">
        <f t="shared" si="2"/>
        <v>100</v>
      </c>
      <c r="X9" s="664"/>
      <c r="Y9" s="3298" t="s">
        <v>1687</v>
      </c>
      <c r="Z9" s="50" t="str">
        <f t="shared" ref="Z9:Z15" si="7">Q9</f>
        <v>用途</v>
      </c>
      <c r="AA9" s="50">
        <f t="shared" si="3"/>
        <v>1</v>
      </c>
      <c r="AB9" s="50">
        <f t="shared" si="4"/>
        <v>1</v>
      </c>
      <c r="AC9" s="50">
        <f t="shared" si="5"/>
        <v>1</v>
      </c>
    </row>
    <row r="10" spans="1:29" s="365" customFormat="1" ht="27">
      <c r="A10" s="362"/>
      <c r="B10" s="363" t="s">
        <v>1688</v>
      </c>
      <c r="C10" s="3130"/>
      <c r="D10" s="119">
        <v>100</v>
      </c>
      <c r="E10" s="3131"/>
      <c r="F10" s="363">
        <f>SUMIF(65:65,E10,66:66)-SUMIF(65:65,C10,66:66)+100</f>
        <v>100</v>
      </c>
      <c r="G10" s="3130"/>
      <c r="H10" s="119">
        <f>SUMIF(65:65,G10,66:66)-SUMIF(65:65,C10,66:66)+100</f>
        <v>100</v>
      </c>
      <c r="I10" s="3130"/>
      <c r="J10" s="119">
        <f>SUMIF(65:65,I10,66:66)-SUMIF(65:65,C10,66:66)+100</f>
        <v>100</v>
      </c>
      <c r="K10" s="1743"/>
      <c r="L10" s="2487"/>
      <c r="M10" s="2488"/>
      <c r="N10" s="2488"/>
      <c r="O10" s="2488"/>
      <c r="P10" s="3435"/>
      <c r="Q10" s="529" t="str">
        <f t="shared" si="6"/>
        <v>土地使用年限（年）</v>
      </c>
      <c r="R10" s="662" t="s">
        <v>14</v>
      </c>
      <c r="S10" s="663">
        <f t="shared" si="0"/>
        <v>100</v>
      </c>
      <c r="T10" s="662" t="s">
        <v>14</v>
      </c>
      <c r="U10" s="663">
        <f t="shared" si="1"/>
        <v>100</v>
      </c>
      <c r="V10" s="662" t="s">
        <v>14</v>
      </c>
      <c r="W10" s="663">
        <f t="shared" si="2"/>
        <v>100</v>
      </c>
      <c r="X10" s="664"/>
      <c r="Y10" s="3298"/>
      <c r="Z10" s="50" t="str">
        <f t="shared" si="7"/>
        <v>土地使用年限（年）</v>
      </c>
      <c r="AA10" s="50">
        <f t="shared" si="3"/>
        <v>1</v>
      </c>
      <c r="AB10" s="50">
        <f t="shared" si="4"/>
        <v>1</v>
      </c>
      <c r="AC10" s="50">
        <f t="shared" si="5"/>
        <v>1</v>
      </c>
    </row>
    <row r="11" spans="1:29" ht="15">
      <c r="A11" s="366"/>
      <c r="B11" s="363" t="s">
        <v>1689</v>
      </c>
      <c r="C11" s="367"/>
      <c r="D11" s="119">
        <v>100</v>
      </c>
      <c r="E11" s="368"/>
      <c r="F11" s="363" t="e">
        <f>LOOKUP(E11,68:68,69:69)-LOOKUP(C11,68:68,69:69)+100</f>
        <v>#N/A</v>
      </c>
      <c r="G11" s="367"/>
      <c r="H11" s="119" t="e">
        <f>LOOKUP(G11,68:68,69:69)-LOOKUP(C11,68:68,69:69)+100</f>
        <v>#N/A</v>
      </c>
      <c r="I11" s="367"/>
      <c r="J11" s="119" t="e">
        <f>LOOKUP(I11,68:68,69:69)-LOOKUP(C11,68:68,69:69)+100</f>
        <v>#N/A</v>
      </c>
      <c r="K11" s="364"/>
      <c r="L11" s="2489"/>
      <c r="M11" s="2485"/>
      <c r="N11" s="2485"/>
      <c r="O11" s="2485"/>
      <c r="P11" s="3435"/>
      <c r="Q11" s="529" t="str">
        <f t="shared" si="6"/>
        <v>容积率</v>
      </c>
      <c r="R11" s="662" t="s">
        <v>18</v>
      </c>
      <c r="S11" s="663" t="e">
        <f t="shared" si="0"/>
        <v>#N/A</v>
      </c>
      <c r="T11" s="662" t="s">
        <v>18</v>
      </c>
      <c r="U11" s="663" t="e">
        <f t="shared" si="1"/>
        <v>#N/A</v>
      </c>
      <c r="V11" s="662" t="s">
        <v>18</v>
      </c>
      <c r="W11" s="663" t="e">
        <f t="shared" si="2"/>
        <v>#N/A</v>
      </c>
      <c r="X11" s="664"/>
      <c r="Y11" s="3298"/>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9">
        <f>SUMIF(70:70,G12,71:71)-SUMIF(70:70,C12,71:71)+100</f>
        <v>100</v>
      </c>
      <c r="I12" s="370"/>
      <c r="J12" s="119">
        <f>SUMIF(70:70,I12,71:71)-SUMIF(70:70,C12,71:71)+100</f>
        <v>100</v>
      </c>
      <c r="K12" s="1745"/>
      <c r="L12" s="2486"/>
      <c r="M12" s="2437"/>
      <c r="N12" s="2437"/>
      <c r="O12" s="2437"/>
      <c r="P12" s="3435"/>
      <c r="Q12" s="529">
        <f t="shared" si="6"/>
        <v>111</v>
      </c>
      <c r="R12" s="662" t="s">
        <v>18</v>
      </c>
      <c r="S12" s="663">
        <f t="shared" si="0"/>
        <v>100</v>
      </c>
      <c r="T12" s="662" t="s">
        <v>18</v>
      </c>
      <c r="U12" s="663">
        <f t="shared" si="1"/>
        <v>100</v>
      </c>
      <c r="V12" s="662" t="s">
        <v>18</v>
      </c>
      <c r="W12" s="663">
        <f t="shared" si="2"/>
        <v>100</v>
      </c>
      <c r="X12" s="664"/>
      <c r="Y12" s="329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90"/>
      <c r="M13" s="2485"/>
      <c r="N13" s="2485"/>
      <c r="O13" s="2485"/>
      <c r="P13" s="3435"/>
      <c r="Q13" s="529">
        <f t="shared" si="6"/>
        <v>111</v>
      </c>
      <c r="R13" s="662" t="s">
        <v>18</v>
      </c>
      <c r="S13" s="663">
        <f t="shared" si="0"/>
        <v>100</v>
      </c>
      <c r="T13" s="662" t="s">
        <v>18</v>
      </c>
      <c r="U13" s="663">
        <f t="shared" si="1"/>
        <v>100</v>
      </c>
      <c r="V13" s="662" t="s">
        <v>18</v>
      </c>
      <c r="W13" s="663">
        <f t="shared" si="2"/>
        <v>100</v>
      </c>
      <c r="X13" s="664"/>
      <c r="Y13" s="3298"/>
      <c r="Z13" s="50">
        <f t="shared" si="7"/>
        <v>111</v>
      </c>
      <c r="AA13" s="50">
        <f t="shared" si="3"/>
        <v>1</v>
      </c>
      <c r="AB13" s="50">
        <f t="shared" si="4"/>
        <v>1</v>
      </c>
      <c r="AC13" s="50">
        <f t="shared" si="5"/>
        <v>1</v>
      </c>
    </row>
    <row r="14" spans="1:29" ht="15.75"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90"/>
      <c r="M14" s="2485"/>
      <c r="N14" s="2485"/>
      <c r="O14" s="2485"/>
      <c r="P14" s="3435"/>
      <c r="Q14" s="529">
        <f t="shared" si="6"/>
        <v>111</v>
      </c>
      <c r="R14" s="662" t="s">
        <v>18</v>
      </c>
      <c r="S14" s="663">
        <f t="shared" si="0"/>
        <v>100</v>
      </c>
      <c r="T14" s="662" t="s">
        <v>18</v>
      </c>
      <c r="U14" s="663">
        <f t="shared" si="1"/>
        <v>100</v>
      </c>
      <c r="V14" s="662" t="s">
        <v>18</v>
      </c>
      <c r="W14" s="663">
        <f t="shared" si="2"/>
        <v>100</v>
      </c>
      <c r="X14" s="664"/>
      <c r="Y14" s="3298"/>
      <c r="Z14" s="50">
        <f t="shared" si="7"/>
        <v>111</v>
      </c>
      <c r="AA14" s="50">
        <f t="shared" si="3"/>
        <v>1</v>
      </c>
      <c r="AB14" s="50">
        <f t="shared" si="4"/>
        <v>1</v>
      </c>
      <c r="AC14" s="50">
        <f t="shared" si="5"/>
        <v>1</v>
      </c>
    </row>
    <row r="15" spans="1:29" ht="85.5">
      <c r="A15" s="378" t="s">
        <v>1690</v>
      </c>
      <c r="B15" s="58" t="s">
        <v>1257</v>
      </c>
      <c r="C15" s="1747"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433" t="s">
        <v>1691</v>
      </c>
      <c r="Q15" s="1260" t="str">
        <f t="shared" si="6"/>
        <v>居住社区成熟度</v>
      </c>
      <c r="R15" s="665" t="s">
        <v>18</v>
      </c>
      <c r="S15" s="666">
        <f t="shared" si="0"/>
        <v>100</v>
      </c>
      <c r="T15" s="665" t="s">
        <v>18</v>
      </c>
      <c r="U15" s="666">
        <f t="shared" si="1"/>
        <v>100</v>
      </c>
      <c r="V15" s="665" t="s">
        <v>18</v>
      </c>
      <c r="W15" s="666">
        <f t="shared" si="2"/>
        <v>100</v>
      </c>
      <c r="X15" s="1262"/>
      <c r="Y15" s="3426"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90"/>
      <c r="M16" s="2485"/>
      <c r="N16" s="2485"/>
      <c r="O16" s="2485"/>
      <c r="P16" s="3434"/>
      <c r="Q16" s="1260"/>
      <c r="R16" s="665"/>
      <c r="S16" s="666"/>
      <c r="T16" s="665"/>
      <c r="U16" s="666"/>
      <c r="V16" s="665"/>
      <c r="W16" s="666"/>
      <c r="X16" s="1262"/>
      <c r="Y16" s="3427"/>
      <c r="Z16" s="1261"/>
      <c r="AA16" s="1261">
        <v>1</v>
      </c>
      <c r="AB16" s="1261">
        <v>1</v>
      </c>
      <c r="AC16" s="1261">
        <v>1</v>
      </c>
    </row>
    <row r="17" spans="1:29" ht="71.25">
      <c r="A17" s="366"/>
      <c r="B17" s="389" t="s">
        <v>1259</v>
      </c>
      <c r="C17" s="1751"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434"/>
      <c r="Q17" s="1260" t="str">
        <f>B17</f>
        <v>交通便捷度</v>
      </c>
      <c r="R17" s="665" t="s">
        <v>18</v>
      </c>
      <c r="S17" s="666">
        <f>F17</f>
        <v>100</v>
      </c>
      <c r="T17" s="665" t="s">
        <v>18</v>
      </c>
      <c r="U17" s="666">
        <f>H17</f>
        <v>100</v>
      </c>
      <c r="V17" s="665" t="s">
        <v>18</v>
      </c>
      <c r="W17" s="666">
        <f>J17</f>
        <v>100</v>
      </c>
      <c r="X17" s="1262"/>
      <c r="Y17" s="3427"/>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90"/>
      <c r="M18" s="2485"/>
      <c r="N18" s="2485"/>
      <c r="O18" s="2485"/>
      <c r="P18" s="3434"/>
      <c r="Q18" s="1260"/>
      <c r="R18" s="665"/>
      <c r="S18" s="666"/>
      <c r="T18" s="665"/>
      <c r="U18" s="666"/>
      <c r="V18" s="665"/>
      <c r="W18" s="666"/>
      <c r="X18" s="1262"/>
      <c r="Y18" s="3427"/>
      <c r="Z18" s="1261"/>
      <c r="AA18" s="1261">
        <v>1</v>
      </c>
      <c r="AB18" s="1261">
        <v>1</v>
      </c>
      <c r="AC18" s="1261">
        <v>1</v>
      </c>
    </row>
    <row r="19" spans="1:29" ht="42.75">
      <c r="A19" s="366"/>
      <c r="B19" s="389" t="s">
        <v>1258</v>
      </c>
      <c r="C19" s="1751"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434"/>
      <c r="Q19" s="1260" t="str">
        <f>B19</f>
        <v>公共配套设施</v>
      </c>
      <c r="R19" s="665" t="s">
        <v>18</v>
      </c>
      <c r="S19" s="666">
        <f>F19</f>
        <v>100</v>
      </c>
      <c r="T19" s="665" t="s">
        <v>18</v>
      </c>
      <c r="U19" s="666">
        <f>H19</f>
        <v>100</v>
      </c>
      <c r="V19" s="665" t="s">
        <v>18</v>
      </c>
      <c r="W19" s="666">
        <f>J19</f>
        <v>100</v>
      </c>
      <c r="X19" s="1262"/>
      <c r="Y19" s="3427"/>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90"/>
      <c r="M20" s="2485"/>
      <c r="N20" s="2485"/>
      <c r="O20" s="2485"/>
      <c r="P20" s="3434"/>
      <c r="Q20" s="1260"/>
      <c r="R20" s="665"/>
      <c r="S20" s="666"/>
      <c r="T20" s="665"/>
      <c r="U20" s="666"/>
      <c r="V20" s="665"/>
      <c r="W20" s="666"/>
      <c r="X20" s="1262"/>
      <c r="Y20" s="3427"/>
      <c r="Z20" s="1261"/>
      <c r="AA20" s="1261">
        <v>1</v>
      </c>
      <c r="AB20" s="1261">
        <v>1</v>
      </c>
      <c r="AC20" s="1261">
        <v>1</v>
      </c>
    </row>
    <row r="21" spans="1:29" ht="28.5">
      <c r="A21" s="366"/>
      <c r="B21" s="585" t="s">
        <v>1260</v>
      </c>
      <c r="C21" s="1751"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434"/>
      <c r="Q21" s="1260" t="str">
        <f>B21</f>
        <v>基础设施水平</v>
      </c>
      <c r="R21" s="665" t="s">
        <v>14</v>
      </c>
      <c r="S21" s="666">
        <f>F21</f>
        <v>100</v>
      </c>
      <c r="T21" s="665" t="s">
        <v>14</v>
      </c>
      <c r="U21" s="666">
        <f>H21</f>
        <v>100</v>
      </c>
      <c r="V21" s="665" t="s">
        <v>14</v>
      </c>
      <c r="W21" s="666">
        <f>J21</f>
        <v>100</v>
      </c>
      <c r="X21" s="1262"/>
      <c r="Y21" s="3427"/>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6"/>
      <c r="G22" s="1755"/>
      <c r="H22" s="386"/>
      <c r="I22" s="385"/>
      <c r="J22" s="386"/>
      <c r="K22" s="1756"/>
      <c r="L22" s="2490"/>
      <c r="M22" s="2485"/>
      <c r="N22" s="2485"/>
      <c r="O22" s="2485"/>
      <c r="P22" s="3434"/>
      <c r="Q22" s="1260"/>
      <c r="R22" s="665"/>
      <c r="S22" s="666"/>
      <c r="T22" s="665"/>
      <c r="U22" s="666"/>
      <c r="V22" s="665"/>
      <c r="W22" s="666"/>
      <c r="X22" s="1262"/>
      <c r="Y22" s="3427"/>
      <c r="Z22" s="1261"/>
      <c r="AA22" s="1261">
        <v>1</v>
      </c>
      <c r="AB22" s="1261">
        <v>1</v>
      </c>
      <c r="AC22" s="1261">
        <v>1</v>
      </c>
    </row>
    <row r="23" spans="1:29" ht="42.75">
      <c r="A23" s="366"/>
      <c r="B23" s="389" t="s">
        <v>1261</v>
      </c>
      <c r="C23" s="1751"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434"/>
      <c r="Q23" s="1260" t="str">
        <f>B23</f>
        <v>自然及人文环境</v>
      </c>
      <c r="R23" s="665" t="s">
        <v>18</v>
      </c>
      <c r="S23" s="666">
        <f>F23</f>
        <v>100</v>
      </c>
      <c r="T23" s="665" t="s">
        <v>18</v>
      </c>
      <c r="U23" s="666">
        <f>H23</f>
        <v>100</v>
      </c>
      <c r="V23" s="665" t="s">
        <v>18</v>
      </c>
      <c r="W23" s="666">
        <f>J23</f>
        <v>100</v>
      </c>
      <c r="X23" s="1262"/>
      <c r="Y23" s="3427"/>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90"/>
      <c r="M24" s="2485"/>
      <c r="N24" s="2485"/>
      <c r="O24" s="2485"/>
      <c r="P24" s="3434"/>
      <c r="Q24" s="1260"/>
      <c r="R24" s="665"/>
      <c r="S24" s="666"/>
      <c r="T24" s="665"/>
      <c r="U24" s="666"/>
      <c r="V24" s="665"/>
      <c r="W24" s="666"/>
      <c r="X24" s="1262"/>
      <c r="Y24" s="3427"/>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90"/>
      <c r="M25" s="2485"/>
      <c r="N25" s="2485"/>
      <c r="O25" s="2485"/>
      <c r="P25" s="3434"/>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27"/>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90"/>
      <c r="M26" s="2485"/>
      <c r="N26" s="2485"/>
      <c r="O26" s="2485"/>
      <c r="P26" s="3434"/>
      <c r="Q26" s="1260" t="str">
        <f t="shared" si="11"/>
        <v>朝向</v>
      </c>
      <c r="R26" s="665" t="s">
        <v>18</v>
      </c>
      <c r="S26" s="666">
        <f t="shared" si="12"/>
        <v>100</v>
      </c>
      <c r="T26" s="665" t="s">
        <v>18</v>
      </c>
      <c r="U26" s="666">
        <f t="shared" si="13"/>
        <v>100</v>
      </c>
      <c r="V26" s="665" t="s">
        <v>18</v>
      </c>
      <c r="W26" s="666">
        <f t="shared" si="14"/>
        <v>100</v>
      </c>
      <c r="X26" s="1262"/>
      <c r="Y26" s="3427"/>
      <c r="Z26" s="1261" t="str">
        <f>Q26</f>
        <v>朝向</v>
      </c>
      <c r="AA26" s="1261">
        <f t="shared" si="15"/>
        <v>1</v>
      </c>
      <c r="AB26" s="1261">
        <f t="shared" si="16"/>
        <v>1</v>
      </c>
      <c r="AC26" s="1261">
        <f t="shared" si="17"/>
        <v>1</v>
      </c>
    </row>
    <row r="27" spans="1:29" s="102"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5"/>
      <c r="L27" s="2486"/>
      <c r="M27" s="2437"/>
      <c r="N27" s="2437"/>
      <c r="O27" s="2437"/>
      <c r="P27" s="3434"/>
      <c r="Q27" s="529">
        <f t="shared" si="11"/>
        <v>111</v>
      </c>
      <c r="R27" s="662" t="s">
        <v>18</v>
      </c>
      <c r="S27" s="663">
        <f t="shared" si="12"/>
        <v>100</v>
      </c>
      <c r="T27" s="662" t="s">
        <v>18</v>
      </c>
      <c r="U27" s="663">
        <f t="shared" si="13"/>
        <v>100</v>
      </c>
      <c r="V27" s="662" t="s">
        <v>18</v>
      </c>
      <c r="W27" s="663">
        <f t="shared" si="14"/>
        <v>100</v>
      </c>
      <c r="X27" s="664"/>
      <c r="Y27" s="3427"/>
      <c r="Z27" s="50">
        <f>Q27</f>
        <v>111</v>
      </c>
      <c r="AA27" s="1261">
        <f t="shared" si="15"/>
        <v>1</v>
      </c>
      <c r="AB27" s="1261">
        <f t="shared" si="16"/>
        <v>1</v>
      </c>
      <c r="AC27" s="1261">
        <f t="shared" si="17"/>
        <v>1</v>
      </c>
    </row>
    <row r="28" spans="1:29" ht="15">
      <c r="A28" s="366"/>
      <c r="B28" s="1064">
        <v>111</v>
      </c>
      <c r="C28" s="372"/>
      <c r="D28" s="373">
        <v>100</v>
      </c>
      <c r="E28" s="372"/>
      <c r="F28" s="373">
        <f>SUMIF(92:92,E28,93:93)-SUMIF(92:92,C28,93:93)+100</f>
        <v>100</v>
      </c>
      <c r="G28" s="1759"/>
      <c r="H28" s="373">
        <f>SUMIF(92:92,G28,93:93)-SUMIF(92:92,C28,93:93)+100</f>
        <v>100</v>
      </c>
      <c r="I28" s="372"/>
      <c r="J28" s="373">
        <f>SUMIF(92:92,I28,93:93)-SUMIF(92:92,C28,93:93)+100</f>
        <v>100</v>
      </c>
      <c r="K28" s="1745"/>
      <c r="L28" s="2490"/>
      <c r="M28" s="2485"/>
      <c r="N28" s="2485"/>
      <c r="O28" s="2485"/>
      <c r="P28" s="3434"/>
      <c r="Q28" s="1260">
        <f t="shared" si="11"/>
        <v>111</v>
      </c>
      <c r="R28" s="665" t="s">
        <v>18</v>
      </c>
      <c r="S28" s="666">
        <f t="shared" si="12"/>
        <v>100</v>
      </c>
      <c r="T28" s="665" t="s">
        <v>18</v>
      </c>
      <c r="U28" s="666">
        <f t="shared" si="13"/>
        <v>100</v>
      </c>
      <c r="V28" s="665" t="s">
        <v>18</v>
      </c>
      <c r="W28" s="666">
        <f t="shared" si="14"/>
        <v>100</v>
      </c>
      <c r="X28" s="1262"/>
      <c r="Y28" s="3427"/>
      <c r="Z28" s="1261">
        <f t="shared" ref="Z28:Z46" si="18">Q28</f>
        <v>111</v>
      </c>
      <c r="AA28" s="1261">
        <f t="shared" si="15"/>
        <v>1</v>
      </c>
      <c r="AB28" s="1261">
        <f t="shared" si="16"/>
        <v>1</v>
      </c>
      <c r="AC28" s="1261">
        <f t="shared" si="17"/>
        <v>1</v>
      </c>
    </row>
    <row r="29" spans="1:29" ht="15">
      <c r="A29" s="366"/>
      <c r="B29" s="1064">
        <v>111</v>
      </c>
      <c r="C29" s="372"/>
      <c r="D29" s="373">
        <v>100</v>
      </c>
      <c r="E29" s="372"/>
      <c r="F29" s="373">
        <f>SUMIF(94:94,E29,95:95)-SUMIF(94:94,C29,95:95)+100</f>
        <v>100</v>
      </c>
      <c r="G29" s="1759"/>
      <c r="H29" s="373">
        <f>SUMIF(94:94,G29,95:95)-SUMIF(94:94,C29,95:95)+100</f>
        <v>100</v>
      </c>
      <c r="I29" s="372"/>
      <c r="J29" s="373">
        <f>SUMIF(94:94,I29,95:95)-SUMIF(94:94,C29,95:95)+100</f>
        <v>100</v>
      </c>
      <c r="K29" s="1745"/>
      <c r="L29" s="2490"/>
      <c r="M29" s="2485"/>
      <c r="N29" s="2485"/>
      <c r="O29" s="2485"/>
      <c r="P29" s="3434"/>
      <c r="Q29" s="1260">
        <f t="shared" si="11"/>
        <v>111</v>
      </c>
      <c r="R29" s="665" t="s">
        <v>18</v>
      </c>
      <c r="S29" s="666">
        <f t="shared" si="12"/>
        <v>100</v>
      </c>
      <c r="T29" s="665" t="s">
        <v>18</v>
      </c>
      <c r="U29" s="666">
        <f t="shared" si="13"/>
        <v>100</v>
      </c>
      <c r="V29" s="665" t="s">
        <v>18</v>
      </c>
      <c r="W29" s="666">
        <f t="shared" si="14"/>
        <v>100</v>
      </c>
      <c r="X29" s="1262"/>
      <c r="Y29" s="3427"/>
      <c r="Z29" s="1261">
        <f t="shared" si="18"/>
        <v>111</v>
      </c>
      <c r="AA29" s="1261">
        <f t="shared" si="15"/>
        <v>1</v>
      </c>
      <c r="AB29" s="1261">
        <f t="shared" si="16"/>
        <v>1</v>
      </c>
      <c r="AC29" s="1261">
        <f t="shared" si="17"/>
        <v>1</v>
      </c>
    </row>
    <row r="30" spans="1:29" ht="15">
      <c r="A30" s="366"/>
      <c r="B30" s="1064">
        <v>111</v>
      </c>
      <c r="C30" s="372"/>
      <c r="D30" s="373">
        <v>100</v>
      </c>
      <c r="E30" s="372"/>
      <c r="F30" s="373">
        <f>SUMIF(96:96,E30,97:97)-SUMIF(96:96,C30,97:97)+100</f>
        <v>100</v>
      </c>
      <c r="G30" s="1759"/>
      <c r="H30" s="373">
        <f>SUMIF(96:96,G30,97:97)-SUMIF(96:96,C30,97:97)+100</f>
        <v>100</v>
      </c>
      <c r="I30" s="372"/>
      <c r="J30" s="373">
        <f>SUMIF(96:96,I30,97:97)-SUMIF(96:96,C30,97:97)+100</f>
        <v>100</v>
      </c>
      <c r="K30" s="1745"/>
      <c r="L30" s="2490"/>
      <c r="M30" s="2485"/>
      <c r="N30" s="2485"/>
      <c r="O30" s="2485"/>
      <c r="P30" s="3434"/>
      <c r="Q30" s="1260">
        <f t="shared" si="11"/>
        <v>111</v>
      </c>
      <c r="R30" s="665" t="s">
        <v>18</v>
      </c>
      <c r="S30" s="666">
        <f t="shared" si="12"/>
        <v>100</v>
      </c>
      <c r="T30" s="665" t="s">
        <v>18</v>
      </c>
      <c r="U30" s="666">
        <f t="shared" si="13"/>
        <v>100</v>
      </c>
      <c r="V30" s="665" t="s">
        <v>18</v>
      </c>
      <c r="W30" s="666">
        <f t="shared" si="14"/>
        <v>100</v>
      </c>
      <c r="X30" s="1262"/>
      <c r="Y30" s="3427"/>
      <c r="Z30" s="1261">
        <f t="shared" si="18"/>
        <v>111</v>
      </c>
      <c r="AA30" s="1261">
        <f t="shared" si="15"/>
        <v>1</v>
      </c>
      <c r="AB30" s="1261">
        <f t="shared" si="16"/>
        <v>1</v>
      </c>
      <c r="AC30" s="1261">
        <f t="shared" si="17"/>
        <v>1</v>
      </c>
    </row>
    <row r="31" spans="1:29" ht="15.75" thickBot="1">
      <c r="A31" s="374"/>
      <c r="B31" s="1064">
        <v>111</v>
      </c>
      <c r="C31" s="375"/>
      <c r="D31" s="376">
        <v>100</v>
      </c>
      <c r="E31" s="375"/>
      <c r="F31" s="376">
        <f>SUMIF(98:98,E31,99:99)-SUMIF(98:98,C31,99:99)+100</f>
        <v>100</v>
      </c>
      <c r="G31" s="1760"/>
      <c r="H31" s="376">
        <f>SUMIF(98:98,G31,99:99)-SUMIF(98:98,C31,99:99)+100</f>
        <v>100</v>
      </c>
      <c r="I31" s="375"/>
      <c r="J31" s="376">
        <f>SUMIF(98:98,I31,99:99)-SUMIF(98:98,C31,99:99)+100</f>
        <v>100</v>
      </c>
      <c r="K31" s="1745"/>
      <c r="L31" s="2490"/>
      <c r="M31" s="2485"/>
      <c r="N31" s="2485"/>
      <c r="O31" s="2485"/>
      <c r="P31" s="3434"/>
      <c r="Q31" s="1260">
        <f t="shared" si="11"/>
        <v>111</v>
      </c>
      <c r="R31" s="665" t="s">
        <v>18</v>
      </c>
      <c r="S31" s="666">
        <f t="shared" si="12"/>
        <v>100</v>
      </c>
      <c r="T31" s="665" t="s">
        <v>18</v>
      </c>
      <c r="U31" s="666">
        <f t="shared" si="13"/>
        <v>100</v>
      </c>
      <c r="V31" s="665" t="s">
        <v>18</v>
      </c>
      <c r="W31" s="666">
        <f t="shared" si="14"/>
        <v>100</v>
      </c>
      <c r="X31" s="1262"/>
      <c r="Y31" s="3427"/>
      <c r="Z31" s="1261">
        <f t="shared" si="18"/>
        <v>111</v>
      </c>
      <c r="AA31" s="1261">
        <f t="shared" si="15"/>
        <v>1</v>
      </c>
      <c r="AB31" s="1261">
        <f t="shared" si="16"/>
        <v>1</v>
      </c>
      <c r="AC31" s="1261">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90"/>
      <c r="M32" s="2485"/>
      <c r="N32" s="2485"/>
      <c r="O32" s="2485"/>
      <c r="P32" s="3428" t="s">
        <v>1696</v>
      </c>
      <c r="Q32" s="1260" t="str">
        <f t="shared" si="11"/>
        <v>建筑类型</v>
      </c>
      <c r="R32" s="665" t="s">
        <v>18</v>
      </c>
      <c r="S32" s="666">
        <f t="shared" si="12"/>
        <v>100</v>
      </c>
      <c r="T32" s="665" t="s">
        <v>18</v>
      </c>
      <c r="U32" s="666">
        <f t="shared" si="13"/>
        <v>100</v>
      </c>
      <c r="V32" s="665" t="s">
        <v>18</v>
      </c>
      <c r="W32" s="666">
        <f t="shared" si="14"/>
        <v>100</v>
      </c>
      <c r="X32" s="1262"/>
      <c r="Y32" s="3431" t="s">
        <v>1696</v>
      </c>
      <c r="Z32" s="1261" t="str">
        <f t="shared" si="18"/>
        <v>建筑类型</v>
      </c>
      <c r="AA32" s="1261">
        <f t="shared" si="15"/>
        <v>1</v>
      </c>
      <c r="AB32" s="1261">
        <f t="shared" si="16"/>
        <v>1</v>
      </c>
      <c r="AC32" s="1261">
        <f t="shared" si="17"/>
        <v>1</v>
      </c>
    </row>
    <row r="33" spans="1:29" s="407" customFormat="1" ht="15">
      <c r="A33" s="405"/>
      <c r="B33" s="363" t="s">
        <v>1697</v>
      </c>
      <c r="C33" s="406"/>
      <c r="D33" s="119">
        <v>100</v>
      </c>
      <c r="E33" s="368"/>
      <c r="F33" s="363" t="e">
        <f>LOOKUP(E33,103:103,104:104)-LOOKUP(C33,103:103,104:104)+100</f>
        <v>#N/A</v>
      </c>
      <c r="G33" s="367"/>
      <c r="H33" s="119" t="e">
        <f>LOOKUP(G33,103:103,104:104)-LOOKUP(C33,103:103,104:104)+100</f>
        <v>#N/A</v>
      </c>
      <c r="I33" s="368"/>
      <c r="J33" s="119" t="e">
        <f>LOOKUP(I33,103:103,104:104)-LOOKUP(C33,103:103,104:104)+100</f>
        <v>#N/A</v>
      </c>
      <c r="K33" s="1745"/>
      <c r="L33" s="2489"/>
      <c r="M33" s="2491"/>
      <c r="N33" s="2491"/>
      <c r="O33" s="2491"/>
      <c r="P33" s="3429"/>
      <c r="Q33" s="530" t="str">
        <f t="shared" si="11"/>
        <v>项目建筑规模</v>
      </c>
      <c r="R33" s="667" t="s">
        <v>18</v>
      </c>
      <c r="S33" s="668" t="e">
        <f t="shared" si="12"/>
        <v>#N/A</v>
      </c>
      <c r="T33" s="667" t="s">
        <v>18</v>
      </c>
      <c r="U33" s="668" t="e">
        <f t="shared" si="13"/>
        <v>#N/A</v>
      </c>
      <c r="V33" s="667" t="s">
        <v>18</v>
      </c>
      <c r="W33" s="668" t="e">
        <f t="shared" si="14"/>
        <v>#N/A</v>
      </c>
      <c r="X33" s="669"/>
      <c r="Y33" s="3431"/>
      <c r="Z33" s="670"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90"/>
      <c r="M34" s="2485"/>
      <c r="N34" s="2485"/>
      <c r="O34" s="2485"/>
      <c r="P34" s="3429"/>
      <c r="Q34" s="1260" t="str">
        <f t="shared" si="11"/>
        <v>建筑结构</v>
      </c>
      <c r="R34" s="665" t="s">
        <v>18</v>
      </c>
      <c r="S34" s="666">
        <f t="shared" si="12"/>
        <v>100</v>
      </c>
      <c r="T34" s="665" t="s">
        <v>18</v>
      </c>
      <c r="U34" s="666">
        <f t="shared" si="13"/>
        <v>100</v>
      </c>
      <c r="V34" s="665" t="s">
        <v>18</v>
      </c>
      <c r="W34" s="666">
        <f t="shared" si="14"/>
        <v>100</v>
      </c>
      <c r="X34" s="1262"/>
      <c r="Y34" s="3431"/>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90"/>
      <c r="M35" s="2485"/>
      <c r="N35" s="2485"/>
      <c r="O35" s="2485"/>
      <c r="P35" s="3429"/>
      <c r="Q35" s="1260" t="str">
        <f t="shared" si="11"/>
        <v>建筑品质</v>
      </c>
      <c r="R35" s="665" t="s">
        <v>18</v>
      </c>
      <c r="S35" s="666">
        <f t="shared" si="12"/>
        <v>100</v>
      </c>
      <c r="T35" s="665" t="s">
        <v>18</v>
      </c>
      <c r="U35" s="666">
        <f t="shared" si="13"/>
        <v>100</v>
      </c>
      <c r="V35" s="665" t="s">
        <v>18</v>
      </c>
      <c r="W35" s="666">
        <f t="shared" si="14"/>
        <v>100</v>
      </c>
      <c r="X35" s="1262"/>
      <c r="Y35" s="3431"/>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90"/>
      <c r="M36" s="2485"/>
      <c r="N36" s="2485"/>
      <c r="O36" s="2485"/>
      <c r="P36" s="3429"/>
      <c r="Q36" s="1260" t="str">
        <f t="shared" si="11"/>
        <v>公共部分装修</v>
      </c>
      <c r="R36" s="665" t="s">
        <v>18</v>
      </c>
      <c r="S36" s="666">
        <f t="shared" si="12"/>
        <v>100</v>
      </c>
      <c r="T36" s="665" t="s">
        <v>18</v>
      </c>
      <c r="U36" s="666">
        <f t="shared" si="13"/>
        <v>100</v>
      </c>
      <c r="V36" s="665" t="s">
        <v>18</v>
      </c>
      <c r="W36" s="666">
        <f t="shared" si="14"/>
        <v>100</v>
      </c>
      <c r="X36" s="1262"/>
      <c r="Y36" s="3431"/>
      <c r="Z36" s="1261" t="str">
        <f t="shared" si="18"/>
        <v>公共部分装修</v>
      </c>
      <c r="AA36" s="1261">
        <f t="shared" si="15"/>
        <v>1</v>
      </c>
      <c r="AB36" s="1261">
        <f t="shared" si="16"/>
        <v>1</v>
      </c>
      <c r="AC36" s="1261">
        <f t="shared" si="17"/>
        <v>1</v>
      </c>
    </row>
    <row r="37" spans="1:29" s="102" customFormat="1" ht="15">
      <c r="A37" s="409"/>
      <c r="B37" s="363" t="s">
        <v>1701</v>
      </c>
      <c r="C37" s="410"/>
      <c r="D37" s="119">
        <v>100</v>
      </c>
      <c r="E37" s="410"/>
      <c r="F37" s="363" t="e">
        <f>LOOKUP(E37,112:112,113:113)-LOOKUP(C37,112:112,113:113)+100</f>
        <v>#N/A</v>
      </c>
      <c r="G37" s="412"/>
      <c r="H37" s="119" t="e">
        <f>LOOKUP(G37,112:112,113:113)-LOOKUP(C37,112:112,113:113)+100</f>
        <v>#N/A</v>
      </c>
      <c r="I37" s="411"/>
      <c r="J37" s="119" t="e">
        <f>LOOKUP(I37,112:112,113:113)-LOOKUP(C37,112:112,113:113)+100</f>
        <v>#N/A</v>
      </c>
      <c r="K37" s="364"/>
      <c r="L37" s="2486"/>
      <c r="M37" s="2437"/>
      <c r="N37" s="2437"/>
      <c r="O37" s="2437"/>
      <c r="P37" s="3429"/>
      <c r="Q37" s="529" t="str">
        <f t="shared" si="11"/>
        <v>成新度</v>
      </c>
      <c r="R37" s="662" t="s">
        <v>18</v>
      </c>
      <c r="S37" s="663" t="e">
        <f t="shared" si="12"/>
        <v>#N/A</v>
      </c>
      <c r="T37" s="662" t="s">
        <v>18</v>
      </c>
      <c r="U37" s="663" t="e">
        <f t="shared" si="13"/>
        <v>#N/A</v>
      </c>
      <c r="V37" s="662" t="s">
        <v>18</v>
      </c>
      <c r="W37" s="663" t="e">
        <f t="shared" si="14"/>
        <v>#N/A</v>
      </c>
      <c r="X37" s="664"/>
      <c r="Y37" s="3431"/>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90"/>
      <c r="M38" s="2485"/>
      <c r="N38" s="2485"/>
      <c r="O38" s="2485"/>
      <c r="P38" s="3429" t="s">
        <v>1696</v>
      </c>
      <c r="Q38" s="1260" t="str">
        <f t="shared" si="11"/>
        <v>物业管理</v>
      </c>
      <c r="R38" s="665" t="s">
        <v>18</v>
      </c>
      <c r="S38" s="666">
        <f t="shared" si="12"/>
        <v>100</v>
      </c>
      <c r="T38" s="665" t="s">
        <v>18</v>
      </c>
      <c r="U38" s="666">
        <f t="shared" si="13"/>
        <v>100</v>
      </c>
      <c r="V38" s="665" t="s">
        <v>18</v>
      </c>
      <c r="W38" s="666">
        <f t="shared" si="14"/>
        <v>100</v>
      </c>
      <c r="X38" s="1262"/>
      <c r="Y38" s="3431"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90"/>
      <c r="M39" s="2485"/>
      <c r="N39" s="2485"/>
      <c r="O39" s="2485"/>
      <c r="P39" s="3429"/>
      <c r="Q39" s="1260" t="str">
        <f t="shared" si="11"/>
        <v>市政基础设施</v>
      </c>
      <c r="R39" s="665" t="s">
        <v>18</v>
      </c>
      <c r="S39" s="666">
        <f t="shared" si="12"/>
        <v>100</v>
      </c>
      <c r="T39" s="665" t="s">
        <v>18</v>
      </c>
      <c r="U39" s="666">
        <f t="shared" si="13"/>
        <v>100</v>
      </c>
      <c r="V39" s="665" t="s">
        <v>18</v>
      </c>
      <c r="W39" s="666">
        <f t="shared" si="14"/>
        <v>100</v>
      </c>
      <c r="X39" s="1262"/>
      <c r="Y39" s="3431"/>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90"/>
      <c r="M40" s="2485"/>
      <c r="N40" s="2485"/>
      <c r="O40" s="2485"/>
      <c r="P40" s="3429"/>
      <c r="Q40" s="1260" t="str">
        <f t="shared" si="11"/>
        <v>房型</v>
      </c>
      <c r="R40" s="665" t="s">
        <v>18</v>
      </c>
      <c r="S40" s="666">
        <f t="shared" si="12"/>
        <v>100</v>
      </c>
      <c r="T40" s="665" t="s">
        <v>18</v>
      </c>
      <c r="U40" s="666">
        <f t="shared" si="13"/>
        <v>100</v>
      </c>
      <c r="V40" s="665" t="s">
        <v>18</v>
      </c>
      <c r="W40" s="666">
        <f t="shared" si="14"/>
        <v>100</v>
      </c>
      <c r="X40" s="1262"/>
      <c r="Y40" s="3431"/>
      <c r="Z40" s="1261" t="str">
        <f t="shared" si="18"/>
        <v>房型</v>
      </c>
      <c r="AA40" s="1261">
        <f t="shared" si="15"/>
        <v>1</v>
      </c>
      <c r="AB40" s="1261">
        <f t="shared" si="16"/>
        <v>1</v>
      </c>
      <c r="AC40" s="1261">
        <f t="shared" si="17"/>
        <v>1</v>
      </c>
    </row>
    <row r="41" spans="1:29" s="407" customFormat="1" ht="28.5">
      <c r="A41" s="405"/>
      <c r="B41" s="363" t="s">
        <v>1705</v>
      </c>
      <c r="C41" s="406"/>
      <c r="D41" s="119">
        <v>100</v>
      </c>
      <c r="E41" s="368"/>
      <c r="F41" s="363">
        <f>SUMIF(120:120,E41,121:121)-SUMIF(120:120,C41,121:121)+100</f>
        <v>100</v>
      </c>
      <c r="G41" s="367"/>
      <c r="H41" s="119">
        <f>SUMIF(120:120,G41,121:121)-SUMIF(120:120,C41,121:121)+100</f>
        <v>100</v>
      </c>
      <c r="I41" s="413"/>
      <c r="J41" s="373">
        <f>SUMIF(120:120,I41,121:121)-SUMIF(120:120,C41,121:121)+100</f>
        <v>100</v>
      </c>
      <c r="K41" s="1745"/>
      <c r="L41" s="2489"/>
      <c r="M41" s="2491"/>
      <c r="N41" s="2491"/>
      <c r="O41" s="2491"/>
      <c r="P41" s="3429"/>
      <c r="Q41" s="530" t="str">
        <f t="shared" si="11"/>
        <v>单套/主力户型建筑面积</v>
      </c>
      <c r="R41" s="667" t="s">
        <v>18</v>
      </c>
      <c r="S41" s="668">
        <f t="shared" si="12"/>
        <v>100</v>
      </c>
      <c r="T41" s="667" t="s">
        <v>18</v>
      </c>
      <c r="U41" s="668">
        <f t="shared" si="13"/>
        <v>100</v>
      </c>
      <c r="V41" s="667" t="s">
        <v>18</v>
      </c>
      <c r="W41" s="668">
        <f t="shared" si="14"/>
        <v>100</v>
      </c>
      <c r="X41" s="669"/>
      <c r="Y41" s="3431"/>
      <c r="Z41" s="670"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90"/>
      <c r="M42" s="2485"/>
      <c r="N42" s="2485"/>
      <c r="O42" s="2485"/>
      <c r="P42" s="3429"/>
      <c r="Q42" s="1260" t="str">
        <f t="shared" si="11"/>
        <v>内部装修</v>
      </c>
      <c r="R42" s="665" t="s">
        <v>18</v>
      </c>
      <c r="S42" s="666">
        <f t="shared" si="12"/>
        <v>100</v>
      </c>
      <c r="T42" s="665" t="s">
        <v>18</v>
      </c>
      <c r="U42" s="666">
        <f t="shared" si="13"/>
        <v>100</v>
      </c>
      <c r="V42" s="665" t="s">
        <v>18</v>
      </c>
      <c r="W42" s="666">
        <f t="shared" si="14"/>
        <v>100</v>
      </c>
      <c r="X42" s="1262"/>
      <c r="Y42" s="3431"/>
      <c r="Z42" s="1261" t="str">
        <f t="shared" si="18"/>
        <v>内部装修</v>
      </c>
      <c r="AA42" s="1261">
        <f t="shared" si="15"/>
        <v>1</v>
      </c>
      <c r="AB42" s="1261">
        <f t="shared" si="16"/>
        <v>1</v>
      </c>
      <c r="AC42" s="1261">
        <f t="shared" si="17"/>
        <v>1</v>
      </c>
    </row>
    <row r="43" spans="1:29" ht="15">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90"/>
      <c r="M43" s="2485"/>
      <c r="N43" s="2485"/>
      <c r="O43" s="2485"/>
      <c r="P43" s="3429"/>
      <c r="Q43" s="1260" t="str">
        <f t="shared" si="11"/>
        <v>内部装修维护情况</v>
      </c>
      <c r="R43" s="665" t="s">
        <v>18</v>
      </c>
      <c r="S43" s="666">
        <f t="shared" si="12"/>
        <v>100</v>
      </c>
      <c r="T43" s="665" t="s">
        <v>18</v>
      </c>
      <c r="U43" s="666">
        <f t="shared" si="13"/>
        <v>100</v>
      </c>
      <c r="V43" s="665" t="s">
        <v>18</v>
      </c>
      <c r="W43" s="666">
        <f t="shared" si="14"/>
        <v>100</v>
      </c>
      <c r="X43" s="1262"/>
      <c r="Y43" s="3431"/>
      <c r="Z43" s="1261" t="str">
        <f t="shared" si="18"/>
        <v>内部装修维护情况</v>
      </c>
      <c r="AA43" s="1261">
        <f t="shared" si="15"/>
        <v>1</v>
      </c>
      <c r="AB43" s="1261">
        <f t="shared" si="16"/>
        <v>1</v>
      </c>
      <c r="AC43" s="1261">
        <f t="shared" si="17"/>
        <v>1</v>
      </c>
    </row>
    <row r="44" spans="1:29" s="102" customFormat="1" ht="15">
      <c r="A44" s="409"/>
      <c r="B44" s="1064">
        <v>111</v>
      </c>
      <c r="C44" s="406"/>
      <c r="D44" s="119">
        <v>100</v>
      </c>
      <c r="E44" s="406"/>
      <c r="F44" s="363">
        <f>SUMIF(126:126,E44,127:127)-SUMIF(126:126,C44,127:127)+100</f>
        <v>100</v>
      </c>
      <c r="G44" s="406"/>
      <c r="H44" s="119">
        <f>SUMIF(126:126,G44,127:127)-SUMIF(126:126,C44,127:127)+100</f>
        <v>100</v>
      </c>
      <c r="I44" s="406"/>
      <c r="J44" s="119">
        <f>SUMIF(126:126,I44,127:127)-SUMIF(126:126,C44,127:127)+100</f>
        <v>100</v>
      </c>
      <c r="K44" s="1745"/>
      <c r="L44" s="2486"/>
      <c r="M44" s="2437"/>
      <c r="N44" s="2437"/>
      <c r="O44" s="2437"/>
      <c r="P44" s="3429"/>
      <c r="Q44" s="529">
        <f t="shared" si="11"/>
        <v>111</v>
      </c>
      <c r="R44" s="662" t="s">
        <v>18</v>
      </c>
      <c r="S44" s="663">
        <f t="shared" si="12"/>
        <v>100</v>
      </c>
      <c r="T44" s="662" t="s">
        <v>18</v>
      </c>
      <c r="U44" s="663">
        <f t="shared" si="13"/>
        <v>100</v>
      </c>
      <c r="V44" s="662" t="s">
        <v>18</v>
      </c>
      <c r="W44" s="663">
        <f t="shared" si="14"/>
        <v>100</v>
      </c>
      <c r="X44" s="664"/>
      <c r="Y44" s="3431"/>
      <c r="Z44" s="50">
        <f t="shared" si="18"/>
        <v>111</v>
      </c>
      <c r="AA44" s="50">
        <f t="shared" si="15"/>
        <v>1</v>
      </c>
      <c r="AB44" s="50">
        <f t="shared" si="16"/>
        <v>1</v>
      </c>
      <c r="AC44" s="50">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90"/>
      <c r="M45" s="2485"/>
      <c r="N45" s="2485"/>
      <c r="O45" s="2485"/>
      <c r="P45" s="3429"/>
      <c r="Q45" s="1260">
        <f t="shared" si="11"/>
        <v>111</v>
      </c>
      <c r="R45" s="665" t="s">
        <v>18</v>
      </c>
      <c r="S45" s="666">
        <f t="shared" si="12"/>
        <v>100</v>
      </c>
      <c r="T45" s="665" t="s">
        <v>18</v>
      </c>
      <c r="U45" s="666">
        <f t="shared" si="13"/>
        <v>100</v>
      </c>
      <c r="V45" s="665" t="s">
        <v>18</v>
      </c>
      <c r="W45" s="666">
        <f t="shared" si="14"/>
        <v>100</v>
      </c>
      <c r="X45" s="1262"/>
      <c r="Y45" s="3431"/>
      <c r="Z45" s="1261">
        <f t="shared" si="18"/>
        <v>111</v>
      </c>
      <c r="AA45" s="1261">
        <f t="shared" si="15"/>
        <v>1</v>
      </c>
      <c r="AB45" s="1261">
        <f t="shared" si="16"/>
        <v>1</v>
      </c>
      <c r="AC45" s="1261">
        <f t="shared" si="17"/>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90"/>
      <c r="M46" s="2485"/>
      <c r="N46" s="2485"/>
      <c r="O46" s="2485"/>
      <c r="P46" s="3430"/>
      <c r="Q46" s="1260">
        <f t="shared" si="11"/>
        <v>111</v>
      </c>
      <c r="R46" s="665" t="s">
        <v>17</v>
      </c>
      <c r="S46" s="666">
        <f t="shared" si="12"/>
        <v>100</v>
      </c>
      <c r="T46" s="665" t="s">
        <v>17</v>
      </c>
      <c r="U46" s="666">
        <f t="shared" si="13"/>
        <v>100</v>
      </c>
      <c r="V46" s="665" t="s">
        <v>17</v>
      </c>
      <c r="W46" s="666">
        <f t="shared" si="14"/>
        <v>100</v>
      </c>
      <c r="X46" s="1262"/>
      <c r="Y46" s="3432"/>
      <c r="Z46" s="1261">
        <f t="shared" si="18"/>
        <v>111</v>
      </c>
      <c r="AA46" s="1261">
        <f t="shared" si="15"/>
        <v>1</v>
      </c>
      <c r="AB46" s="1261">
        <f t="shared" si="16"/>
        <v>1</v>
      </c>
      <c r="AC46" s="1261">
        <f t="shared" si="17"/>
        <v>1</v>
      </c>
    </row>
    <row r="47" spans="1:29" ht="15">
      <c r="A47" s="415" t="s">
        <v>1708</v>
      </c>
      <c r="B47" s="416"/>
      <c r="C47" s="1078" t="s">
        <v>16</v>
      </c>
      <c r="D47" s="417"/>
      <c r="E47" s="418"/>
      <c r="F47" s="419"/>
      <c r="G47" s="420"/>
      <c r="H47" s="421"/>
      <c r="I47" s="418"/>
      <c r="J47" s="421"/>
      <c r="K47" s="1764"/>
      <c r="L47" s="2492"/>
      <c r="M47" s="2485"/>
      <c r="N47" s="2485"/>
      <c r="O47" s="2485"/>
      <c r="P47" s="3424" t="str">
        <f>A47</f>
        <v>成交单价（元/平方米）</v>
      </c>
      <c r="Q47" s="3424"/>
      <c r="R47" s="3425">
        <f>E47</f>
        <v>0</v>
      </c>
      <c r="S47" s="3425"/>
      <c r="T47" s="3425">
        <f>G47</f>
        <v>0</v>
      </c>
      <c r="U47" s="3425"/>
      <c r="V47" s="3425">
        <f>I47</f>
        <v>0</v>
      </c>
      <c r="W47" s="3425"/>
      <c r="X47" s="384"/>
      <c r="Y47" s="671"/>
      <c r="Z47" s="384"/>
      <c r="AA47" s="384"/>
      <c r="AB47" s="384"/>
      <c r="AC47" s="384"/>
    </row>
    <row r="48" spans="1:29" ht="15.75" thickBot="1">
      <c r="A48" s="422" t="s">
        <v>1709</v>
      </c>
      <c r="B48" s="423"/>
      <c r="C48" s="1079" t="e">
        <f>R49</f>
        <v>#DIV/0!</v>
      </c>
      <c r="D48" s="2138" t="s">
        <v>2138</v>
      </c>
      <c r="E48" s="1080" t="e">
        <f>R48</f>
        <v>#DIV/0!</v>
      </c>
      <c r="F48" s="2139"/>
      <c r="G48" s="1079" t="e">
        <f>T48</f>
        <v>#DIV/0!</v>
      </c>
      <c r="H48" s="2139"/>
      <c r="I48" s="1080" t="e">
        <f>V48</f>
        <v>#DIV/0!</v>
      </c>
      <c r="J48" s="2139"/>
      <c r="K48" s="2140">
        <f>F48+H48+J48</f>
        <v>0</v>
      </c>
      <c r="L48" s="2492"/>
      <c r="M48" s="2485"/>
      <c r="N48" s="2485"/>
      <c r="O48" s="2485"/>
      <c r="P48" s="3424" t="str">
        <f>A48</f>
        <v>比较价值（元/平方米）</v>
      </c>
      <c r="Q48" s="3424"/>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384"/>
      <c r="Y48" s="384"/>
      <c r="Z48" s="384"/>
      <c r="AA48" s="384"/>
      <c r="AB48" s="384"/>
      <c r="AC48" s="384"/>
    </row>
    <row r="49" spans="1:29" ht="15.75" thickBot="1">
      <c r="A49" s="426" t="s">
        <v>1710</v>
      </c>
      <c r="B49" s="427"/>
      <c r="C49" s="1081" t="e">
        <f>R49</f>
        <v>#DIV/0!</v>
      </c>
      <c r="D49" s="350"/>
      <c r="E49" s="350"/>
      <c r="F49" s="350"/>
      <c r="G49" s="350"/>
      <c r="H49" s="350"/>
      <c r="I49" s="350"/>
      <c r="J49" s="350"/>
      <c r="K49" s="1765"/>
      <c r="L49" s="2492"/>
      <c r="M49" s="2485"/>
      <c r="N49" s="2485"/>
      <c r="O49" s="2485"/>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7"/>
    </row>
    <row r="55" spans="1:29" s="436"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6" t="s">
        <v>1714</v>
      </c>
      <c r="B57" s="384"/>
      <c r="C57" s="657"/>
      <c r="D57" s="657"/>
      <c r="E57" s="657"/>
      <c r="F57" s="658"/>
      <c r="G57" s="658"/>
      <c r="H57" s="657"/>
      <c r="I57" s="657"/>
      <c r="J57" s="657"/>
      <c r="K57" s="885"/>
      <c r="L57" s="886"/>
      <c r="M57" s="884"/>
      <c r="N57" s="884"/>
      <c r="O57" s="884"/>
      <c r="P57" s="1768"/>
      <c r="Q57" s="438"/>
    </row>
    <row r="58" spans="1:29" s="441" customFormat="1" ht="15">
      <c r="A58" s="439" t="s">
        <v>1715</v>
      </c>
      <c r="B58" s="440"/>
      <c r="C58" s="1102" t="str">
        <f>YEAR(C7)&amp;"-"&amp;MONTH(C7)</f>
        <v>2024-11</v>
      </c>
      <c r="D58" s="1101">
        <f>EDATE(C58,-1)</f>
        <v>45566</v>
      </c>
      <c r="E58" s="1101">
        <f>EDATE(D58,-1)</f>
        <v>45536</v>
      </c>
      <c r="F58" s="1101">
        <f t="shared" ref="F58:O58" si="19">EDATE(E58,-1)</f>
        <v>45505</v>
      </c>
      <c r="G58" s="1101">
        <f t="shared" si="19"/>
        <v>45474</v>
      </c>
      <c r="H58" s="1101">
        <f t="shared" si="19"/>
        <v>45444</v>
      </c>
      <c r="I58" s="1101">
        <f t="shared" si="19"/>
        <v>45413</v>
      </c>
      <c r="J58" s="1101">
        <f t="shared" si="19"/>
        <v>45383</v>
      </c>
      <c r="K58" s="1101">
        <f t="shared" si="19"/>
        <v>45352</v>
      </c>
      <c r="L58" s="1101">
        <f t="shared" si="19"/>
        <v>45323</v>
      </c>
      <c r="M58" s="1101">
        <f t="shared" si="19"/>
        <v>45292</v>
      </c>
      <c r="N58" s="1101">
        <f t="shared" si="19"/>
        <v>45261</v>
      </c>
      <c r="O58" s="1101">
        <f t="shared" si="19"/>
        <v>45231</v>
      </c>
      <c r="P58" s="1097"/>
    </row>
    <row r="59" spans="1:29" s="102" customFormat="1" ht="15">
      <c r="A59" s="442"/>
      <c r="B59" s="1769"/>
      <c r="C59" s="1099">
        <v>100</v>
      </c>
      <c r="D59" s="444"/>
      <c r="E59" s="445"/>
      <c r="F59" s="445"/>
      <c r="G59" s="445"/>
      <c r="H59" s="445"/>
      <c r="I59" s="445"/>
      <c r="J59" s="445"/>
      <c r="K59" s="445"/>
      <c r="L59" s="445"/>
      <c r="M59" s="446"/>
      <c r="N59" s="445"/>
      <c r="O59" s="446"/>
      <c r="P59" s="1770"/>
    </row>
    <row r="60" spans="1:29" s="102" customFormat="1" ht="15.75" thickBot="1">
      <c r="A60" s="448" t="s">
        <v>1716</v>
      </c>
      <c r="B60" s="449"/>
      <c r="C60" s="450"/>
      <c r="D60" s="451"/>
      <c r="E60" s="451"/>
      <c r="F60" s="451"/>
      <c r="G60" s="451"/>
      <c r="H60" s="451"/>
      <c r="I60" s="451"/>
      <c r="J60" s="451"/>
      <c r="K60" s="451"/>
      <c r="L60" s="451"/>
      <c r="M60" s="452"/>
      <c r="N60" s="451"/>
      <c r="O60" s="452"/>
      <c r="P60" s="1770"/>
      <c r="Q60" s="438"/>
    </row>
    <row r="61" spans="1:29" s="102" customFormat="1" ht="15">
      <c r="A61" s="454" t="s">
        <v>1717</v>
      </c>
      <c r="B61" s="443"/>
      <c r="C61" s="455" t="s">
        <v>1718</v>
      </c>
      <c r="D61" s="31"/>
      <c r="E61" s="31"/>
      <c r="F61" s="31"/>
      <c r="G61" s="31"/>
      <c r="H61" s="31"/>
      <c r="I61" s="31"/>
      <c r="J61" s="31"/>
      <c r="K61" s="31"/>
      <c r="L61" s="456"/>
      <c r="M61" s="457"/>
      <c r="N61" s="876"/>
      <c r="O61" s="876"/>
      <c r="P61" s="1771"/>
      <c r="Q61" s="438"/>
    </row>
    <row r="62" spans="1:29" s="102" customFormat="1" ht="15.75" thickBot="1">
      <c r="A62" s="454"/>
      <c r="B62" s="443"/>
      <c r="C62" s="444">
        <v>100</v>
      </c>
      <c r="D62" s="445"/>
      <c r="E62" s="445"/>
      <c r="F62" s="445"/>
      <c r="G62" s="445"/>
      <c r="H62" s="445"/>
      <c r="I62" s="445"/>
      <c r="J62" s="445"/>
      <c r="K62" s="445"/>
      <c r="L62" s="445"/>
      <c r="M62" s="447"/>
      <c r="N62" s="876"/>
      <c r="O62" s="876"/>
      <c r="P62" s="1770"/>
      <c r="Q62" s="438"/>
    </row>
    <row r="63" spans="1:29">
      <c r="A63" s="378" t="s">
        <v>1719</v>
      </c>
      <c r="B63" s="459" t="s">
        <v>1685</v>
      </c>
      <c r="C63" s="460">
        <f>C9</f>
        <v>0</v>
      </c>
      <c r="D63" s="461"/>
      <c r="E63" s="461"/>
      <c r="F63" s="461"/>
      <c r="G63" s="461"/>
      <c r="H63" s="461"/>
      <c r="I63" s="461"/>
      <c r="J63" s="461"/>
      <c r="K63" s="462"/>
      <c r="L63" s="463"/>
      <c r="M63" s="464"/>
      <c r="N63" s="877"/>
      <c r="O63" s="877"/>
      <c r="P63" s="1772"/>
      <c r="Q63" s="438"/>
    </row>
    <row r="64" spans="1:29" ht="15.75" thickBot="1">
      <c r="A64" s="366"/>
      <c r="B64" s="465"/>
      <c r="C64" s="466">
        <v>100</v>
      </c>
      <c r="D64" s="466"/>
      <c r="E64" s="466"/>
      <c r="F64" s="466"/>
      <c r="G64" s="466"/>
      <c r="H64" s="466"/>
      <c r="I64" s="466"/>
      <c r="J64" s="466"/>
      <c r="K64" s="466"/>
      <c r="L64" s="466"/>
      <c r="M64" s="467"/>
      <c r="N64" s="878"/>
      <c r="O64" s="878"/>
      <c r="P64" s="1772"/>
      <c r="Q64" s="438"/>
    </row>
    <row r="65" spans="1:17" ht="27.75" thickTop="1">
      <c r="A65" s="366"/>
      <c r="B65" s="468" t="s">
        <v>1688</v>
      </c>
      <c r="C65" s="512"/>
      <c r="D65" s="512"/>
      <c r="E65" s="512"/>
      <c r="F65" s="512"/>
      <c r="G65" s="512"/>
      <c r="H65" s="512"/>
      <c r="I65" s="512"/>
      <c r="J65" s="512"/>
      <c r="K65" s="512"/>
      <c r="L65" s="512"/>
      <c r="M65" s="512"/>
      <c r="N65" s="878"/>
      <c r="O65" s="878"/>
      <c r="P65" s="1772"/>
      <c r="Q65" s="438"/>
    </row>
    <row r="66" spans="1:17" ht="15.75" thickBot="1">
      <c r="A66" s="366"/>
      <c r="B66" s="473"/>
      <c r="C66" s="466"/>
      <c r="D66" s="466"/>
      <c r="E66" s="466"/>
      <c r="F66" s="466"/>
      <c r="G66" s="466"/>
      <c r="H66" s="466"/>
      <c r="I66" s="466"/>
      <c r="J66" s="466"/>
      <c r="K66" s="466"/>
      <c r="L66" s="466"/>
      <c r="M66" s="467"/>
      <c r="N66" s="878"/>
      <c r="O66" s="878"/>
      <c r="P66" s="1772"/>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2"/>
      <c r="Q67" s="438"/>
    </row>
    <row r="68" spans="1:17" ht="15">
      <c r="A68" s="366"/>
      <c r="B68" s="478"/>
      <c r="C68" s="479"/>
      <c r="D68" s="479"/>
      <c r="E68" s="479"/>
      <c r="F68" s="479"/>
      <c r="G68" s="479"/>
      <c r="H68" s="479"/>
      <c r="I68" s="479"/>
      <c r="J68" s="479"/>
      <c r="K68" s="480"/>
      <c r="L68" s="481"/>
      <c r="M68" s="482"/>
      <c r="N68" s="877"/>
      <c r="O68" s="877"/>
      <c r="P68" s="1772"/>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2"/>
      <c r="Q69" s="438"/>
    </row>
    <row r="70" spans="1:17" s="407" customFormat="1" ht="15.75" thickTop="1">
      <c r="A70" s="483"/>
      <c r="B70" s="468">
        <f>B12</f>
        <v>111</v>
      </c>
      <c r="C70" s="484"/>
      <c r="D70" s="484"/>
      <c r="E70" s="484"/>
      <c r="F70" s="484"/>
      <c r="G70" s="484"/>
      <c r="H70" s="485"/>
      <c r="I70" s="485"/>
      <c r="J70" s="485"/>
      <c r="K70" s="485"/>
      <c r="L70" s="486"/>
      <c r="M70" s="487"/>
      <c r="N70" s="879"/>
      <c r="O70" s="879"/>
      <c r="P70" s="1773"/>
      <c r="Q70" s="489"/>
    </row>
    <row r="71" spans="1:17" s="407" customFormat="1" ht="15.75" thickBot="1">
      <c r="A71" s="483"/>
      <c r="B71" s="473"/>
      <c r="C71" s="490"/>
      <c r="D71" s="466"/>
      <c r="E71" s="466"/>
      <c r="F71" s="466"/>
      <c r="G71" s="466"/>
      <c r="H71" s="466"/>
      <c r="I71" s="466"/>
      <c r="J71" s="466"/>
      <c r="K71" s="466"/>
      <c r="L71" s="466"/>
      <c r="M71" s="467"/>
      <c r="N71" s="878"/>
      <c r="O71" s="878"/>
      <c r="P71" s="1773"/>
      <c r="Q71" s="489"/>
    </row>
    <row r="72" spans="1:17" s="407" customFormat="1" ht="15.75" thickTop="1">
      <c r="A72" s="483"/>
      <c r="B72" s="468">
        <f>B13</f>
        <v>111</v>
      </c>
      <c r="C72" s="484"/>
      <c r="D72" s="484"/>
      <c r="E72" s="484"/>
      <c r="F72" s="484"/>
      <c r="G72" s="484"/>
      <c r="H72" s="485"/>
      <c r="I72" s="485"/>
      <c r="J72" s="485"/>
      <c r="K72" s="485"/>
      <c r="L72" s="486"/>
      <c r="M72" s="487"/>
      <c r="N72" s="879"/>
      <c r="O72" s="879"/>
      <c r="P72" s="1774"/>
      <c r="Q72" s="491"/>
    </row>
    <row r="73" spans="1:17" s="407" customFormat="1" ht="15.75" thickBot="1">
      <c r="A73" s="483"/>
      <c r="B73" s="473"/>
      <c r="C73" s="490"/>
      <c r="D73" s="490"/>
      <c r="E73" s="490"/>
      <c r="F73" s="490"/>
      <c r="G73" s="490"/>
      <c r="H73" s="492"/>
      <c r="I73" s="492"/>
      <c r="J73" s="492"/>
      <c r="K73" s="492"/>
      <c r="L73" s="492"/>
      <c r="M73" s="493"/>
      <c r="N73" s="879"/>
      <c r="O73" s="879"/>
      <c r="P73" s="1773"/>
      <c r="Q73" s="489"/>
    </row>
    <row r="74" spans="1:17" s="407" customFormat="1" ht="15.75" thickTop="1">
      <c r="A74" s="483"/>
      <c r="B74" s="476">
        <f>B14</f>
        <v>111</v>
      </c>
      <c r="C74" s="484"/>
      <c r="D74" s="484"/>
      <c r="E74" s="484"/>
      <c r="F74" s="484"/>
      <c r="G74" s="31"/>
      <c r="H74" s="494"/>
      <c r="I74" s="494"/>
      <c r="J74" s="494"/>
      <c r="K74" s="494"/>
      <c r="L74" s="495"/>
      <c r="M74" s="496"/>
      <c r="N74" s="879"/>
      <c r="O74" s="879"/>
      <c r="P74" s="1775"/>
      <c r="Q74" s="489"/>
    </row>
    <row r="75" spans="1:17" s="407" customFormat="1" ht="15.75" thickBot="1">
      <c r="A75" s="498"/>
      <c r="B75" s="499"/>
      <c r="C75" s="500"/>
      <c r="D75" s="500"/>
      <c r="E75" s="500"/>
      <c r="F75" s="500"/>
      <c r="G75" s="500"/>
      <c r="H75" s="501"/>
      <c r="I75" s="501"/>
      <c r="J75" s="501"/>
      <c r="K75" s="501"/>
      <c r="L75" s="501"/>
      <c r="M75" s="502"/>
      <c r="N75" s="879"/>
      <c r="O75" s="879"/>
      <c r="P75" s="1773"/>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6"/>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8"/>
      <c r="O77" s="878"/>
      <c r="P77" s="1772"/>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72"/>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8"/>
      <c r="O79" s="878"/>
      <c r="P79" s="1772"/>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72"/>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8"/>
      <c r="O81" s="878"/>
      <c r="P81" s="1772"/>
      <c r="Q81" s="438"/>
    </row>
    <row r="82" spans="1:17" ht="15.75" thickTop="1">
      <c r="A82" s="366"/>
      <c r="B82" s="476" t="s">
        <v>1260</v>
      </c>
      <c r="C82" s="469" t="s">
        <v>1728</v>
      </c>
      <c r="D82" s="469" t="s">
        <v>1729</v>
      </c>
      <c r="E82" s="469" t="s">
        <v>1730</v>
      </c>
      <c r="F82" s="469" t="s">
        <v>1731</v>
      </c>
      <c r="G82" s="469" t="s">
        <v>1732</v>
      </c>
      <c r="H82" s="469"/>
      <c r="I82" s="469"/>
      <c r="J82" s="469"/>
      <c r="K82" s="469"/>
      <c r="L82" s="469"/>
      <c r="M82" s="1061"/>
      <c r="N82" s="878"/>
      <c r="O82" s="878"/>
      <c r="P82" s="1772"/>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8"/>
      <c r="O83" s="878"/>
      <c r="P83" s="1772"/>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72"/>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8"/>
      <c r="O85" s="878"/>
      <c r="P85" s="1772"/>
      <c r="Q85" s="438"/>
    </row>
    <row r="86" spans="1:17" s="102" customFormat="1" ht="15.75" thickTop="1">
      <c r="A86" s="369"/>
      <c r="B86" s="468" t="s">
        <v>1734</v>
      </c>
      <c r="C86" s="484"/>
      <c r="D86" s="484"/>
      <c r="E86" s="484"/>
      <c r="F86" s="484"/>
      <c r="G86" s="484"/>
      <c r="H86" s="484"/>
      <c r="I86" s="484"/>
      <c r="J86" s="484"/>
      <c r="K86" s="484"/>
      <c r="L86" s="509"/>
      <c r="M86" s="510"/>
      <c r="N86" s="876"/>
      <c r="O86" s="876"/>
      <c r="P86" s="1772"/>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2"/>
      <c r="Q87" s="438"/>
    </row>
    <row r="88" spans="1:17" s="102" customFormat="1" ht="15.75" thickTop="1">
      <c r="A88" s="369"/>
      <c r="B88" s="468" t="s">
        <v>1735</v>
      </c>
      <c r="C88" s="484"/>
      <c r="D88" s="484"/>
      <c r="E88" s="484"/>
      <c r="F88" s="1777"/>
      <c r="G88" s="484"/>
      <c r="H88" s="484"/>
      <c r="I88" s="484"/>
      <c r="J88" s="484"/>
      <c r="K88" s="484"/>
      <c r="L88" s="484"/>
      <c r="M88" s="510"/>
      <c r="N88" s="876"/>
      <c r="O88" s="876"/>
      <c r="P88" s="1772"/>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2"/>
      <c r="Q89" s="438"/>
    </row>
    <row r="90" spans="1:17" s="407" customFormat="1" ht="15.75" thickTop="1">
      <c r="A90" s="483"/>
      <c r="B90" s="468">
        <f>B27</f>
        <v>111</v>
      </c>
      <c r="C90" s="484"/>
      <c r="D90" s="484"/>
      <c r="E90" s="484"/>
      <c r="F90" s="484"/>
      <c r="G90" s="484"/>
      <c r="H90" s="485"/>
      <c r="I90" s="485"/>
      <c r="J90" s="485"/>
      <c r="K90" s="485"/>
      <c r="L90" s="486"/>
      <c r="M90" s="487"/>
      <c r="N90" s="879"/>
      <c r="O90" s="879"/>
      <c r="P90" s="1773"/>
      <c r="Q90" s="489"/>
    </row>
    <row r="91" spans="1:17" s="407" customFormat="1" ht="15.75" thickBot="1">
      <c r="A91" s="483"/>
      <c r="B91" s="473"/>
      <c r="C91" s="490"/>
      <c r="D91" s="490"/>
      <c r="E91" s="490"/>
      <c r="F91" s="490"/>
      <c r="G91" s="490"/>
      <c r="H91" s="492"/>
      <c r="I91" s="492"/>
      <c r="J91" s="492"/>
      <c r="K91" s="492"/>
      <c r="L91" s="492"/>
      <c r="M91" s="493"/>
      <c r="N91" s="879"/>
      <c r="O91" s="879"/>
      <c r="P91" s="1773"/>
      <c r="Q91" s="489"/>
    </row>
    <row r="92" spans="1:17" ht="15.75" thickTop="1">
      <c r="A92" s="366"/>
      <c r="B92" s="468">
        <f>B28</f>
        <v>111</v>
      </c>
      <c r="C92" s="484"/>
      <c r="D92" s="484"/>
      <c r="E92" s="484"/>
      <c r="F92" s="484"/>
      <c r="G92" s="512"/>
      <c r="H92" s="512"/>
      <c r="I92" s="512"/>
      <c r="J92" s="512"/>
      <c r="K92" s="513"/>
      <c r="L92" s="514"/>
      <c r="M92" s="515"/>
      <c r="N92" s="877"/>
      <c r="O92" s="877"/>
      <c r="P92" s="1772"/>
      <c r="Q92" s="438"/>
    </row>
    <row r="93" spans="1:17" ht="15.75" thickBot="1">
      <c r="A93" s="366"/>
      <c r="B93" s="473"/>
      <c r="C93" s="490"/>
      <c r="D93" s="466"/>
      <c r="E93" s="466"/>
      <c r="F93" s="466"/>
      <c r="G93" s="466"/>
      <c r="H93" s="466"/>
      <c r="I93" s="466"/>
      <c r="J93" s="466"/>
      <c r="K93" s="466"/>
      <c r="L93" s="466"/>
      <c r="M93" s="467"/>
      <c r="N93" s="878"/>
      <c r="O93" s="878"/>
      <c r="P93" s="1772"/>
      <c r="Q93" s="438"/>
    </row>
    <row r="94" spans="1:17" ht="15.75" thickTop="1">
      <c r="A94" s="366"/>
      <c r="B94" s="468">
        <f>B29</f>
        <v>111</v>
      </c>
      <c r="C94" s="484"/>
      <c r="D94" s="484"/>
      <c r="E94" s="484"/>
      <c r="F94" s="484"/>
      <c r="G94" s="512"/>
      <c r="H94" s="512"/>
      <c r="I94" s="512"/>
      <c r="J94" s="512"/>
      <c r="K94" s="513"/>
      <c r="L94" s="514"/>
      <c r="M94" s="515"/>
      <c r="N94" s="877"/>
      <c r="O94" s="877"/>
      <c r="P94" s="1772"/>
      <c r="Q94" s="438"/>
    </row>
    <row r="95" spans="1:17" ht="15.75" thickBot="1">
      <c r="A95" s="366"/>
      <c r="B95" s="473"/>
      <c r="C95" s="490"/>
      <c r="D95" s="490"/>
      <c r="E95" s="490"/>
      <c r="F95" s="490"/>
      <c r="G95" s="466"/>
      <c r="H95" s="466"/>
      <c r="I95" s="466"/>
      <c r="J95" s="466"/>
      <c r="K95" s="466"/>
      <c r="L95" s="466"/>
      <c r="M95" s="467"/>
      <c r="N95" s="878"/>
      <c r="O95" s="878"/>
      <c r="P95" s="1772"/>
      <c r="Q95" s="438"/>
    </row>
    <row r="96" spans="1:17" ht="15.75" thickTop="1">
      <c r="A96" s="366"/>
      <c r="B96" s="468">
        <f>B30</f>
        <v>111</v>
      </c>
      <c r="C96" s="484"/>
      <c r="D96" s="484"/>
      <c r="E96" s="484"/>
      <c r="F96" s="484"/>
      <c r="G96" s="512"/>
      <c r="H96" s="512"/>
      <c r="I96" s="512"/>
      <c r="J96" s="512"/>
      <c r="K96" s="513"/>
      <c r="L96" s="514"/>
      <c r="M96" s="515"/>
      <c r="N96" s="877"/>
      <c r="O96" s="877"/>
      <c r="P96" s="1772"/>
      <c r="Q96" s="438"/>
    </row>
    <row r="97" spans="1:17" ht="15.75" thickBot="1">
      <c r="A97" s="366"/>
      <c r="B97" s="473"/>
      <c r="C97" s="500"/>
      <c r="D97" s="500"/>
      <c r="E97" s="500"/>
      <c r="F97" s="500"/>
      <c r="G97" s="466"/>
      <c r="H97" s="466"/>
      <c r="I97" s="466"/>
      <c r="J97" s="466"/>
      <c r="K97" s="466"/>
      <c r="L97" s="466"/>
      <c r="M97" s="467"/>
      <c r="N97" s="878"/>
      <c r="O97" s="878"/>
      <c r="P97" s="1772"/>
      <c r="Q97" s="438"/>
    </row>
    <row r="98" spans="1:17" ht="15.75" thickTop="1">
      <c r="A98" s="366"/>
      <c r="B98" s="476">
        <f>B31</f>
        <v>111</v>
      </c>
      <c r="C98" s="516"/>
      <c r="D98" s="516"/>
      <c r="E98" s="516"/>
      <c r="F98" s="516"/>
      <c r="G98" s="516"/>
      <c r="H98" s="516"/>
      <c r="I98" s="516"/>
      <c r="J98" s="516"/>
      <c r="K98" s="517"/>
      <c r="L98" s="518"/>
      <c r="M98" s="519"/>
      <c r="N98" s="877"/>
      <c r="O98" s="877"/>
      <c r="P98" s="1772"/>
      <c r="Q98" s="438"/>
    </row>
    <row r="99" spans="1:17" ht="15.75" thickBot="1">
      <c r="A99" s="374"/>
      <c r="B99" s="499"/>
      <c r="C99" s="520"/>
      <c r="D99" s="520"/>
      <c r="E99" s="520"/>
      <c r="F99" s="520"/>
      <c r="G99" s="520"/>
      <c r="H99" s="520"/>
      <c r="I99" s="520"/>
      <c r="J99" s="520"/>
      <c r="K99" s="520"/>
      <c r="L99" s="520"/>
      <c r="M99" s="521"/>
      <c r="N99" s="878"/>
      <c r="O99" s="878"/>
      <c r="P99" s="1772"/>
      <c r="Q99" s="438"/>
    </row>
    <row r="100" spans="1:17">
      <c r="A100" s="378" t="s">
        <v>1694</v>
      </c>
      <c r="B100" s="459" t="s">
        <v>1736</v>
      </c>
      <c r="C100" s="461"/>
      <c r="D100" s="461"/>
      <c r="E100" s="461"/>
      <c r="F100" s="461"/>
      <c r="G100" s="461"/>
      <c r="H100" s="461"/>
      <c r="I100" s="461"/>
      <c r="J100" s="461"/>
      <c r="K100" s="462"/>
      <c r="L100" s="463"/>
      <c r="M100" s="464"/>
      <c r="N100" s="877"/>
      <c r="O100" s="877"/>
      <c r="P100" s="1772"/>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2"/>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2"/>
      <c r="Q102" s="438"/>
    </row>
    <row r="103" spans="1:17" s="407" customFormat="1">
      <c r="A103" s="405"/>
      <c r="B103" s="522"/>
      <c r="C103" s="6"/>
      <c r="D103" s="6"/>
      <c r="E103" s="6"/>
      <c r="F103" s="6"/>
      <c r="G103" s="6"/>
      <c r="H103" s="6"/>
      <c r="I103" s="6"/>
      <c r="J103" s="523"/>
      <c r="K103" s="523"/>
      <c r="L103" s="524"/>
      <c r="M103" s="525"/>
      <c r="N103" s="879"/>
      <c r="O103" s="879"/>
      <c r="P103" s="1773"/>
      <c r="Q103" s="489"/>
    </row>
    <row r="104" spans="1:17" s="407" customFormat="1" ht="15.75" thickBot="1">
      <c r="A104" s="483"/>
      <c r="B104" s="473"/>
      <c r="C104" s="490"/>
      <c r="D104" s="466"/>
      <c r="E104" s="466"/>
      <c r="F104" s="466"/>
      <c r="G104" s="466"/>
      <c r="H104" s="466"/>
      <c r="I104" s="466"/>
      <c r="J104" s="466"/>
      <c r="K104" s="466"/>
      <c r="L104" s="466"/>
      <c r="M104" s="466"/>
      <c r="N104" s="878"/>
      <c r="O104" s="878"/>
      <c r="P104" s="1773"/>
      <c r="Q104" s="489"/>
    </row>
    <row r="105" spans="1:17" ht="15" thickTop="1">
      <c r="A105" s="408"/>
      <c r="B105" s="468" t="s">
        <v>1738</v>
      </c>
      <c r="C105" s="484"/>
      <c r="D105" s="484"/>
      <c r="E105" s="512"/>
      <c r="F105" s="512"/>
      <c r="G105" s="512"/>
      <c r="H105" s="512"/>
      <c r="I105" s="512"/>
      <c r="J105" s="512"/>
      <c r="K105" s="513"/>
      <c r="L105" s="514"/>
      <c r="M105" s="515"/>
      <c r="N105" s="877"/>
      <c r="O105" s="877"/>
      <c r="P105" s="1772"/>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2"/>
      <c r="Q106" s="438"/>
    </row>
    <row r="107" spans="1:17" ht="15" thickTop="1">
      <c r="A107" s="408"/>
      <c r="B107" s="468" t="s">
        <v>1739</v>
      </c>
      <c r="C107" s="512"/>
      <c r="D107" s="512"/>
      <c r="E107" s="512"/>
      <c r="F107" s="512"/>
      <c r="G107" s="512"/>
      <c r="H107" s="512"/>
      <c r="I107" s="512"/>
      <c r="J107" s="512"/>
      <c r="K107" s="513"/>
      <c r="L107" s="514"/>
      <c r="M107" s="515"/>
      <c r="N107" s="877"/>
      <c r="O107" s="877"/>
      <c r="P107" s="1772"/>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2"/>
      <c r="Q108" s="438"/>
    </row>
    <row r="109" spans="1:17" ht="15" thickTop="1">
      <c r="A109" s="408"/>
      <c r="B109" s="468" t="s">
        <v>1740</v>
      </c>
      <c r="C109" s="484"/>
      <c r="D109" s="484"/>
      <c r="E109" s="484"/>
      <c r="F109" s="512"/>
      <c r="G109" s="512"/>
      <c r="H109" s="512"/>
      <c r="I109" s="512"/>
      <c r="J109" s="512"/>
      <c r="K109" s="513"/>
      <c r="L109" s="514"/>
      <c r="M109" s="515"/>
      <c r="N109" s="877"/>
      <c r="O109" s="877"/>
      <c r="P109" s="1772"/>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3"/>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3"/>
      <c r="Q113" s="489"/>
    </row>
    <row r="114" spans="1:17" ht="15" thickTop="1">
      <c r="A114" s="408"/>
      <c r="B114" s="468" t="s">
        <v>1741</v>
      </c>
      <c r="C114" s="484"/>
      <c r="D114" s="484"/>
      <c r="E114" s="512"/>
      <c r="F114" s="512"/>
      <c r="G114" s="512"/>
      <c r="H114" s="512"/>
      <c r="I114" s="512"/>
      <c r="J114" s="512"/>
      <c r="K114" s="513"/>
      <c r="L114" s="514"/>
      <c r="M114" s="515"/>
      <c r="N114" s="877"/>
      <c r="O114" s="877"/>
      <c r="P114" s="1772"/>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2"/>
      <c r="Q115" s="438"/>
    </row>
    <row r="116" spans="1:17" ht="15" thickTop="1">
      <c r="A116" s="408"/>
      <c r="B116" s="468" t="s">
        <v>1742</v>
      </c>
      <c r="C116" s="484"/>
      <c r="D116" s="484"/>
      <c r="E116" s="484"/>
      <c r="F116" s="484"/>
      <c r="G116" s="484"/>
      <c r="H116" s="512"/>
      <c r="I116" s="512"/>
      <c r="J116" s="512"/>
      <c r="K116" s="513"/>
      <c r="L116" s="514"/>
      <c r="M116" s="515"/>
      <c r="N116" s="877"/>
      <c r="O116" s="877"/>
      <c r="P116" s="1772"/>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2"/>
      <c r="Q117" s="438"/>
    </row>
    <row r="118" spans="1:17" ht="15" thickTop="1">
      <c r="A118" s="408"/>
      <c r="B118" s="468" t="s">
        <v>1743</v>
      </c>
      <c r="C118" s="512"/>
      <c r="D118" s="512"/>
      <c r="E118" s="512"/>
      <c r="F118" s="512"/>
      <c r="G118" s="512"/>
      <c r="H118" s="512"/>
      <c r="I118" s="512"/>
      <c r="J118" s="512"/>
      <c r="K118" s="513"/>
      <c r="L118" s="514"/>
      <c r="M118" s="515"/>
      <c r="N118" s="877"/>
      <c r="O118" s="877"/>
      <c r="P118" s="1772"/>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2"/>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73"/>
      <c r="Q120" s="489"/>
    </row>
    <row r="121" spans="1:17" s="407" customFormat="1" ht="15.75" thickBot="1">
      <c r="A121" s="483"/>
      <c r="B121" s="465"/>
      <c r="C121" s="490"/>
      <c r="D121" s="466"/>
      <c r="E121" s="466"/>
      <c r="F121" s="466"/>
      <c r="G121" s="466"/>
      <c r="H121" s="466"/>
      <c r="I121" s="466"/>
      <c r="J121" s="466"/>
      <c r="K121" s="466"/>
      <c r="L121" s="466"/>
      <c r="M121" s="466"/>
      <c r="N121" s="879"/>
      <c r="O121" s="879"/>
      <c r="P121" s="1773"/>
      <c r="Q121" s="489"/>
    </row>
    <row r="122" spans="1:17" ht="15" thickTop="1">
      <c r="A122" s="408"/>
      <c r="B122" s="468" t="s">
        <v>1744</v>
      </c>
      <c r="C122" s="484"/>
      <c r="D122" s="484"/>
      <c r="E122" s="484"/>
      <c r="F122" s="512"/>
      <c r="G122" s="512"/>
      <c r="H122" s="512"/>
      <c r="I122" s="512"/>
      <c r="J122" s="512"/>
      <c r="K122" s="513"/>
      <c r="L122" s="514"/>
      <c r="M122" s="515"/>
      <c r="N122" s="877"/>
      <c r="O122" s="877"/>
      <c r="P122" s="1772"/>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2"/>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3"/>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2"/>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73"/>
      <c r="Q126" s="489"/>
    </row>
    <row r="127" spans="1:17" s="407" customFormat="1" ht="15.75" thickBot="1">
      <c r="A127" s="483"/>
      <c r="B127" s="473"/>
      <c r="C127" s="490"/>
      <c r="D127" s="466"/>
      <c r="E127" s="466"/>
      <c r="F127" s="466"/>
      <c r="G127" s="490"/>
      <c r="H127" s="492"/>
      <c r="I127" s="492"/>
      <c r="J127" s="492"/>
      <c r="K127" s="492"/>
      <c r="L127" s="492"/>
      <c r="M127" s="493"/>
      <c r="N127" s="879"/>
      <c r="O127" s="879"/>
      <c r="P127" s="1773"/>
      <c r="Q127" s="489"/>
    </row>
    <row r="128" spans="1:17" ht="15" thickTop="1">
      <c r="A128" s="408"/>
      <c r="B128" s="468">
        <f>B45</f>
        <v>111</v>
      </c>
      <c r="C128" s="484"/>
      <c r="D128" s="484"/>
      <c r="E128" s="484"/>
      <c r="F128" s="484"/>
      <c r="G128" s="512"/>
      <c r="H128" s="512"/>
      <c r="I128" s="512"/>
      <c r="J128" s="512"/>
      <c r="K128" s="513"/>
      <c r="L128" s="514"/>
      <c r="M128" s="515"/>
      <c r="N128" s="877"/>
      <c r="O128" s="877"/>
      <c r="P128" s="1772"/>
      <c r="Q128" s="438"/>
    </row>
    <row r="129" spans="1:17" ht="15.75" thickBot="1">
      <c r="A129" s="366"/>
      <c r="B129" s="473"/>
      <c r="C129" s="490"/>
      <c r="D129" s="490"/>
      <c r="E129" s="490"/>
      <c r="F129" s="490"/>
      <c r="G129" s="466"/>
      <c r="H129" s="466"/>
      <c r="I129" s="466"/>
      <c r="J129" s="466"/>
      <c r="K129" s="466"/>
      <c r="L129" s="466"/>
      <c r="M129" s="467"/>
      <c r="N129" s="878"/>
      <c r="O129" s="878"/>
      <c r="P129" s="1772"/>
      <c r="Q129" s="438"/>
    </row>
    <row r="130" spans="1:17" ht="15" thickTop="1">
      <c r="A130" s="408"/>
      <c r="B130" s="476">
        <f>B46</f>
        <v>111</v>
      </c>
      <c r="C130" s="484"/>
      <c r="D130" s="484"/>
      <c r="E130" s="484"/>
      <c r="F130" s="484"/>
      <c r="G130" s="516"/>
      <c r="H130" s="516"/>
      <c r="I130" s="516"/>
      <c r="J130" s="516"/>
      <c r="K130" s="31"/>
      <c r="L130" s="456"/>
      <c r="M130" s="519"/>
      <c r="N130" s="877"/>
      <c r="O130" s="877"/>
      <c r="P130" s="1772"/>
      <c r="Q130" s="438"/>
    </row>
    <row r="131" spans="1:17" ht="15.75" thickBot="1">
      <c r="A131" s="374"/>
      <c r="B131" s="499"/>
      <c r="C131" s="500"/>
      <c r="D131" s="500"/>
      <c r="E131" s="500"/>
      <c r="F131" s="500"/>
      <c r="G131" s="520"/>
      <c r="H131" s="520"/>
      <c r="I131" s="520"/>
      <c r="J131" s="520"/>
      <c r="K131" s="520"/>
      <c r="L131" s="520"/>
      <c r="M131" s="521"/>
      <c r="N131" s="878"/>
      <c r="O131" s="878"/>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2">
        <f>ROUNDUP((J139-1)/2,0)</f>
        <v>10</v>
      </c>
      <c r="K140" s="823">
        <v>100</v>
      </c>
    </row>
    <row r="141" spans="1:17" ht="15">
      <c r="B141" s="818">
        <v>4</v>
      </c>
      <c r="C141" s="819">
        <v>102</v>
      </c>
      <c r="D141" s="819"/>
      <c r="E141" s="820"/>
      <c r="F141" s="821">
        <v>101.5</v>
      </c>
      <c r="G141" s="819"/>
      <c r="H141" s="822"/>
      <c r="I141" s="1791" t="s">
        <v>1758</v>
      </c>
      <c r="J141" s="262">
        <v>1</v>
      </c>
      <c r="K141" s="824">
        <f>ROUND(100+(J141-J140)*K139*100,1)</f>
        <v>96.4</v>
      </c>
    </row>
    <row r="142" spans="1:17" ht="15">
      <c r="B142" s="818">
        <v>3</v>
      </c>
      <c r="C142" s="819">
        <v>103</v>
      </c>
      <c r="D142" s="819"/>
      <c r="E142" s="820"/>
      <c r="F142" s="821">
        <v>101</v>
      </c>
      <c r="G142" s="819"/>
      <c r="H142" s="822"/>
      <c r="I142" s="1791" t="s">
        <v>1759</v>
      </c>
      <c r="J142" s="262">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5.75"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c r="B147" s="1778" t="s">
        <v>1764</v>
      </c>
    </row>
    <row r="148" spans="2:11">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1766</v>
      </c>
      <c r="C1" s="1152" t="s">
        <v>1662</v>
      </c>
      <c r="D1" s="1139"/>
      <c r="E1" s="3122"/>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501"/>
      <c r="M2" s="2502"/>
      <c r="N2" s="2502"/>
      <c r="O2" s="2502"/>
      <c r="P2" s="1801"/>
      <c r="Q2" s="857"/>
      <c r="R2" s="857"/>
      <c r="S2" s="857"/>
      <c r="T2" s="857"/>
      <c r="U2" s="857"/>
      <c r="V2" s="857"/>
      <c r="W2" s="857"/>
      <c r="X2" s="857"/>
      <c r="Y2" s="857"/>
      <c r="Z2" s="857"/>
      <c r="AA2" s="857"/>
      <c r="AB2" s="857"/>
      <c r="AC2" s="1802"/>
    </row>
    <row r="3" spans="1:29" s="341" customFormat="1" ht="28.5" customHeight="1" thickBot="1">
      <c r="A3" s="194" t="s">
        <v>1464</v>
      </c>
      <c r="B3" s="535">
        <f>IF(C2="——",C49,ROUND(B2*10000/D3,0))</f>
        <v>0</v>
      </c>
      <c r="C3" s="343" t="s">
        <v>1768</v>
      </c>
      <c r="D3" s="342">
        <f>IF(D1="",'数据-汇总表'!E3,SUMIF('数据-汇总表'!$C19:$C33,D1,'数据-汇总表'!$E19:$E33))</f>
        <v>48377.229999999996</v>
      </c>
      <c r="E3" s="1802"/>
      <c r="F3" s="854"/>
      <c r="G3" s="853"/>
      <c r="H3" s="853"/>
      <c r="I3" s="853"/>
      <c r="J3" s="853"/>
      <c r="K3" s="855"/>
      <c r="L3" s="2501"/>
      <c r="M3" s="2502"/>
      <c r="N3" s="2502"/>
      <c r="O3" s="2502"/>
      <c r="P3" s="1801"/>
      <c r="Q3" s="857"/>
      <c r="R3" s="857"/>
      <c r="S3" s="857"/>
      <c r="T3" s="857"/>
      <c r="U3" s="857"/>
      <c r="V3" s="857"/>
      <c r="W3" s="857"/>
      <c r="X3" s="857"/>
      <c r="Y3" s="857"/>
      <c r="Z3" s="857"/>
      <c r="AA3" s="857"/>
      <c r="AB3" s="857"/>
      <c r="AC3" s="1802"/>
    </row>
    <row r="4" spans="1:29" ht="15">
      <c r="A4" s="344" t="s">
        <v>1769</v>
      </c>
      <c r="B4" s="345"/>
      <c r="C4" s="3439" t="s">
        <v>1770</v>
      </c>
      <c r="D4" s="3440"/>
      <c r="E4" s="3441" t="s">
        <v>1771</v>
      </c>
      <c r="F4" s="3442"/>
      <c r="G4" s="3439" t="s">
        <v>1772</v>
      </c>
      <c r="H4" s="3440"/>
      <c r="I4" s="3439" t="s">
        <v>1773</v>
      </c>
      <c r="J4" s="3440"/>
      <c r="K4" s="536" t="s">
        <v>1774</v>
      </c>
      <c r="L4" s="2484"/>
      <c r="M4" s="2485"/>
      <c r="N4" s="2485"/>
      <c r="O4" s="2485"/>
      <c r="P4" s="3443" t="s">
        <v>1775</v>
      </c>
      <c r="Q4" s="3444"/>
      <c r="R4" s="3449" t="s">
        <v>1771</v>
      </c>
      <c r="S4" s="3450"/>
      <c r="T4" s="3449" t="s">
        <v>1772</v>
      </c>
      <c r="U4" s="3450"/>
      <c r="V4" s="3425" t="s">
        <v>1773</v>
      </c>
      <c r="W4" s="3425"/>
      <c r="X4" s="1262"/>
      <c r="Y4" s="3449" t="s">
        <v>1775</v>
      </c>
      <c r="Z4" s="3450"/>
      <c r="AA4" s="3436" t="s">
        <v>1771</v>
      </c>
      <c r="AB4" s="3425" t="s">
        <v>1772</v>
      </c>
      <c r="AC4" s="3436" t="s">
        <v>1773</v>
      </c>
    </row>
    <row r="5" spans="1:29" ht="15">
      <c r="A5" s="347"/>
      <c r="B5" s="348"/>
      <c r="C5" s="3457" t="s">
        <v>1673</v>
      </c>
      <c r="D5" s="3458"/>
      <c r="E5" s="3464" t="s">
        <v>1674</v>
      </c>
      <c r="F5" s="3465"/>
      <c r="G5" s="3457" t="s">
        <v>1675</v>
      </c>
      <c r="H5" s="3458"/>
      <c r="I5" s="3457" t="s">
        <v>1676</v>
      </c>
      <c r="J5" s="3458"/>
      <c r="K5" s="536"/>
      <c r="L5" s="2484"/>
      <c r="M5" s="2485"/>
      <c r="N5" s="2485"/>
      <c r="O5" s="2485"/>
      <c r="P5" s="3445"/>
      <c r="Q5" s="3446"/>
      <c r="R5" s="3451"/>
      <c r="S5" s="3452"/>
      <c r="T5" s="3451"/>
      <c r="U5" s="3452"/>
      <c r="V5" s="3425"/>
      <c r="W5" s="3425"/>
      <c r="X5" s="1262"/>
      <c r="Y5" s="3451"/>
      <c r="Z5" s="3452"/>
      <c r="AA5" s="3437"/>
      <c r="AB5" s="3425"/>
      <c r="AC5" s="3437"/>
    </row>
    <row r="6" spans="1:29" ht="15.75" thickBot="1">
      <c r="A6" s="349"/>
      <c r="B6" s="350"/>
      <c r="C6" s="3455" t="s">
        <v>1677</v>
      </c>
      <c r="D6" s="3456"/>
      <c r="E6" s="3462" t="s">
        <v>1677</v>
      </c>
      <c r="F6" s="3463"/>
      <c r="G6" s="3455" t="s">
        <v>1677</v>
      </c>
      <c r="H6" s="3456"/>
      <c r="I6" s="3455" t="s">
        <v>1677</v>
      </c>
      <c r="J6" s="3456"/>
      <c r="K6" s="536" t="s">
        <v>1678</v>
      </c>
      <c r="L6" s="2484"/>
      <c r="M6" s="2485"/>
      <c r="N6" s="2485"/>
      <c r="O6" s="2485"/>
      <c r="P6" s="3447"/>
      <c r="Q6" s="3448"/>
      <c r="R6" s="3451"/>
      <c r="S6" s="3452"/>
      <c r="T6" s="3453"/>
      <c r="U6" s="3454"/>
      <c r="V6" s="3425"/>
      <c r="W6" s="3425"/>
      <c r="X6" s="1262"/>
      <c r="Y6" s="3453"/>
      <c r="Z6" s="3454"/>
      <c r="AA6" s="3438"/>
      <c r="AB6" s="3425"/>
      <c r="AC6" s="3438"/>
    </row>
    <row r="7" spans="1:29" s="102" customFormat="1" ht="15.75" thickBot="1">
      <c r="A7" s="351" t="s">
        <v>1679</v>
      </c>
      <c r="B7" s="352"/>
      <c r="C7" s="353">
        <f>'数据-取费表'!B2</f>
        <v>45607</v>
      </c>
      <c r="D7" s="354">
        <v>100</v>
      </c>
      <c r="E7" s="355"/>
      <c r="F7" s="356">
        <f>SUMIF(58:58,YEAR(E7)&amp;"-"&amp;MONTH(E7),59:59)</f>
        <v>0</v>
      </c>
      <c r="G7" s="355"/>
      <c r="H7" s="354">
        <f>SUMIF(58:58,YEAR(G7)&amp;"-"&amp;MONTH(G7),59:59)</f>
        <v>0</v>
      </c>
      <c r="I7" s="355"/>
      <c r="J7" s="354">
        <f>SUMIF(58:58,YEAR(I7)&amp;"-"&amp;MONTH(I7),59:59)</f>
        <v>0</v>
      </c>
      <c r="K7" s="38"/>
      <c r="L7" s="2486"/>
      <c r="M7" s="2437"/>
      <c r="N7" s="2437"/>
      <c r="O7" s="2437"/>
      <c r="P7" s="3459" t="s">
        <v>1680</v>
      </c>
      <c r="Q7" s="3461"/>
      <c r="R7" s="662" t="s">
        <v>14</v>
      </c>
      <c r="S7" s="663">
        <f t="shared" ref="S7:S15" si="0">F7</f>
        <v>0</v>
      </c>
      <c r="T7" s="662" t="s">
        <v>14</v>
      </c>
      <c r="U7" s="663">
        <f t="shared" ref="U7:U15" si="1">H7</f>
        <v>0</v>
      </c>
      <c r="V7" s="662" t="s">
        <v>14</v>
      </c>
      <c r="W7" s="663">
        <f t="shared" ref="W7:W15" si="2">J7</f>
        <v>0</v>
      </c>
      <c r="X7" s="664"/>
      <c r="Y7" s="3459" t="s">
        <v>1680</v>
      </c>
      <c r="Z7" s="3460"/>
      <c r="AA7" s="50" t="e">
        <f>D7/F7</f>
        <v>#DIV/0!</v>
      </c>
      <c r="AB7" s="50" t="e">
        <f>D7/H7</f>
        <v>#DIV/0!</v>
      </c>
      <c r="AC7" s="50" t="e">
        <f>D7/J7</f>
        <v>#DIV/0!</v>
      </c>
    </row>
    <row r="8" spans="1:29" s="102"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6"/>
      <c r="M8" s="2437"/>
      <c r="N8" s="2437"/>
      <c r="O8" s="2437"/>
      <c r="P8" s="3459" t="s">
        <v>1683</v>
      </c>
      <c r="Q8" s="3460"/>
      <c r="R8" s="662" t="s">
        <v>14</v>
      </c>
      <c r="S8" s="663">
        <f t="shared" si="0"/>
        <v>100</v>
      </c>
      <c r="T8" s="662" t="s">
        <v>14</v>
      </c>
      <c r="U8" s="663">
        <f t="shared" si="1"/>
        <v>100</v>
      </c>
      <c r="V8" s="662" t="s">
        <v>14</v>
      </c>
      <c r="W8" s="663">
        <f t="shared" si="2"/>
        <v>100</v>
      </c>
      <c r="X8" s="664"/>
      <c r="Y8" s="3459" t="s">
        <v>1683</v>
      </c>
      <c r="Z8" s="3460"/>
      <c r="AA8" s="50">
        <f t="shared" ref="AA8:AA46" si="3">D8/F8</f>
        <v>1</v>
      </c>
      <c r="AB8" s="50">
        <f t="shared" ref="AB8:AB46" si="4">D8/H8</f>
        <v>1</v>
      </c>
      <c r="AC8" s="50">
        <f t="shared" ref="AC8:AC46" si="5">D8/J8</f>
        <v>1</v>
      </c>
    </row>
    <row r="9" spans="1:29" s="102"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6"/>
      <c r="M9" s="2437"/>
      <c r="N9" s="2437"/>
      <c r="O9" s="2437"/>
      <c r="P9" s="3435" t="s">
        <v>1686</v>
      </c>
      <c r="Q9" s="529" t="str">
        <f t="shared" ref="Q9:Q15" si="6">B9</f>
        <v>用途</v>
      </c>
      <c r="R9" s="662" t="s">
        <v>14</v>
      </c>
      <c r="S9" s="663">
        <f t="shared" si="0"/>
        <v>100</v>
      </c>
      <c r="T9" s="662" t="s">
        <v>14</v>
      </c>
      <c r="U9" s="663">
        <f t="shared" si="1"/>
        <v>100</v>
      </c>
      <c r="V9" s="662" t="s">
        <v>14</v>
      </c>
      <c r="W9" s="663">
        <f t="shared" si="2"/>
        <v>100</v>
      </c>
      <c r="X9" s="664"/>
      <c r="Y9" s="3298" t="s">
        <v>1687</v>
      </c>
      <c r="Z9" s="50" t="str">
        <f t="shared" ref="Z9:Z15" si="7">Q9</f>
        <v>用途</v>
      </c>
      <c r="AA9" s="50">
        <f t="shared" si="3"/>
        <v>1</v>
      </c>
      <c r="AB9" s="50">
        <f t="shared" si="4"/>
        <v>1</v>
      </c>
      <c r="AC9" s="50">
        <f t="shared" si="5"/>
        <v>1</v>
      </c>
    </row>
    <row r="10" spans="1:29" s="365" customFormat="1" ht="27">
      <c r="A10" s="362"/>
      <c r="B10" s="363" t="s">
        <v>1688</v>
      </c>
      <c r="C10" s="3130"/>
      <c r="D10" s="119">
        <v>100</v>
      </c>
      <c r="E10" s="3131"/>
      <c r="F10" s="363">
        <f>SUMIF(65:65,E10,66:66)-SUMIF(65:65,C10,66:66)+100</f>
        <v>100</v>
      </c>
      <c r="G10" s="3130"/>
      <c r="H10" s="119">
        <f>SUMIF(65:65,G10,66:66)-SUMIF(65:65,C10,66:66)+100</f>
        <v>100</v>
      </c>
      <c r="I10" s="3130"/>
      <c r="J10" s="119">
        <f>SUMIF(65:65,I10,66:66)-SUMIF(65:65,C10,66:66)+100</f>
        <v>100</v>
      </c>
      <c r="K10" s="38"/>
      <c r="L10" s="2487"/>
      <c r="M10" s="2488"/>
      <c r="N10" s="2488"/>
      <c r="O10" s="2488"/>
      <c r="P10" s="3435"/>
      <c r="Q10" s="529" t="str">
        <f t="shared" si="6"/>
        <v>土地使用年限（年）</v>
      </c>
      <c r="R10" s="662" t="s">
        <v>14</v>
      </c>
      <c r="S10" s="663">
        <f t="shared" si="0"/>
        <v>100</v>
      </c>
      <c r="T10" s="662" t="s">
        <v>14</v>
      </c>
      <c r="U10" s="663">
        <f t="shared" si="1"/>
        <v>100</v>
      </c>
      <c r="V10" s="662" t="s">
        <v>14</v>
      </c>
      <c r="W10" s="663">
        <f t="shared" si="2"/>
        <v>100</v>
      </c>
      <c r="X10" s="664"/>
      <c r="Y10" s="3298"/>
      <c r="Z10" s="50" t="str">
        <f t="shared" si="7"/>
        <v>土地使用年限（年）</v>
      </c>
      <c r="AA10" s="50">
        <f t="shared" si="3"/>
        <v>1</v>
      </c>
      <c r="AB10" s="50">
        <f t="shared" si="4"/>
        <v>1</v>
      </c>
      <c r="AC10" s="50">
        <f t="shared" si="5"/>
        <v>1</v>
      </c>
    </row>
    <row r="11" spans="1:29" ht="15">
      <c r="A11" s="366"/>
      <c r="B11" s="363" t="s">
        <v>1689</v>
      </c>
      <c r="C11" s="367"/>
      <c r="D11" s="119">
        <v>100</v>
      </c>
      <c r="E11" s="368"/>
      <c r="F11" s="363" t="e">
        <f>LOOKUP(E11,68:68,69:69)-LOOKUP(C11,68:68,69:69)+100</f>
        <v>#N/A</v>
      </c>
      <c r="G11" s="367"/>
      <c r="H11" s="119" t="e">
        <f>LOOKUP(G11,68:68,69:69)-LOOKUP(C11,68:68,69:69)+100</f>
        <v>#N/A</v>
      </c>
      <c r="I11" s="367"/>
      <c r="J11" s="119" t="e">
        <f>LOOKUP(I11,68:68,69:69)-LOOKUP(C11,68:68,69:69)+100</f>
        <v>#N/A</v>
      </c>
      <c r="K11" s="537"/>
      <c r="L11" s="2489"/>
      <c r="M11" s="2485"/>
      <c r="N11" s="2485"/>
      <c r="O11" s="2485"/>
      <c r="P11" s="3435"/>
      <c r="Q11" s="529" t="str">
        <f t="shared" si="6"/>
        <v>容积率</v>
      </c>
      <c r="R11" s="662" t="s">
        <v>14</v>
      </c>
      <c r="S11" s="663" t="e">
        <f t="shared" si="0"/>
        <v>#N/A</v>
      </c>
      <c r="T11" s="662" t="s">
        <v>14</v>
      </c>
      <c r="U11" s="663" t="e">
        <f t="shared" si="1"/>
        <v>#N/A</v>
      </c>
      <c r="V11" s="662" t="s">
        <v>14</v>
      </c>
      <c r="W11" s="663" t="e">
        <f t="shared" si="2"/>
        <v>#N/A</v>
      </c>
      <c r="X11" s="664"/>
      <c r="Y11" s="3298"/>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9">
        <f>SUMIF(70:70,G12,71:71)-SUMIF(70:70,C12,71:71)+100</f>
        <v>100</v>
      </c>
      <c r="I12" s="372"/>
      <c r="J12" s="119">
        <f>SUMIF(70:70,I12,71:71)-SUMIF(70:70,C12,71:71)+100</f>
        <v>100</v>
      </c>
      <c r="K12" s="538"/>
      <c r="L12" s="2486"/>
      <c r="M12" s="2437"/>
      <c r="N12" s="2437"/>
      <c r="O12" s="2437"/>
      <c r="P12" s="3435"/>
      <c r="Q12" s="529">
        <f t="shared" si="6"/>
        <v>111</v>
      </c>
      <c r="R12" s="662" t="s">
        <v>14</v>
      </c>
      <c r="S12" s="663">
        <f t="shared" si="0"/>
        <v>100</v>
      </c>
      <c r="T12" s="662" t="s">
        <v>14</v>
      </c>
      <c r="U12" s="663">
        <f t="shared" si="1"/>
        <v>100</v>
      </c>
      <c r="V12" s="662" t="s">
        <v>14</v>
      </c>
      <c r="W12" s="663">
        <f t="shared" si="2"/>
        <v>100</v>
      </c>
      <c r="X12" s="664"/>
      <c r="Y12" s="329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435"/>
      <c r="Q13" s="529">
        <f t="shared" si="6"/>
        <v>111</v>
      </c>
      <c r="R13" s="662" t="s">
        <v>14</v>
      </c>
      <c r="S13" s="663">
        <f t="shared" si="0"/>
        <v>100</v>
      </c>
      <c r="T13" s="662" t="s">
        <v>14</v>
      </c>
      <c r="U13" s="663">
        <f t="shared" si="1"/>
        <v>100</v>
      </c>
      <c r="V13" s="662" t="s">
        <v>14</v>
      </c>
      <c r="W13" s="663">
        <f t="shared" si="2"/>
        <v>100</v>
      </c>
      <c r="X13" s="664"/>
      <c r="Y13" s="3298"/>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435"/>
      <c r="Q14" s="529">
        <f t="shared" si="6"/>
        <v>111</v>
      </c>
      <c r="R14" s="662" t="s">
        <v>14</v>
      </c>
      <c r="S14" s="663">
        <f t="shared" si="0"/>
        <v>100</v>
      </c>
      <c r="T14" s="662" t="s">
        <v>14</v>
      </c>
      <c r="U14" s="663">
        <f t="shared" si="1"/>
        <v>100</v>
      </c>
      <c r="V14" s="662" t="s">
        <v>14</v>
      </c>
      <c r="W14" s="663">
        <f t="shared" si="2"/>
        <v>100</v>
      </c>
      <c r="X14" s="664"/>
      <c r="Y14" s="3298"/>
      <c r="Z14" s="50">
        <f t="shared" si="7"/>
        <v>111</v>
      </c>
      <c r="AA14" s="50">
        <f t="shared" si="3"/>
        <v>1</v>
      </c>
      <c r="AB14" s="50">
        <f t="shared" si="4"/>
        <v>1</v>
      </c>
      <c r="AC14" s="50">
        <f t="shared" si="5"/>
        <v>1</v>
      </c>
    </row>
    <row r="15" spans="1:29" ht="71.25">
      <c r="A15" s="378" t="s">
        <v>1690</v>
      </c>
      <c r="B15" s="58" t="s">
        <v>1777</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433" t="s">
        <v>1691</v>
      </c>
      <c r="Q15" s="1260" t="str">
        <f t="shared" si="6"/>
        <v>商业繁华度</v>
      </c>
      <c r="R15" s="665" t="s">
        <v>14</v>
      </c>
      <c r="S15" s="666">
        <f t="shared" si="0"/>
        <v>100</v>
      </c>
      <c r="T15" s="665" t="s">
        <v>14</v>
      </c>
      <c r="U15" s="666">
        <f t="shared" si="1"/>
        <v>100</v>
      </c>
      <c r="V15" s="665" t="s">
        <v>14</v>
      </c>
      <c r="W15" s="666">
        <f t="shared" si="2"/>
        <v>100</v>
      </c>
      <c r="X15" s="1262"/>
      <c r="Y15" s="3426" t="s">
        <v>1691</v>
      </c>
      <c r="Z15" s="1261" t="str">
        <f t="shared" si="7"/>
        <v>商业繁华度</v>
      </c>
      <c r="AA15" s="1261">
        <f t="shared" si="3"/>
        <v>1</v>
      </c>
      <c r="AB15" s="1261">
        <f t="shared" si="4"/>
        <v>1</v>
      </c>
      <c r="AC15" s="1261">
        <f t="shared" si="5"/>
        <v>1</v>
      </c>
    </row>
    <row r="16" spans="1:29" ht="15">
      <c r="A16" s="366"/>
      <c r="B16" s="384"/>
      <c r="C16" s="385"/>
      <c r="D16" s="386"/>
      <c r="E16" s="385"/>
      <c r="F16" s="387"/>
      <c r="G16" s="385"/>
      <c r="H16" s="388"/>
      <c r="I16" s="385"/>
      <c r="J16" s="386"/>
      <c r="K16" s="540"/>
      <c r="L16" s="2490"/>
      <c r="M16" s="2485"/>
      <c r="N16" s="2485"/>
      <c r="O16" s="2485"/>
      <c r="P16" s="3434"/>
      <c r="Q16" s="1260"/>
      <c r="R16" s="665"/>
      <c r="S16" s="666"/>
      <c r="T16" s="665"/>
      <c r="U16" s="666"/>
      <c r="V16" s="665"/>
      <c r="W16" s="666"/>
      <c r="X16" s="1262"/>
      <c r="Y16" s="3427"/>
      <c r="Z16" s="1261"/>
      <c r="AA16" s="1261">
        <v>1</v>
      </c>
      <c r="AB16" s="1261">
        <v>1</v>
      </c>
      <c r="AC16" s="1261">
        <v>1</v>
      </c>
    </row>
    <row r="17" spans="1:29" ht="85.5">
      <c r="A17" s="366"/>
      <c r="B17" s="389" t="s">
        <v>1259</v>
      </c>
      <c r="C17" s="1751"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434"/>
      <c r="Q17" s="1260" t="str">
        <f>B17</f>
        <v>交通便捷度</v>
      </c>
      <c r="R17" s="665" t="s">
        <v>14</v>
      </c>
      <c r="S17" s="666">
        <f>F17</f>
        <v>100</v>
      </c>
      <c r="T17" s="665" t="s">
        <v>14</v>
      </c>
      <c r="U17" s="666">
        <f>H17</f>
        <v>100</v>
      </c>
      <c r="V17" s="665" t="s">
        <v>14</v>
      </c>
      <c r="W17" s="666">
        <f>J17</f>
        <v>100</v>
      </c>
      <c r="X17" s="1262"/>
      <c r="Y17" s="3427"/>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2490"/>
      <c r="M18" s="2485"/>
      <c r="N18" s="2485"/>
      <c r="O18" s="2485"/>
      <c r="P18" s="3434"/>
      <c r="Q18" s="1260"/>
      <c r="R18" s="665"/>
      <c r="S18" s="666"/>
      <c r="T18" s="665"/>
      <c r="U18" s="666"/>
      <c r="V18" s="665"/>
      <c r="W18" s="666"/>
      <c r="X18" s="1262"/>
      <c r="Y18" s="3427"/>
      <c r="Z18" s="1261"/>
      <c r="AA18" s="1261">
        <v>1</v>
      </c>
      <c r="AB18" s="1261">
        <v>1</v>
      </c>
      <c r="AC18" s="1261">
        <v>1</v>
      </c>
    </row>
    <row r="19" spans="1:29" ht="42.75">
      <c r="A19" s="366"/>
      <c r="B19" s="389" t="s">
        <v>1778</v>
      </c>
      <c r="C19" s="1751"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434"/>
      <c r="Q19" s="1260" t="str">
        <f>B19</f>
        <v>公共配套设施</v>
      </c>
      <c r="R19" s="665" t="s">
        <v>14</v>
      </c>
      <c r="S19" s="666">
        <f>F19</f>
        <v>100</v>
      </c>
      <c r="T19" s="665" t="s">
        <v>14</v>
      </c>
      <c r="U19" s="666">
        <f>H19</f>
        <v>100</v>
      </c>
      <c r="V19" s="665" t="s">
        <v>14</v>
      </c>
      <c r="W19" s="666">
        <f>J19</f>
        <v>100</v>
      </c>
      <c r="X19" s="1262"/>
      <c r="Y19" s="3427"/>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2490"/>
      <c r="M20" s="2485"/>
      <c r="N20" s="2485"/>
      <c r="O20" s="2485"/>
      <c r="P20" s="3434"/>
      <c r="Q20" s="1260"/>
      <c r="R20" s="665"/>
      <c r="S20" s="666"/>
      <c r="T20" s="665"/>
      <c r="U20" s="666"/>
      <c r="V20" s="665"/>
      <c r="W20" s="666"/>
      <c r="X20" s="1262"/>
      <c r="Y20" s="3427"/>
      <c r="Z20" s="1261"/>
      <c r="AA20" s="1261">
        <v>1</v>
      </c>
      <c r="AB20" s="1261">
        <v>1</v>
      </c>
      <c r="AC20" s="1261">
        <v>1</v>
      </c>
    </row>
    <row r="21" spans="1:29" ht="28.5">
      <c r="A21" s="366"/>
      <c r="B21" s="585" t="s">
        <v>1779</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434"/>
      <c r="Q21" s="1260" t="str">
        <f>B21</f>
        <v>基础设施水平</v>
      </c>
      <c r="R21" s="665" t="s">
        <v>14</v>
      </c>
      <c r="S21" s="666">
        <f>F21</f>
        <v>100</v>
      </c>
      <c r="T21" s="665" t="s">
        <v>14</v>
      </c>
      <c r="U21" s="666">
        <f>H21</f>
        <v>100</v>
      </c>
      <c r="V21" s="665" t="s">
        <v>14</v>
      </c>
      <c r="W21" s="666">
        <f>J21</f>
        <v>100</v>
      </c>
      <c r="X21" s="1262"/>
      <c r="Y21" s="3427"/>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7"/>
      <c r="G22" s="385"/>
      <c r="H22" s="386"/>
      <c r="I22" s="385"/>
      <c r="J22" s="386"/>
      <c r="K22" s="1062"/>
      <c r="L22" s="2490"/>
      <c r="M22" s="2485"/>
      <c r="N22" s="2485"/>
      <c r="O22" s="2485"/>
      <c r="P22" s="3434"/>
      <c r="Q22" s="1260"/>
      <c r="R22" s="665"/>
      <c r="S22" s="666"/>
      <c r="T22" s="665"/>
      <c r="U22" s="666"/>
      <c r="V22" s="665"/>
      <c r="W22" s="666"/>
      <c r="X22" s="1262"/>
      <c r="Y22" s="3427"/>
      <c r="Z22" s="1261"/>
      <c r="AA22" s="1261">
        <v>1</v>
      </c>
      <c r="AB22" s="1261">
        <v>1</v>
      </c>
      <c r="AC22" s="1261">
        <v>1</v>
      </c>
    </row>
    <row r="23" spans="1:29" ht="57">
      <c r="A23" s="366"/>
      <c r="B23" s="389" t="s">
        <v>1261</v>
      </c>
      <c r="C23" s="1803"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434"/>
      <c r="Q23" s="1260" t="str">
        <f>B23</f>
        <v>自然及人文环境</v>
      </c>
      <c r="R23" s="665" t="s">
        <v>14</v>
      </c>
      <c r="S23" s="666">
        <f>F23</f>
        <v>100</v>
      </c>
      <c r="T23" s="665" t="s">
        <v>14</v>
      </c>
      <c r="U23" s="666">
        <f>H23</f>
        <v>100</v>
      </c>
      <c r="V23" s="665" t="s">
        <v>14</v>
      </c>
      <c r="W23" s="666">
        <f>J23</f>
        <v>100</v>
      </c>
      <c r="X23" s="1262"/>
      <c r="Y23" s="3427"/>
      <c r="Z23" s="1261" t="str">
        <f>Q23</f>
        <v>自然及人文环境</v>
      </c>
      <c r="AA23" s="1261">
        <f t="shared" si="3"/>
        <v>1</v>
      </c>
      <c r="AB23" s="1261">
        <f t="shared" si="4"/>
        <v>1</v>
      </c>
      <c r="AC23" s="1261">
        <f t="shared" si="5"/>
        <v>1</v>
      </c>
    </row>
    <row r="24" spans="1:29" ht="15">
      <c r="A24" s="366"/>
      <c r="B24" s="394"/>
      <c r="C24" s="385"/>
      <c r="D24" s="386"/>
      <c r="E24" s="1749"/>
      <c r="F24" s="387"/>
      <c r="G24" s="1748"/>
      <c r="H24" s="386"/>
      <c r="I24" s="1749"/>
      <c r="J24" s="386"/>
      <c r="K24" s="540"/>
      <c r="L24" s="2490"/>
      <c r="M24" s="2485"/>
      <c r="N24" s="2485"/>
      <c r="O24" s="2485"/>
      <c r="P24" s="3434"/>
      <c r="Q24" s="1260"/>
      <c r="R24" s="665"/>
      <c r="S24" s="666"/>
      <c r="T24" s="665"/>
      <c r="U24" s="666"/>
      <c r="V24" s="665"/>
      <c r="W24" s="666"/>
      <c r="X24" s="1262"/>
      <c r="Y24" s="3427"/>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434"/>
      <c r="Q25" s="1260" t="str">
        <f t="shared" ref="Q25:Q46" si="11">B25</f>
        <v>临街状况</v>
      </c>
      <c r="R25" s="665" t="s">
        <v>14</v>
      </c>
      <c r="S25" s="666">
        <f>F25</f>
        <v>100</v>
      </c>
      <c r="T25" s="665" t="s">
        <v>14</v>
      </c>
      <c r="U25" s="666">
        <f>H25</f>
        <v>100</v>
      </c>
      <c r="V25" s="665" t="s">
        <v>14</v>
      </c>
      <c r="W25" s="666">
        <f>J25</f>
        <v>100</v>
      </c>
      <c r="X25" s="1262"/>
      <c r="Y25" s="3427"/>
      <c r="Z25" s="1261" t="str">
        <f>Q25</f>
        <v>临街状况</v>
      </c>
      <c r="AA25" s="1261">
        <f t="shared" si="3"/>
        <v>1</v>
      </c>
      <c r="AB25" s="1261">
        <f t="shared" si="4"/>
        <v>1</v>
      </c>
      <c r="AC25" s="1261">
        <f t="shared" si="5"/>
        <v>1</v>
      </c>
    </row>
    <row r="26" spans="1:29" ht="15">
      <c r="A26" s="366"/>
      <c r="B26" s="1064" t="s">
        <v>1781</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434"/>
      <c r="Q26" s="1260" t="str">
        <f t="shared" si="11"/>
        <v>平面位置/可视性</v>
      </c>
      <c r="R26" s="665" t="s">
        <v>14</v>
      </c>
      <c r="S26" s="666">
        <f>F26</f>
        <v>100</v>
      </c>
      <c r="T26" s="665" t="s">
        <v>14</v>
      </c>
      <c r="U26" s="666">
        <f>H26</f>
        <v>100</v>
      </c>
      <c r="V26" s="665" t="s">
        <v>14</v>
      </c>
      <c r="W26" s="666">
        <f>J26</f>
        <v>100</v>
      </c>
      <c r="X26" s="1262"/>
      <c r="Y26" s="3427"/>
      <c r="Z26" s="1261" t="str">
        <f>Q26</f>
        <v>平面位置/可视性</v>
      </c>
      <c r="AA26" s="1261">
        <f t="shared" si="3"/>
        <v>1</v>
      </c>
      <c r="AB26" s="1261">
        <f t="shared" si="4"/>
        <v>1</v>
      </c>
      <c r="AC26" s="1261">
        <f t="shared" si="5"/>
        <v>1</v>
      </c>
    </row>
    <row r="27" spans="1:29" s="102" customFormat="1" ht="15">
      <c r="A27" s="369"/>
      <c r="B27" s="389" t="s">
        <v>1782</v>
      </c>
      <c r="C27" s="1804"/>
      <c r="D27" s="400">
        <v>100</v>
      </c>
      <c r="E27" s="1804"/>
      <c r="F27" s="394">
        <f>SUMIF(90:90,E27,91:91)-SUMIF(90:90,C27,91:91)+100</f>
        <v>100</v>
      </c>
      <c r="G27" s="1804"/>
      <c r="H27" s="400">
        <f>SUMIF(90:90,G27,91:91)-SUMIF(90:90,C27,91:91)+100</f>
        <v>100</v>
      </c>
      <c r="I27" s="1804"/>
      <c r="J27" s="400">
        <f>SUMIF(90:90,I27,91:91)-SUMIF(90:90,C27,91:91)+100</f>
        <v>100</v>
      </c>
      <c r="K27" s="537"/>
      <c r="L27" s="2486"/>
      <c r="M27" s="2437"/>
      <c r="N27" s="2437"/>
      <c r="O27" s="2437"/>
      <c r="P27" s="3434"/>
      <c r="Q27" s="529" t="str">
        <f t="shared" si="11"/>
        <v>人流量</v>
      </c>
      <c r="R27" s="662" t="s">
        <v>14</v>
      </c>
      <c r="S27" s="663">
        <f>F27</f>
        <v>100</v>
      </c>
      <c r="T27" s="662" t="s">
        <v>14</v>
      </c>
      <c r="U27" s="663">
        <f>H27</f>
        <v>100</v>
      </c>
      <c r="V27" s="662" t="s">
        <v>14</v>
      </c>
      <c r="W27" s="663">
        <f>J27</f>
        <v>100</v>
      </c>
      <c r="X27" s="664"/>
      <c r="Y27" s="3427"/>
      <c r="Z27" s="50" t="str">
        <f>Q27</f>
        <v>人流量</v>
      </c>
      <c r="AA27" s="1261">
        <f>D27/F27</f>
        <v>1</v>
      </c>
      <c r="AB27" s="1261">
        <f>D27/H27</f>
        <v>1</v>
      </c>
      <c r="AC27" s="1261">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434"/>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27"/>
      <c r="Z28" s="1261" t="str">
        <f t="shared" ref="Z28:Z46" si="15">Q28</f>
        <v>楼层</v>
      </c>
      <c r="AA28" s="1261">
        <f t="shared" si="3"/>
        <v>1</v>
      </c>
      <c r="AB28" s="1261">
        <f t="shared" si="4"/>
        <v>1</v>
      </c>
      <c r="AC28" s="1261">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434"/>
      <c r="Q29" s="1260">
        <f t="shared" si="11"/>
        <v>111</v>
      </c>
      <c r="R29" s="665" t="s">
        <v>14</v>
      </c>
      <c r="S29" s="666">
        <f t="shared" si="12"/>
        <v>100</v>
      </c>
      <c r="T29" s="665" t="s">
        <v>14</v>
      </c>
      <c r="U29" s="666">
        <f t="shared" si="13"/>
        <v>100</v>
      </c>
      <c r="V29" s="665" t="s">
        <v>14</v>
      </c>
      <c r="W29" s="666">
        <f t="shared" si="14"/>
        <v>100</v>
      </c>
      <c r="X29" s="1262"/>
      <c r="Y29" s="3427"/>
      <c r="Z29" s="1261">
        <f t="shared" si="15"/>
        <v>111</v>
      </c>
      <c r="AA29" s="1261">
        <f t="shared" si="3"/>
        <v>1</v>
      </c>
      <c r="AB29" s="1261">
        <f t="shared" si="4"/>
        <v>1</v>
      </c>
      <c r="AC29" s="1261">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434"/>
      <c r="Q30" s="1260">
        <f t="shared" si="11"/>
        <v>111</v>
      </c>
      <c r="R30" s="665" t="s">
        <v>14</v>
      </c>
      <c r="S30" s="666">
        <f t="shared" si="12"/>
        <v>100</v>
      </c>
      <c r="T30" s="665" t="s">
        <v>14</v>
      </c>
      <c r="U30" s="666">
        <f t="shared" si="13"/>
        <v>100</v>
      </c>
      <c r="V30" s="665" t="s">
        <v>14</v>
      </c>
      <c r="W30" s="666">
        <f t="shared" si="14"/>
        <v>100</v>
      </c>
      <c r="X30" s="1262"/>
      <c r="Y30" s="3427"/>
      <c r="Z30" s="1261">
        <f t="shared" si="15"/>
        <v>111</v>
      </c>
      <c r="AA30" s="1261">
        <f t="shared" si="3"/>
        <v>1</v>
      </c>
      <c r="AB30" s="1261">
        <f t="shared" si="4"/>
        <v>1</v>
      </c>
      <c r="AC30" s="1261">
        <f t="shared" si="5"/>
        <v>1</v>
      </c>
    </row>
    <row r="31" spans="1:29" ht="15.75"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434"/>
      <c r="Q31" s="1260">
        <f t="shared" si="11"/>
        <v>111</v>
      </c>
      <c r="R31" s="665" t="s">
        <v>14</v>
      </c>
      <c r="S31" s="666">
        <f t="shared" si="12"/>
        <v>100</v>
      </c>
      <c r="T31" s="665" t="s">
        <v>14</v>
      </c>
      <c r="U31" s="666">
        <f t="shared" si="13"/>
        <v>100</v>
      </c>
      <c r="V31" s="665" t="s">
        <v>14</v>
      </c>
      <c r="W31" s="666">
        <f t="shared" si="14"/>
        <v>100</v>
      </c>
      <c r="X31" s="1262"/>
      <c r="Y31" s="3427"/>
      <c r="Z31" s="1261">
        <f t="shared" si="15"/>
        <v>111</v>
      </c>
      <c r="AA31" s="1261">
        <f t="shared" si="3"/>
        <v>1</v>
      </c>
      <c r="AB31" s="1261">
        <f t="shared" si="4"/>
        <v>1</v>
      </c>
      <c r="AC31" s="1261">
        <f t="shared" si="5"/>
        <v>1</v>
      </c>
    </row>
    <row r="32" spans="1:29" ht="15">
      <c r="A32" s="378" t="s">
        <v>1694</v>
      </c>
      <c r="B32" s="60" t="s">
        <v>1784</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90"/>
      <c r="M32" s="2485"/>
      <c r="N32" s="2485"/>
      <c r="O32" s="2485"/>
      <c r="P32" s="3428" t="s">
        <v>1696</v>
      </c>
      <c r="Q32" s="1260" t="str">
        <f t="shared" si="11"/>
        <v>商业类型</v>
      </c>
      <c r="R32" s="665" t="s">
        <v>14</v>
      </c>
      <c r="S32" s="666">
        <f t="shared" si="12"/>
        <v>100</v>
      </c>
      <c r="T32" s="665" t="s">
        <v>14</v>
      </c>
      <c r="U32" s="666">
        <f t="shared" si="13"/>
        <v>100</v>
      </c>
      <c r="V32" s="665" t="s">
        <v>14</v>
      </c>
      <c r="W32" s="666">
        <f t="shared" si="14"/>
        <v>100</v>
      </c>
      <c r="X32" s="1262"/>
      <c r="Y32" s="3431" t="s">
        <v>1696</v>
      </c>
      <c r="Z32" s="1261" t="str">
        <f t="shared" si="15"/>
        <v>商业类型</v>
      </c>
      <c r="AA32" s="1261">
        <f t="shared" si="3"/>
        <v>1</v>
      </c>
      <c r="AB32" s="1261">
        <f t="shared" si="4"/>
        <v>1</v>
      </c>
      <c r="AC32" s="1261">
        <f t="shared" si="5"/>
        <v>1</v>
      </c>
    </row>
    <row r="33" spans="1:29" s="407" customFormat="1" ht="15">
      <c r="A33" s="405"/>
      <c r="B33" s="363" t="s">
        <v>1697</v>
      </c>
      <c r="C33" s="406"/>
      <c r="D33" s="119">
        <v>100</v>
      </c>
      <c r="E33" s="368"/>
      <c r="F33" s="363" t="e">
        <f>LOOKUP(E33,103:103,104:104)-LOOKUP(C33,103:103,104:104)+100</f>
        <v>#N/A</v>
      </c>
      <c r="G33" s="367"/>
      <c r="H33" s="119" t="e">
        <f>LOOKUP(G33,103:103,104:104)-LOOKUP(C33,103:103,104:104)+100</f>
        <v>#N/A</v>
      </c>
      <c r="I33" s="367"/>
      <c r="J33" s="119" t="e">
        <f>LOOKUP(I33,103:103,104:104)-LOOKUP(C33,103:103,104:104)+100</f>
        <v>#N/A</v>
      </c>
      <c r="K33" s="538"/>
      <c r="L33" s="2489"/>
      <c r="M33" s="2491"/>
      <c r="N33" s="2491"/>
      <c r="O33" s="2491"/>
      <c r="P33" s="3429"/>
      <c r="Q33" s="530" t="str">
        <f t="shared" si="11"/>
        <v>项目建筑规模</v>
      </c>
      <c r="R33" s="667" t="s">
        <v>14</v>
      </c>
      <c r="S33" s="668" t="e">
        <f t="shared" si="12"/>
        <v>#N/A</v>
      </c>
      <c r="T33" s="667" t="s">
        <v>14</v>
      </c>
      <c r="U33" s="668" t="e">
        <f t="shared" si="13"/>
        <v>#N/A</v>
      </c>
      <c r="V33" s="667" t="s">
        <v>14</v>
      </c>
      <c r="W33" s="668" t="e">
        <f t="shared" si="14"/>
        <v>#N/A</v>
      </c>
      <c r="X33" s="669"/>
      <c r="Y33" s="3431"/>
      <c r="Z33" s="670" t="str">
        <f t="shared" si="15"/>
        <v>项目建筑规模</v>
      </c>
      <c r="AA33" s="1261" t="e">
        <f t="shared" si="3"/>
        <v>#N/A</v>
      </c>
      <c r="AB33" s="1261" t="e">
        <f t="shared" si="4"/>
        <v>#N/A</v>
      </c>
      <c r="AC33" s="1261"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429"/>
      <c r="Q34" s="1260" t="str">
        <f t="shared" si="11"/>
        <v>建筑结构</v>
      </c>
      <c r="R34" s="665" t="s">
        <v>14</v>
      </c>
      <c r="S34" s="666">
        <f t="shared" si="12"/>
        <v>100</v>
      </c>
      <c r="T34" s="665" t="s">
        <v>14</v>
      </c>
      <c r="U34" s="666">
        <f t="shared" si="13"/>
        <v>100</v>
      </c>
      <c r="V34" s="665" t="s">
        <v>14</v>
      </c>
      <c r="W34" s="666">
        <f t="shared" si="14"/>
        <v>100</v>
      </c>
      <c r="X34" s="1262"/>
      <c r="Y34" s="3431"/>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90"/>
      <c r="M35" s="2485"/>
      <c r="N35" s="2485"/>
      <c r="O35" s="2485"/>
      <c r="P35" s="3429"/>
      <c r="Q35" s="1260" t="str">
        <f t="shared" si="11"/>
        <v>公共部分装修</v>
      </c>
      <c r="R35" s="665" t="s">
        <v>14</v>
      </c>
      <c r="S35" s="666">
        <f t="shared" si="12"/>
        <v>100</v>
      </c>
      <c r="T35" s="665" t="s">
        <v>14</v>
      </c>
      <c r="U35" s="666">
        <f t="shared" si="13"/>
        <v>100</v>
      </c>
      <c r="V35" s="665" t="s">
        <v>14</v>
      </c>
      <c r="W35" s="666">
        <f t="shared" si="14"/>
        <v>100</v>
      </c>
      <c r="X35" s="1262"/>
      <c r="Y35" s="3431"/>
      <c r="Z35" s="1261" t="str">
        <f t="shared" si="15"/>
        <v>公共部分装修</v>
      </c>
      <c r="AA35" s="1261">
        <f t="shared" si="3"/>
        <v>1</v>
      </c>
      <c r="AB35" s="1261">
        <f t="shared" si="4"/>
        <v>1</v>
      </c>
      <c r="AC35" s="1261">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429"/>
      <c r="Q36" s="1260" t="str">
        <f t="shared" si="11"/>
        <v>成新度</v>
      </c>
      <c r="R36" s="665" t="s">
        <v>14</v>
      </c>
      <c r="S36" s="666" t="e">
        <f t="shared" si="12"/>
        <v>#N/A</v>
      </c>
      <c r="T36" s="665" t="s">
        <v>14</v>
      </c>
      <c r="U36" s="666" t="e">
        <f t="shared" si="13"/>
        <v>#N/A</v>
      </c>
      <c r="V36" s="665" t="s">
        <v>14</v>
      </c>
      <c r="W36" s="666" t="e">
        <f t="shared" si="14"/>
        <v>#N/A</v>
      </c>
      <c r="X36" s="1262"/>
      <c r="Y36" s="3431"/>
      <c r="Z36" s="1261" t="str">
        <f t="shared" si="15"/>
        <v>成新度</v>
      </c>
      <c r="AA36" s="1261" t="e">
        <f t="shared" si="3"/>
        <v>#N/A</v>
      </c>
      <c r="AB36" s="1261" t="e">
        <f t="shared" si="4"/>
        <v>#N/A</v>
      </c>
      <c r="AC36" s="1261" t="e">
        <f t="shared" si="5"/>
        <v>#N/A</v>
      </c>
    </row>
    <row r="37" spans="1:29" s="102" customFormat="1" ht="15">
      <c r="A37" s="409"/>
      <c r="B37" s="363" t="s">
        <v>1787</v>
      </c>
      <c r="C37" s="1757"/>
      <c r="D37" s="119">
        <v>100</v>
      </c>
      <c r="E37" s="1757"/>
      <c r="F37" s="399">
        <f>SUMIF(112:112,E37,113:113)-SUMIF(112:112,C37,113:113)+100</f>
        <v>100</v>
      </c>
      <c r="G37" s="1757"/>
      <c r="H37" s="373">
        <f>SUMIF(112:112,G37,113:113)-SUMIF(112:112,C37,113:113)+100</f>
        <v>100</v>
      </c>
      <c r="I37" s="1757"/>
      <c r="J37" s="373">
        <f>SUMIF(112:112,I37,113:113)-SUMIF(112:112,C37,113:113)+100</f>
        <v>100</v>
      </c>
      <c r="K37" s="537"/>
      <c r="L37" s="2486"/>
      <c r="M37" s="2437"/>
      <c r="N37" s="2437"/>
      <c r="O37" s="2437"/>
      <c r="P37" s="3429"/>
      <c r="Q37" s="529" t="str">
        <f t="shared" si="11"/>
        <v>市政基础设施</v>
      </c>
      <c r="R37" s="662" t="s">
        <v>14</v>
      </c>
      <c r="S37" s="663">
        <f t="shared" si="12"/>
        <v>100</v>
      </c>
      <c r="T37" s="662" t="s">
        <v>14</v>
      </c>
      <c r="U37" s="663">
        <f t="shared" si="13"/>
        <v>100</v>
      </c>
      <c r="V37" s="662" t="s">
        <v>14</v>
      </c>
      <c r="W37" s="663">
        <f t="shared" si="14"/>
        <v>100</v>
      </c>
      <c r="X37" s="664"/>
      <c r="Y37" s="3431"/>
      <c r="Z37" s="50" t="str">
        <f t="shared" si="15"/>
        <v>市政基础设施</v>
      </c>
      <c r="AA37" s="50">
        <f t="shared" si="3"/>
        <v>1</v>
      </c>
      <c r="AB37" s="50">
        <f t="shared" si="4"/>
        <v>1</v>
      </c>
      <c r="AC37" s="50">
        <f t="shared" si="5"/>
        <v>1</v>
      </c>
    </row>
    <row r="38" spans="1:29" ht="15">
      <c r="A38" s="408"/>
      <c r="B38" s="363" t="s">
        <v>1788</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90"/>
      <c r="M38" s="2485"/>
      <c r="N38" s="2485"/>
      <c r="O38" s="2485"/>
      <c r="P38" s="3429" t="s">
        <v>1696</v>
      </c>
      <c r="Q38" s="1260" t="str">
        <f t="shared" si="11"/>
        <v>业态</v>
      </c>
      <c r="R38" s="665" t="s">
        <v>14</v>
      </c>
      <c r="S38" s="666">
        <f t="shared" si="12"/>
        <v>100</v>
      </c>
      <c r="T38" s="665" t="s">
        <v>14</v>
      </c>
      <c r="U38" s="666">
        <f t="shared" si="13"/>
        <v>100</v>
      </c>
      <c r="V38" s="665" t="s">
        <v>14</v>
      </c>
      <c r="W38" s="666">
        <f t="shared" si="14"/>
        <v>100</v>
      </c>
      <c r="X38" s="1262"/>
      <c r="Y38" s="3431" t="s">
        <v>1696</v>
      </c>
      <c r="Z38" s="1261" t="str">
        <f t="shared" si="15"/>
        <v>业态</v>
      </c>
      <c r="AA38" s="1261">
        <f t="shared" si="3"/>
        <v>1</v>
      </c>
      <c r="AB38" s="1261">
        <f t="shared" si="4"/>
        <v>1</v>
      </c>
      <c r="AC38" s="1261">
        <f t="shared" si="5"/>
        <v>1</v>
      </c>
    </row>
    <row r="39" spans="1:29" ht="15">
      <c r="A39" s="408"/>
      <c r="B39" s="363" t="s">
        <v>1789</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90"/>
      <c r="M39" s="2485"/>
      <c r="N39" s="2485"/>
      <c r="O39" s="2485"/>
      <c r="P39" s="3429"/>
      <c r="Q39" s="1260" t="str">
        <f t="shared" si="11"/>
        <v>层高</v>
      </c>
      <c r="R39" s="665" t="s">
        <v>14</v>
      </c>
      <c r="S39" s="666">
        <f t="shared" si="12"/>
        <v>100</v>
      </c>
      <c r="T39" s="665" t="s">
        <v>14</v>
      </c>
      <c r="U39" s="666">
        <f t="shared" si="13"/>
        <v>100</v>
      </c>
      <c r="V39" s="665" t="s">
        <v>14</v>
      </c>
      <c r="W39" s="666">
        <f t="shared" si="14"/>
        <v>100</v>
      </c>
      <c r="X39" s="1262"/>
      <c r="Y39" s="3431"/>
      <c r="Z39" s="1261" t="str">
        <f t="shared" si="15"/>
        <v>层高</v>
      </c>
      <c r="AA39" s="1261">
        <f t="shared" si="3"/>
        <v>1</v>
      </c>
      <c r="AB39" s="1261">
        <f t="shared" si="4"/>
        <v>1</v>
      </c>
      <c r="AC39" s="1261">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429"/>
      <c r="Q40" s="1260" t="str">
        <f t="shared" si="11"/>
        <v>单套建筑面积</v>
      </c>
      <c r="R40" s="665" t="s">
        <v>14</v>
      </c>
      <c r="S40" s="666">
        <f t="shared" si="12"/>
        <v>100</v>
      </c>
      <c r="T40" s="665" t="s">
        <v>14</v>
      </c>
      <c r="U40" s="666">
        <f t="shared" si="13"/>
        <v>100</v>
      </c>
      <c r="V40" s="665" t="s">
        <v>14</v>
      </c>
      <c r="W40" s="666">
        <f t="shared" si="14"/>
        <v>100</v>
      </c>
      <c r="X40" s="1262"/>
      <c r="Y40" s="3431"/>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429"/>
      <c r="Q41" s="530" t="str">
        <f t="shared" si="11"/>
        <v>进深比</v>
      </c>
      <c r="R41" s="667" t="s">
        <v>14</v>
      </c>
      <c r="S41" s="668">
        <f t="shared" si="12"/>
        <v>100</v>
      </c>
      <c r="T41" s="667" t="s">
        <v>14</v>
      </c>
      <c r="U41" s="668">
        <f t="shared" si="13"/>
        <v>100</v>
      </c>
      <c r="V41" s="667" t="s">
        <v>14</v>
      </c>
      <c r="W41" s="668">
        <f t="shared" si="14"/>
        <v>100</v>
      </c>
      <c r="X41" s="669"/>
      <c r="Y41" s="3431"/>
      <c r="Z41" s="670" t="str">
        <f t="shared" si="15"/>
        <v>进深比</v>
      </c>
      <c r="AA41" s="1261">
        <f t="shared" si="3"/>
        <v>1</v>
      </c>
      <c r="AB41" s="1261">
        <f t="shared" si="4"/>
        <v>1</v>
      </c>
      <c r="AC41" s="1261">
        <f t="shared" si="5"/>
        <v>1</v>
      </c>
    </row>
    <row r="42" spans="1:29" ht="15">
      <c r="A42" s="408"/>
      <c r="B42" s="363" t="s">
        <v>1792</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90"/>
      <c r="M42" s="2485"/>
      <c r="N42" s="2485"/>
      <c r="O42" s="2485"/>
      <c r="P42" s="3429"/>
      <c r="Q42" s="1260" t="str">
        <f t="shared" si="11"/>
        <v>内部装修</v>
      </c>
      <c r="R42" s="665" t="s">
        <v>14</v>
      </c>
      <c r="S42" s="666">
        <f t="shared" si="12"/>
        <v>100</v>
      </c>
      <c r="T42" s="665" t="s">
        <v>14</v>
      </c>
      <c r="U42" s="666">
        <f t="shared" si="13"/>
        <v>100</v>
      </c>
      <c r="V42" s="665" t="s">
        <v>14</v>
      </c>
      <c r="W42" s="666">
        <f t="shared" si="14"/>
        <v>100</v>
      </c>
      <c r="X42" s="1262"/>
      <c r="Y42" s="3431"/>
      <c r="Z42" s="1261" t="str">
        <f t="shared" si="15"/>
        <v>内部装修</v>
      </c>
      <c r="AA42" s="1261">
        <f t="shared" si="3"/>
        <v>1</v>
      </c>
      <c r="AB42" s="1261">
        <f t="shared" si="4"/>
        <v>1</v>
      </c>
      <c r="AC42" s="1261">
        <f t="shared" si="5"/>
        <v>1</v>
      </c>
    </row>
    <row r="43" spans="1:29" ht="15">
      <c r="A43" s="408"/>
      <c r="B43" s="363" t="s">
        <v>1707</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90"/>
      <c r="M43" s="2485"/>
      <c r="N43" s="2485"/>
      <c r="O43" s="2485"/>
      <c r="P43" s="3429"/>
      <c r="Q43" s="1260" t="str">
        <f t="shared" si="11"/>
        <v>内部装修维护情况</v>
      </c>
      <c r="R43" s="665" t="s">
        <v>14</v>
      </c>
      <c r="S43" s="666">
        <f t="shared" si="12"/>
        <v>100</v>
      </c>
      <c r="T43" s="665" t="s">
        <v>14</v>
      </c>
      <c r="U43" s="666">
        <f t="shared" si="13"/>
        <v>100</v>
      </c>
      <c r="V43" s="665" t="s">
        <v>14</v>
      </c>
      <c r="W43" s="666">
        <f t="shared" si="14"/>
        <v>100</v>
      </c>
      <c r="X43" s="1262"/>
      <c r="Y43" s="3431"/>
      <c r="Z43" s="1261" t="str">
        <f t="shared" si="15"/>
        <v>内部装修维护情况</v>
      </c>
      <c r="AA43" s="1261">
        <f t="shared" si="3"/>
        <v>1</v>
      </c>
      <c r="AB43" s="1261">
        <f t="shared" si="4"/>
        <v>1</v>
      </c>
      <c r="AC43" s="1261">
        <f t="shared" si="5"/>
        <v>1</v>
      </c>
    </row>
    <row r="44" spans="1:29" s="102" customFormat="1" ht="15">
      <c r="A44" s="409"/>
      <c r="B44" s="1064">
        <v>111</v>
      </c>
      <c r="C44" s="406"/>
      <c r="D44" s="119">
        <v>100</v>
      </c>
      <c r="E44" s="372"/>
      <c r="F44" s="363">
        <f>SUMIF(126:126,E44,127:127)-SUMIF(126:126,C44,127:127)+100</f>
        <v>100</v>
      </c>
      <c r="G44" s="372"/>
      <c r="H44" s="119">
        <f>SUMIF(126:126,G44,127:127)-SUMIF(126:126,C44,127:127)+100</f>
        <v>100</v>
      </c>
      <c r="I44" s="372"/>
      <c r="J44" s="119">
        <f>SUMIF(126:126,I44,127:127)-SUMIF(126:126,C44,127:127)+100</f>
        <v>100</v>
      </c>
      <c r="K44" s="538"/>
      <c r="L44" s="2486"/>
      <c r="M44" s="2437"/>
      <c r="N44" s="2437"/>
      <c r="O44" s="2437"/>
      <c r="P44" s="3429"/>
      <c r="Q44" s="529">
        <f t="shared" si="11"/>
        <v>111</v>
      </c>
      <c r="R44" s="662" t="s">
        <v>14</v>
      </c>
      <c r="S44" s="663">
        <f t="shared" si="12"/>
        <v>100</v>
      </c>
      <c r="T44" s="662" t="s">
        <v>14</v>
      </c>
      <c r="U44" s="663">
        <f t="shared" si="13"/>
        <v>100</v>
      </c>
      <c r="V44" s="662" t="s">
        <v>14</v>
      </c>
      <c r="W44" s="663">
        <f t="shared" si="14"/>
        <v>100</v>
      </c>
      <c r="X44" s="664"/>
      <c r="Y44" s="3431"/>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429"/>
      <c r="Q45" s="1260">
        <f t="shared" si="11"/>
        <v>111</v>
      </c>
      <c r="R45" s="665" t="s">
        <v>14</v>
      </c>
      <c r="S45" s="666">
        <f t="shared" si="12"/>
        <v>100</v>
      </c>
      <c r="T45" s="665" t="s">
        <v>14</v>
      </c>
      <c r="U45" s="666">
        <f t="shared" si="13"/>
        <v>100</v>
      </c>
      <c r="V45" s="665" t="s">
        <v>14</v>
      </c>
      <c r="W45" s="666">
        <f t="shared" si="14"/>
        <v>100</v>
      </c>
      <c r="X45" s="1262"/>
      <c r="Y45" s="3431"/>
      <c r="Z45" s="1261">
        <f t="shared" si="15"/>
        <v>111</v>
      </c>
      <c r="AA45" s="1261">
        <f t="shared" si="3"/>
        <v>1</v>
      </c>
      <c r="AB45" s="1261">
        <f t="shared" si="4"/>
        <v>1</v>
      </c>
      <c r="AC45" s="1261">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430"/>
      <c r="Q46" s="1260">
        <f t="shared" si="11"/>
        <v>111</v>
      </c>
      <c r="R46" s="665" t="s">
        <v>14</v>
      </c>
      <c r="S46" s="666">
        <f t="shared" si="12"/>
        <v>100</v>
      </c>
      <c r="T46" s="665" t="s">
        <v>14</v>
      </c>
      <c r="U46" s="666">
        <f t="shared" si="13"/>
        <v>100</v>
      </c>
      <c r="V46" s="665" t="s">
        <v>14</v>
      </c>
      <c r="W46" s="666">
        <f t="shared" si="14"/>
        <v>100</v>
      </c>
      <c r="X46" s="1262"/>
      <c r="Y46" s="3432"/>
      <c r="Z46" s="1261">
        <f t="shared" si="15"/>
        <v>111</v>
      </c>
      <c r="AA46" s="1261">
        <f t="shared" si="3"/>
        <v>1</v>
      </c>
      <c r="AB46" s="1261">
        <f t="shared" si="4"/>
        <v>1</v>
      </c>
      <c r="AC46" s="1261">
        <f t="shared" si="5"/>
        <v>1</v>
      </c>
    </row>
    <row r="47" spans="1:29" ht="15">
      <c r="A47" s="415" t="s">
        <v>1708</v>
      </c>
      <c r="B47" s="416"/>
      <c r="C47" s="1078" t="s">
        <v>0</v>
      </c>
      <c r="D47" s="417"/>
      <c r="E47" s="418"/>
      <c r="F47" s="419"/>
      <c r="G47" s="420"/>
      <c r="H47" s="421"/>
      <c r="I47" s="418"/>
      <c r="J47" s="421"/>
      <c r="K47" s="672"/>
      <c r="L47" s="2492"/>
      <c r="M47" s="2485"/>
      <c r="N47" s="2485"/>
      <c r="O47" s="2485"/>
      <c r="P47" s="3424" t="str">
        <f>A47</f>
        <v>成交单价（元/平方米）</v>
      </c>
      <c r="Q47" s="3424"/>
      <c r="R47" s="3425">
        <f>E47</f>
        <v>0</v>
      </c>
      <c r="S47" s="3425"/>
      <c r="T47" s="3425">
        <f>G47</f>
        <v>0</v>
      </c>
      <c r="U47" s="3425"/>
      <c r="V47" s="3425">
        <f>I47</f>
        <v>0</v>
      </c>
      <c r="W47" s="3425"/>
      <c r="X47" s="384"/>
      <c r="Y47" s="671"/>
      <c r="Z47" s="384"/>
      <c r="AA47" s="384"/>
      <c r="AB47" s="384"/>
      <c r="AC47" s="384"/>
    </row>
    <row r="48" spans="1:29" ht="15.75" thickBot="1">
      <c r="A48" s="422" t="s">
        <v>1793</v>
      </c>
      <c r="B48" s="423"/>
      <c r="C48" s="1079" t="e">
        <f>R49</f>
        <v>#DIV/0!</v>
      </c>
      <c r="D48" s="2138" t="s">
        <v>2138</v>
      </c>
      <c r="E48" s="1080" t="e">
        <f>R48</f>
        <v>#DIV/0!</v>
      </c>
      <c r="F48" s="2139"/>
      <c r="G48" s="1079" t="e">
        <f>T48</f>
        <v>#DIV/0!</v>
      </c>
      <c r="H48" s="2139"/>
      <c r="I48" s="1080" t="e">
        <f>V48</f>
        <v>#DIV/0!</v>
      </c>
      <c r="J48" s="2139"/>
      <c r="K48" s="2141">
        <f>F48+H48+J48</f>
        <v>0</v>
      </c>
      <c r="L48" s="2492"/>
      <c r="M48" s="2485"/>
      <c r="N48" s="2485"/>
      <c r="O48" s="2485"/>
      <c r="P48" s="3424" t="str">
        <f>A48</f>
        <v>比较价值（元/平方米）</v>
      </c>
      <c r="Q48" s="3424"/>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384"/>
      <c r="Y48" s="384"/>
      <c r="Z48" s="384"/>
      <c r="AA48" s="384"/>
      <c r="AB48" s="384"/>
      <c r="AC48" s="384"/>
    </row>
    <row r="49" spans="1:29" ht="15.75" thickBot="1">
      <c r="A49" s="426" t="s">
        <v>1794</v>
      </c>
      <c r="B49" s="427"/>
      <c r="C49" s="350" t="e">
        <f>R49</f>
        <v>#DIV/0!</v>
      </c>
      <c r="D49" s="350"/>
      <c r="E49" s="350"/>
      <c r="F49" s="350"/>
      <c r="G49" s="350"/>
      <c r="H49" s="350"/>
      <c r="I49" s="350"/>
      <c r="J49" s="350"/>
      <c r="K49" s="673"/>
      <c r="L49" s="2492"/>
      <c r="M49" s="2485"/>
      <c r="N49" s="2485"/>
      <c r="O49" s="2485"/>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6" t="s">
        <v>1798</v>
      </c>
      <c r="B57" s="384"/>
      <c r="C57" s="657"/>
      <c r="D57" s="657"/>
      <c r="E57" s="657"/>
      <c r="F57" s="658"/>
      <c r="G57" s="658"/>
      <c r="H57" s="657"/>
      <c r="I57" s="657"/>
      <c r="J57" s="657"/>
      <c r="K57" s="659"/>
      <c r="L57" s="886"/>
      <c r="M57" s="884"/>
      <c r="N57" s="884"/>
      <c r="O57" s="884"/>
      <c r="P57" s="2505"/>
      <c r="Q57" s="2506"/>
      <c r="R57" s="2485"/>
      <c r="S57" s="2485"/>
      <c r="T57" s="2485"/>
      <c r="U57" s="2485"/>
      <c r="V57" s="2485"/>
      <c r="W57" s="2485"/>
      <c r="X57" s="2485"/>
      <c r="Y57" s="2485"/>
      <c r="Z57" s="2485"/>
      <c r="AA57" s="2485"/>
      <c r="AB57" s="2485"/>
      <c r="AC57" s="2485"/>
    </row>
    <row r="58" spans="1:29" s="441" customFormat="1" ht="15">
      <c r="A58" s="439" t="s">
        <v>1679</v>
      </c>
      <c r="B58" s="440"/>
      <c r="C58" s="1100" t="str">
        <f>YEAR(C7)&amp;"-"&amp;MONTH(C7)</f>
        <v>2024-11</v>
      </c>
      <c r="D58" s="1101">
        <f>EDATE(C58,-1)</f>
        <v>45566</v>
      </c>
      <c r="E58" s="1101">
        <f t="shared" ref="E58:N58" si="16">EDATE(D58,-1)</f>
        <v>45536</v>
      </c>
      <c r="F58" s="1101">
        <f t="shared" si="16"/>
        <v>45505</v>
      </c>
      <c r="G58" s="1101">
        <f t="shared" si="16"/>
        <v>45474</v>
      </c>
      <c r="H58" s="1101">
        <f t="shared" si="16"/>
        <v>45444</v>
      </c>
      <c r="I58" s="1101">
        <f t="shared" si="16"/>
        <v>45413</v>
      </c>
      <c r="J58" s="1101">
        <f t="shared" si="16"/>
        <v>45383</v>
      </c>
      <c r="K58" s="1101">
        <f t="shared" si="16"/>
        <v>45352</v>
      </c>
      <c r="L58" s="1101">
        <f t="shared" si="16"/>
        <v>45323</v>
      </c>
      <c r="M58" s="1101">
        <f t="shared" si="16"/>
        <v>45292</v>
      </c>
      <c r="N58" s="1101">
        <f t="shared" si="16"/>
        <v>45261</v>
      </c>
      <c r="O58" s="1101">
        <f>EDATE(N58,-1)</f>
        <v>45231</v>
      </c>
      <c r="P58" s="2507"/>
      <c r="Q58" s="2508"/>
      <c r="R58" s="2508"/>
      <c r="S58" s="2508"/>
      <c r="T58" s="2508"/>
      <c r="U58" s="2508"/>
      <c r="V58" s="2508"/>
      <c r="W58" s="2508"/>
      <c r="X58" s="2508"/>
      <c r="Y58" s="2508"/>
      <c r="Z58" s="2508"/>
      <c r="AA58" s="2508"/>
      <c r="AB58" s="2508"/>
      <c r="AC58" s="2508"/>
    </row>
    <row r="59" spans="1:29" s="102" customFormat="1" ht="15">
      <c r="A59" s="442"/>
      <c r="B59" s="443"/>
      <c r="C59" s="1099">
        <v>100</v>
      </c>
      <c r="D59" s="445"/>
      <c r="E59" s="445"/>
      <c r="F59" s="445"/>
      <c r="G59" s="445"/>
      <c r="H59" s="445"/>
      <c r="I59" s="445"/>
      <c r="J59" s="445"/>
      <c r="K59" s="445"/>
      <c r="L59" s="445"/>
      <c r="M59" s="446"/>
      <c r="N59" s="445"/>
      <c r="O59" s="446"/>
      <c r="P59" s="2509"/>
      <c r="Q59" s="2437"/>
      <c r="R59" s="2437"/>
      <c r="S59" s="2437"/>
      <c r="T59" s="2437"/>
      <c r="U59" s="2437"/>
      <c r="V59" s="2437"/>
      <c r="W59" s="2437"/>
      <c r="X59" s="2437"/>
      <c r="Y59" s="2437"/>
      <c r="Z59" s="2437"/>
      <c r="AA59" s="2437"/>
      <c r="AB59" s="2437"/>
      <c r="AC59" s="2437"/>
    </row>
    <row r="60" spans="1:29" s="102" customFormat="1" ht="15.75" thickBot="1">
      <c r="A60" s="448" t="s">
        <v>1716</v>
      </c>
      <c r="B60" s="449"/>
      <c r="C60" s="450"/>
      <c r="D60" s="451"/>
      <c r="E60" s="451"/>
      <c r="F60" s="451"/>
      <c r="G60" s="451"/>
      <c r="H60" s="451"/>
      <c r="I60" s="451"/>
      <c r="J60" s="451"/>
      <c r="K60" s="451"/>
      <c r="L60" s="451"/>
      <c r="M60" s="452"/>
      <c r="N60" s="451"/>
      <c r="O60" s="452"/>
      <c r="P60" s="2509"/>
      <c r="Q60" s="2506"/>
      <c r="R60" s="2437"/>
      <c r="S60" s="2437"/>
      <c r="T60" s="2437"/>
      <c r="U60" s="2437"/>
      <c r="V60" s="2437"/>
      <c r="W60" s="2437"/>
      <c r="X60" s="2437"/>
      <c r="Y60" s="2437"/>
      <c r="Z60" s="2437"/>
      <c r="AA60" s="2437"/>
      <c r="AB60" s="2437"/>
      <c r="AC60" s="2437"/>
    </row>
    <row r="61" spans="1:29" s="102" customFormat="1" ht="15">
      <c r="A61" s="454" t="s">
        <v>1681</v>
      </c>
      <c r="B61" s="443"/>
      <c r="C61" s="455" t="s">
        <v>1776</v>
      </c>
      <c r="D61" s="31"/>
      <c r="E61" s="31"/>
      <c r="F61" s="31"/>
      <c r="G61" s="31"/>
      <c r="H61" s="31"/>
      <c r="I61" s="31"/>
      <c r="J61" s="31"/>
      <c r="K61" s="31"/>
      <c r="L61" s="456"/>
      <c r="M61" s="457"/>
      <c r="N61" s="2518"/>
      <c r="O61" s="2518"/>
      <c r="P61" s="2510"/>
      <c r="Q61" s="2506"/>
      <c r="R61" s="2437"/>
      <c r="S61" s="2437"/>
      <c r="T61" s="2437"/>
      <c r="U61" s="2437"/>
      <c r="V61" s="2437"/>
      <c r="W61" s="2437"/>
      <c r="X61" s="2437"/>
      <c r="Y61" s="2437"/>
      <c r="Z61" s="2437"/>
      <c r="AA61" s="2437"/>
      <c r="AB61" s="2437"/>
      <c r="AC61" s="2437"/>
    </row>
    <row r="62" spans="1:29" s="102" customFormat="1" ht="15.75" thickBot="1">
      <c r="A62" s="454"/>
      <c r="B62" s="443"/>
      <c r="C62" s="444">
        <v>100</v>
      </c>
      <c r="D62" s="445"/>
      <c r="E62" s="445"/>
      <c r="F62" s="445"/>
      <c r="G62" s="445"/>
      <c r="H62" s="445"/>
      <c r="I62" s="445"/>
      <c r="J62" s="445"/>
      <c r="K62" s="445"/>
      <c r="L62" s="445"/>
      <c r="M62" s="447"/>
      <c r="N62" s="2518"/>
      <c r="O62" s="2518"/>
      <c r="P62" s="2509"/>
      <c r="Q62" s="2506"/>
      <c r="R62" s="2437"/>
      <c r="S62" s="2437"/>
      <c r="T62" s="2437"/>
      <c r="U62" s="2437"/>
      <c r="V62" s="2437"/>
      <c r="W62" s="2437"/>
      <c r="X62" s="2437"/>
      <c r="Y62" s="2437"/>
      <c r="Z62" s="2437"/>
      <c r="AA62" s="2437"/>
      <c r="AB62" s="2437"/>
      <c r="AC62" s="2437"/>
    </row>
    <row r="63" spans="1:29">
      <c r="A63" s="378" t="s">
        <v>1719</v>
      </c>
      <c r="B63" s="459" t="s">
        <v>1685</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5.75"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7.75"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5.75"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5.75"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5.75"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5.75"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5.75"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5.75"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5.75"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7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7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75" thickTop="1">
      <c r="A82" s="366"/>
      <c r="B82" s="476" t="s">
        <v>1779</v>
      </c>
      <c r="C82" s="580" t="s">
        <v>1799</v>
      </c>
      <c r="D82" s="580" t="s">
        <v>1800</v>
      </c>
      <c r="E82" s="580" t="s">
        <v>1801</v>
      </c>
      <c r="F82" s="580" t="s">
        <v>1802</v>
      </c>
      <c r="G82" s="580" t="s">
        <v>1803</v>
      </c>
      <c r="H82" s="469"/>
      <c r="I82" s="469"/>
      <c r="J82" s="469"/>
      <c r="K82" s="469"/>
      <c r="L82" s="469"/>
      <c r="M82" s="1061"/>
      <c r="N82" s="2520"/>
      <c r="O82" s="2520"/>
      <c r="P82" s="2511"/>
      <c r="Q82" s="2506"/>
      <c r="R82" s="2485"/>
      <c r="S82" s="2485"/>
      <c r="T82" s="2485"/>
      <c r="U82" s="2485"/>
      <c r="V82" s="2485"/>
      <c r="W82" s="2485"/>
      <c r="X82" s="2485"/>
      <c r="Y82" s="2485"/>
      <c r="Z82" s="2485"/>
      <c r="AA82" s="2485"/>
      <c r="AB82" s="2485"/>
      <c r="AC82" s="2485"/>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7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2" customFormat="1" ht="15.75" thickTop="1">
      <c r="A86" s="369"/>
      <c r="B86" s="468" t="s">
        <v>1804</v>
      </c>
      <c r="C86" s="484"/>
      <c r="D86" s="484"/>
      <c r="E86" s="484"/>
      <c r="F86" s="484"/>
      <c r="G86" s="484"/>
      <c r="H86" s="484"/>
      <c r="I86" s="484"/>
      <c r="J86" s="484"/>
      <c r="K86" s="484"/>
      <c r="L86" s="509"/>
      <c r="M86" s="510"/>
      <c r="N86" s="2518"/>
      <c r="O86" s="2518"/>
      <c r="P86" s="2511"/>
      <c r="Q86" s="2506"/>
      <c r="R86" s="2437"/>
      <c r="S86" s="2437"/>
      <c r="T86" s="2437"/>
      <c r="U86" s="2437"/>
      <c r="V86" s="2437"/>
      <c r="W86" s="2437"/>
      <c r="X86" s="2437"/>
      <c r="Y86" s="2437"/>
      <c r="Z86" s="2437"/>
      <c r="AA86" s="2437"/>
      <c r="AB86" s="2437"/>
      <c r="AC86" s="2437"/>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69"/>
      <c r="B88" s="468" t="str">
        <f>B26</f>
        <v>平面位置/可视性</v>
      </c>
      <c r="C88" s="484"/>
      <c r="D88" s="484"/>
      <c r="E88" s="484"/>
      <c r="F88" s="1777"/>
      <c r="G88" s="484"/>
      <c r="H88" s="484"/>
      <c r="I88" s="484"/>
      <c r="J88" s="484"/>
      <c r="K88" s="484"/>
      <c r="L88" s="484"/>
      <c r="M88" s="510"/>
      <c r="N88" s="2518"/>
      <c r="O88" s="2518"/>
      <c r="P88" s="2511"/>
      <c r="Q88" s="2506"/>
      <c r="R88" s="2437"/>
      <c r="S88" s="2437"/>
      <c r="T88" s="2437"/>
      <c r="U88" s="2437"/>
      <c r="V88" s="2437"/>
      <c r="W88" s="2437"/>
      <c r="X88" s="2437"/>
      <c r="Y88" s="2437"/>
      <c r="Z88" s="2437"/>
      <c r="AA88" s="2437"/>
      <c r="AB88" s="2437"/>
      <c r="AC88" s="2437"/>
    </row>
    <row r="89" spans="1:29" s="102" customFormat="1" ht="15.75" thickBot="1">
      <c r="A89" s="369"/>
      <c r="B89" s="473"/>
      <c r="C89" s="490"/>
      <c r="D89" s="466"/>
      <c r="E89" s="466"/>
      <c r="F89" s="466"/>
      <c r="G89" s="466"/>
      <c r="H89" s="466"/>
      <c r="I89" s="466"/>
      <c r="J89" s="466"/>
      <c r="K89" s="466"/>
      <c r="L89" s="466"/>
      <c r="M89" s="466"/>
      <c r="N89" s="2520"/>
      <c r="O89" s="2520"/>
      <c r="P89" s="2511"/>
      <c r="Q89" s="2506"/>
      <c r="R89" s="2437"/>
      <c r="S89" s="2437"/>
      <c r="T89" s="2437"/>
      <c r="U89" s="2437"/>
      <c r="V89" s="2437"/>
      <c r="W89" s="2437"/>
      <c r="X89" s="2437"/>
      <c r="Y89" s="2437"/>
      <c r="Z89" s="2437"/>
      <c r="AA89" s="2437"/>
      <c r="AB89" s="2437"/>
      <c r="AC89" s="2437"/>
    </row>
    <row r="90" spans="1:29" s="407" customFormat="1" ht="15.75"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5.75"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5.75"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5.75"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5.75"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5.75"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5.75"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5.75"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c r="A100" s="378" t="s">
        <v>1694</v>
      </c>
      <c r="B100" s="459" t="s">
        <v>1805</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5.75"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5.75"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5"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5.75"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5"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5.75"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5"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5.75"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5" t="s">
        <v>1810</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501"/>
      <c r="M2" s="2502"/>
      <c r="N2" s="2502"/>
      <c r="O2" s="2502"/>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48377.229999999996</v>
      </c>
      <c r="E3" s="1802"/>
      <c r="F3" s="854"/>
      <c r="G3" s="853"/>
      <c r="H3" s="853"/>
      <c r="I3" s="853"/>
      <c r="J3" s="853"/>
      <c r="K3" s="855"/>
      <c r="L3" s="2501"/>
      <c r="M3" s="2502"/>
      <c r="N3" s="2502"/>
      <c r="O3" s="2502"/>
      <c r="P3" s="340"/>
      <c r="Q3" s="340"/>
      <c r="R3" s="340"/>
      <c r="S3" s="340"/>
      <c r="T3" s="340"/>
      <c r="U3" s="340"/>
      <c r="V3" s="340"/>
      <c r="W3" s="340"/>
      <c r="X3" s="340"/>
      <c r="Y3" s="340"/>
      <c r="Z3" s="340"/>
      <c r="AA3" s="340"/>
      <c r="AB3" s="340"/>
      <c r="AC3" s="661"/>
    </row>
    <row r="4" spans="1:29" ht="15">
      <c r="A4" s="344" t="s">
        <v>1769</v>
      </c>
      <c r="B4" s="345"/>
      <c r="C4" s="3439" t="s">
        <v>1770</v>
      </c>
      <c r="D4" s="3440"/>
      <c r="E4" s="3441" t="s">
        <v>1771</v>
      </c>
      <c r="F4" s="3442"/>
      <c r="G4" s="3439" t="s">
        <v>1772</v>
      </c>
      <c r="H4" s="3440"/>
      <c r="I4" s="3439" t="s">
        <v>1773</v>
      </c>
      <c r="J4" s="3440"/>
      <c r="K4" s="536" t="s">
        <v>1774</v>
      </c>
      <c r="L4" s="2484"/>
      <c r="M4" s="2485"/>
      <c r="N4" s="2485"/>
      <c r="O4" s="2485"/>
      <c r="P4" s="3472" t="s">
        <v>1775</v>
      </c>
      <c r="Q4" s="3473"/>
      <c r="R4" s="3476" t="s">
        <v>1771</v>
      </c>
      <c r="S4" s="3477"/>
      <c r="T4" s="3476" t="s">
        <v>1772</v>
      </c>
      <c r="U4" s="3477"/>
      <c r="V4" s="3478" t="s">
        <v>1773</v>
      </c>
      <c r="W4" s="3478"/>
      <c r="X4" s="1806"/>
      <c r="Y4" s="3476" t="s">
        <v>1775</v>
      </c>
      <c r="Z4" s="3477"/>
      <c r="AA4" s="3480" t="s">
        <v>1771</v>
      </c>
      <c r="AB4" s="3480" t="s">
        <v>1772</v>
      </c>
      <c r="AC4" s="3469" t="s">
        <v>1773</v>
      </c>
    </row>
    <row r="5" spans="1:29" ht="15">
      <c r="A5" s="347"/>
      <c r="B5" s="348"/>
      <c r="C5" s="3457" t="s">
        <v>1673</v>
      </c>
      <c r="D5" s="3458"/>
      <c r="E5" s="3464" t="s">
        <v>1674</v>
      </c>
      <c r="F5" s="3465"/>
      <c r="G5" s="3457" t="s">
        <v>1675</v>
      </c>
      <c r="H5" s="3458"/>
      <c r="I5" s="3457" t="s">
        <v>1676</v>
      </c>
      <c r="J5" s="3458"/>
      <c r="K5" s="536"/>
      <c r="L5" s="2484"/>
      <c r="M5" s="2485"/>
      <c r="N5" s="2485"/>
      <c r="O5" s="2485"/>
      <c r="P5" s="3474"/>
      <c r="Q5" s="3446"/>
      <c r="R5" s="3451"/>
      <c r="S5" s="3452"/>
      <c r="T5" s="3451"/>
      <c r="U5" s="3452"/>
      <c r="V5" s="3425"/>
      <c r="W5" s="3425"/>
      <c r="X5" s="1262"/>
      <c r="Y5" s="3451"/>
      <c r="Z5" s="3452"/>
      <c r="AA5" s="3437"/>
      <c r="AB5" s="3437"/>
      <c r="AC5" s="3470"/>
    </row>
    <row r="6" spans="1:29" ht="15.75" thickBot="1">
      <c r="A6" s="349"/>
      <c r="B6" s="350"/>
      <c r="C6" s="3455" t="s">
        <v>1677</v>
      </c>
      <c r="D6" s="3456"/>
      <c r="E6" s="3462" t="s">
        <v>1677</v>
      </c>
      <c r="F6" s="3463"/>
      <c r="G6" s="3455" t="s">
        <v>1677</v>
      </c>
      <c r="H6" s="3456"/>
      <c r="I6" s="3455" t="s">
        <v>1677</v>
      </c>
      <c r="J6" s="3456"/>
      <c r="K6" s="536" t="s">
        <v>1678</v>
      </c>
      <c r="L6" s="2484"/>
      <c r="M6" s="2485"/>
      <c r="N6" s="2485"/>
      <c r="O6" s="2485"/>
      <c r="P6" s="3475"/>
      <c r="Q6" s="3448"/>
      <c r="R6" s="3451"/>
      <c r="S6" s="3452"/>
      <c r="T6" s="3453"/>
      <c r="U6" s="3454"/>
      <c r="V6" s="3425"/>
      <c r="W6" s="3425"/>
      <c r="X6" s="1262"/>
      <c r="Y6" s="3453"/>
      <c r="Z6" s="3454"/>
      <c r="AA6" s="3438"/>
      <c r="AB6" s="3438"/>
      <c r="AC6" s="3471"/>
    </row>
    <row r="7" spans="1:29" s="102" customFormat="1" ht="15.75" thickBot="1">
      <c r="A7" s="351" t="s">
        <v>1679</v>
      </c>
      <c r="B7" s="352"/>
      <c r="C7" s="353">
        <f>'数据-取费表'!B2</f>
        <v>45607</v>
      </c>
      <c r="D7" s="354">
        <v>100</v>
      </c>
      <c r="E7" s="355"/>
      <c r="F7" s="356">
        <f>SUMIF(59:59,YEAR(E7)&amp;"-"&amp;MONTH(E7),60:60)</f>
        <v>0</v>
      </c>
      <c r="G7" s="355"/>
      <c r="H7" s="354">
        <f>SUMIF(59:59,YEAR(G7)&amp;"-"&amp;MONTH(G7),60:60)</f>
        <v>0</v>
      </c>
      <c r="I7" s="355"/>
      <c r="J7" s="354">
        <f>SUMIF(59:59,YEAR(I7)&amp;"-"&amp;MONTH(I7),60:60)</f>
        <v>0</v>
      </c>
      <c r="K7" s="38"/>
      <c r="L7" s="2486"/>
      <c r="M7" s="2437"/>
      <c r="N7" s="2437"/>
      <c r="O7" s="2437"/>
      <c r="P7" s="3479" t="s">
        <v>1680</v>
      </c>
      <c r="Q7" s="3461"/>
      <c r="R7" s="662" t="s">
        <v>14</v>
      </c>
      <c r="S7" s="663">
        <f t="shared" ref="S7:S15" si="0">F7</f>
        <v>0</v>
      </c>
      <c r="T7" s="662" t="s">
        <v>14</v>
      </c>
      <c r="U7" s="663">
        <f t="shared" ref="U7:U15" si="1">H7</f>
        <v>0</v>
      </c>
      <c r="V7" s="662" t="s">
        <v>14</v>
      </c>
      <c r="W7" s="663">
        <f t="shared" ref="W7:W15" si="2">J7</f>
        <v>0</v>
      </c>
      <c r="X7" s="664"/>
      <c r="Y7" s="3459" t="s">
        <v>1680</v>
      </c>
      <c r="Z7" s="3460"/>
      <c r="AA7" s="50" t="e">
        <f>D7/F7</f>
        <v>#DIV/0!</v>
      </c>
      <c r="AB7" s="50" t="e">
        <f>D7/H7</f>
        <v>#DIV/0!</v>
      </c>
      <c r="AC7" s="800" t="e">
        <f>D7/J7</f>
        <v>#DIV/0!</v>
      </c>
    </row>
    <row r="8" spans="1:29" s="102"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6"/>
      <c r="M8" s="2437"/>
      <c r="N8" s="2437"/>
      <c r="O8" s="2437"/>
      <c r="P8" s="3479" t="s">
        <v>1683</v>
      </c>
      <c r="Q8" s="3460"/>
      <c r="R8" s="662" t="s">
        <v>14</v>
      </c>
      <c r="S8" s="663">
        <f t="shared" si="0"/>
        <v>100</v>
      </c>
      <c r="T8" s="662" t="s">
        <v>14</v>
      </c>
      <c r="U8" s="663">
        <f t="shared" si="1"/>
        <v>100</v>
      </c>
      <c r="V8" s="662" t="s">
        <v>14</v>
      </c>
      <c r="W8" s="663">
        <f t="shared" si="2"/>
        <v>100</v>
      </c>
      <c r="X8" s="664"/>
      <c r="Y8" s="3459" t="s">
        <v>1683</v>
      </c>
      <c r="Z8" s="3460"/>
      <c r="AA8" s="50">
        <f t="shared" ref="AA8:AA47" si="3">D8/F8</f>
        <v>1</v>
      </c>
      <c r="AB8" s="50">
        <f t="shared" ref="AB8:AB47" si="4">D8/H8</f>
        <v>1</v>
      </c>
      <c r="AC8" s="800">
        <f t="shared" ref="AC8:AC47" si="5">D8/J8</f>
        <v>1</v>
      </c>
    </row>
    <row r="9" spans="1:29" s="102"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6"/>
      <c r="M9" s="2437"/>
      <c r="N9" s="2437"/>
      <c r="O9" s="2437"/>
      <c r="P9" s="3435" t="s">
        <v>1686</v>
      </c>
      <c r="Q9" s="529" t="str">
        <f t="shared" ref="Q9:Q15" si="6">B9</f>
        <v>用途</v>
      </c>
      <c r="R9" s="662" t="s">
        <v>14</v>
      </c>
      <c r="S9" s="663">
        <f t="shared" si="0"/>
        <v>100</v>
      </c>
      <c r="T9" s="662" t="s">
        <v>14</v>
      </c>
      <c r="U9" s="663">
        <f t="shared" si="1"/>
        <v>100</v>
      </c>
      <c r="V9" s="662" t="s">
        <v>14</v>
      </c>
      <c r="W9" s="663">
        <f t="shared" si="2"/>
        <v>100</v>
      </c>
      <c r="X9" s="664"/>
      <c r="Y9" s="3298" t="s">
        <v>1687</v>
      </c>
      <c r="Z9" s="50" t="str">
        <f t="shared" ref="Z9:Z15" si="7">Q9</f>
        <v>用途</v>
      </c>
      <c r="AA9" s="50">
        <f t="shared" si="3"/>
        <v>1</v>
      </c>
      <c r="AB9" s="50">
        <f t="shared" si="4"/>
        <v>1</v>
      </c>
      <c r="AC9" s="800">
        <f t="shared" si="5"/>
        <v>1</v>
      </c>
    </row>
    <row r="10" spans="1:29" s="365" customFormat="1" ht="27">
      <c r="A10" s="362"/>
      <c r="B10" s="363"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35"/>
      <c r="Q10" s="529" t="str">
        <f t="shared" si="6"/>
        <v>土地使用年限（年）</v>
      </c>
      <c r="R10" s="662" t="s">
        <v>14</v>
      </c>
      <c r="S10" s="663">
        <f t="shared" si="0"/>
        <v>100</v>
      </c>
      <c r="T10" s="662" t="s">
        <v>14</v>
      </c>
      <c r="U10" s="663">
        <f t="shared" si="1"/>
        <v>100</v>
      </c>
      <c r="V10" s="662" t="s">
        <v>14</v>
      </c>
      <c r="W10" s="663">
        <f t="shared" si="2"/>
        <v>100</v>
      </c>
      <c r="X10" s="664"/>
      <c r="Y10" s="3298"/>
      <c r="Z10" s="50" t="str">
        <f t="shared" si="7"/>
        <v>土地使用年限（年）</v>
      </c>
      <c r="AA10" s="50">
        <f t="shared" si="3"/>
        <v>1</v>
      </c>
      <c r="AB10" s="50">
        <f t="shared" si="4"/>
        <v>1</v>
      </c>
      <c r="AC10" s="800">
        <f t="shared" si="5"/>
        <v>1</v>
      </c>
    </row>
    <row r="11" spans="1:29" ht="15">
      <c r="A11" s="366"/>
      <c r="B11" s="363" t="s">
        <v>1689</v>
      </c>
      <c r="C11" s="367"/>
      <c r="D11" s="119">
        <v>100</v>
      </c>
      <c r="E11" s="367"/>
      <c r="F11" s="119">
        <f>LOOKUP(E11,69:69,70:70)-LOOKUP(C11,69:69,70:70)+100</f>
        <v>100</v>
      </c>
      <c r="G11" s="368"/>
      <c r="H11" s="119">
        <f>LOOKUP(G11,69:69,70:70)-LOOKUP(C11,69:69,70:70)+100</f>
        <v>100</v>
      </c>
      <c r="I11" s="367"/>
      <c r="J11" s="119">
        <f>LOOKUP(I11,69:69,70:70)-LOOKUP(C11,69:69,70:70)+100</f>
        <v>100</v>
      </c>
      <c r="K11" s="537"/>
      <c r="L11" s="2489"/>
      <c r="M11" s="2485"/>
      <c r="N11" s="2485"/>
      <c r="O11" s="2485"/>
      <c r="P11" s="3435"/>
      <c r="Q11" s="529" t="str">
        <f t="shared" si="6"/>
        <v>容积率</v>
      </c>
      <c r="R11" s="662" t="s">
        <v>14</v>
      </c>
      <c r="S11" s="663">
        <f t="shared" si="0"/>
        <v>100</v>
      </c>
      <c r="T11" s="662" t="s">
        <v>14</v>
      </c>
      <c r="U11" s="663">
        <f t="shared" si="1"/>
        <v>100</v>
      </c>
      <c r="V11" s="662" t="s">
        <v>14</v>
      </c>
      <c r="W11" s="663">
        <f t="shared" si="2"/>
        <v>100</v>
      </c>
      <c r="X11" s="664"/>
      <c r="Y11" s="3298"/>
      <c r="Z11" s="50" t="str">
        <f t="shared" si="7"/>
        <v>容积率</v>
      </c>
      <c r="AA11" s="50">
        <f t="shared" si="3"/>
        <v>1</v>
      </c>
      <c r="AB11" s="50">
        <f t="shared" si="4"/>
        <v>1</v>
      </c>
      <c r="AC11" s="800">
        <f t="shared" si="5"/>
        <v>1</v>
      </c>
    </row>
    <row r="12" spans="1:29" s="102" customFormat="1" ht="15">
      <c r="A12" s="369"/>
      <c r="B12" s="446">
        <v>111</v>
      </c>
      <c r="C12" s="370"/>
      <c r="D12" s="371">
        <v>100</v>
      </c>
      <c r="E12" s="370"/>
      <c r="F12" s="119">
        <f>SUMIF(71:71,E12,72:72)-SUMIF(71:71,C12,72:72)+100</f>
        <v>100</v>
      </c>
      <c r="G12" s="1807"/>
      <c r="H12" s="119">
        <f>SUMIF(71:71,G12,72:72)-SUMIF(71:71,C12,72:72)+100</f>
        <v>100</v>
      </c>
      <c r="I12" s="370"/>
      <c r="J12" s="119">
        <f>SUMIF(71:71,I12,72:72)-SUMIF(71:71,C12,72:72)+100</f>
        <v>100</v>
      </c>
      <c r="K12" s="538"/>
      <c r="L12" s="2486"/>
      <c r="M12" s="2437"/>
      <c r="N12" s="2437"/>
      <c r="O12" s="2437"/>
      <c r="P12" s="3435"/>
      <c r="Q12" s="529">
        <f t="shared" si="6"/>
        <v>111</v>
      </c>
      <c r="R12" s="662" t="s">
        <v>14</v>
      </c>
      <c r="S12" s="663">
        <f t="shared" si="0"/>
        <v>100</v>
      </c>
      <c r="T12" s="662" t="s">
        <v>14</v>
      </c>
      <c r="U12" s="663">
        <f t="shared" si="1"/>
        <v>100</v>
      </c>
      <c r="V12" s="662" t="s">
        <v>14</v>
      </c>
      <c r="W12" s="663">
        <f t="shared" si="2"/>
        <v>100</v>
      </c>
      <c r="X12" s="664"/>
      <c r="Y12" s="3298"/>
      <c r="Z12" s="50">
        <f t="shared" si="7"/>
        <v>111</v>
      </c>
      <c r="AA12" s="50">
        <f>D12/F12</f>
        <v>1</v>
      </c>
      <c r="AB12" s="50">
        <f>D12/H12</f>
        <v>1</v>
      </c>
      <c r="AC12" s="800">
        <f>D12/J12</f>
        <v>1</v>
      </c>
    </row>
    <row r="13" spans="1:29" ht="15">
      <c r="A13" s="366"/>
      <c r="B13" s="446">
        <v>111</v>
      </c>
      <c r="C13" s="372"/>
      <c r="D13" s="373">
        <v>100</v>
      </c>
      <c r="E13" s="370"/>
      <c r="F13" s="119">
        <f>SUMIF(73:73,E13,74:74)-SUMIF(73:73,C13,74:74)+100</f>
        <v>100</v>
      </c>
      <c r="G13" s="1807"/>
      <c r="H13" s="373">
        <f>SUMIF(73:73,G13,74:74)-SUMIF(73:73,C13,74:74)+100</f>
        <v>100</v>
      </c>
      <c r="I13" s="370"/>
      <c r="J13" s="373">
        <f>SUMIF(73:73,I13,74:74)-SUMIF(73:73,C13,74:74)+100</f>
        <v>100</v>
      </c>
      <c r="K13" s="538"/>
      <c r="L13" s="2490"/>
      <c r="M13" s="2485"/>
      <c r="N13" s="2485"/>
      <c r="O13" s="2485"/>
      <c r="P13" s="3435"/>
      <c r="Q13" s="529">
        <f t="shared" si="6"/>
        <v>111</v>
      </c>
      <c r="R13" s="662" t="s">
        <v>14</v>
      </c>
      <c r="S13" s="663">
        <f t="shared" si="0"/>
        <v>100</v>
      </c>
      <c r="T13" s="662" t="s">
        <v>14</v>
      </c>
      <c r="U13" s="663">
        <f t="shared" si="1"/>
        <v>100</v>
      </c>
      <c r="V13" s="662" t="s">
        <v>14</v>
      </c>
      <c r="W13" s="663">
        <f t="shared" si="2"/>
        <v>100</v>
      </c>
      <c r="X13" s="664"/>
      <c r="Y13" s="3298"/>
      <c r="Z13" s="50">
        <f t="shared" si="7"/>
        <v>111</v>
      </c>
      <c r="AA13" s="50">
        <f t="shared" si="3"/>
        <v>1</v>
      </c>
      <c r="AB13" s="50">
        <f t="shared" si="4"/>
        <v>1</v>
      </c>
      <c r="AC13" s="800">
        <f t="shared" si="5"/>
        <v>1</v>
      </c>
    </row>
    <row r="14" spans="1:29" ht="15.75" thickBot="1">
      <c r="A14" s="374"/>
      <c r="B14" s="1746">
        <v>111</v>
      </c>
      <c r="C14" s="375"/>
      <c r="D14" s="376">
        <v>100</v>
      </c>
      <c r="E14" s="552"/>
      <c r="F14" s="376">
        <f>SUMIF(75:75,E14,76:76)-SUMIF(75:75,C14,76:76)+100</f>
        <v>100</v>
      </c>
      <c r="G14" s="1807"/>
      <c r="H14" s="376">
        <f>SUMIF(75:75,G14,76:76)-SUMIF(75:75,C14,76:76)+100</f>
        <v>100</v>
      </c>
      <c r="I14" s="370"/>
      <c r="J14" s="376">
        <f>SUMIF(75:75,I14,76:76)-SUMIF(75:75,C14,76:76)+100</f>
        <v>100</v>
      </c>
      <c r="K14" s="538"/>
      <c r="L14" s="2490"/>
      <c r="M14" s="2485"/>
      <c r="N14" s="2485"/>
      <c r="O14" s="2485"/>
      <c r="P14" s="3435"/>
      <c r="Q14" s="529">
        <f t="shared" si="6"/>
        <v>111</v>
      </c>
      <c r="R14" s="662" t="s">
        <v>14</v>
      </c>
      <c r="S14" s="663">
        <f t="shared" si="0"/>
        <v>100</v>
      </c>
      <c r="T14" s="662" t="s">
        <v>14</v>
      </c>
      <c r="U14" s="663">
        <f t="shared" si="1"/>
        <v>100</v>
      </c>
      <c r="V14" s="662" t="s">
        <v>14</v>
      </c>
      <c r="W14" s="663">
        <f t="shared" si="2"/>
        <v>100</v>
      </c>
      <c r="X14" s="664"/>
      <c r="Y14" s="3298"/>
      <c r="Z14" s="50">
        <f t="shared" si="7"/>
        <v>111</v>
      </c>
      <c r="AA14" s="50">
        <f t="shared" si="3"/>
        <v>1</v>
      </c>
      <c r="AB14" s="50">
        <f t="shared" si="4"/>
        <v>1</v>
      </c>
      <c r="AC14" s="800">
        <f t="shared" si="5"/>
        <v>1</v>
      </c>
    </row>
    <row r="15" spans="1:29" ht="71.25">
      <c r="A15" s="378" t="s">
        <v>1690</v>
      </c>
      <c r="B15" s="553" t="s">
        <v>1811</v>
      </c>
      <c r="C15" s="1808"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433" t="s">
        <v>1691</v>
      </c>
      <c r="Q15" s="1260" t="str">
        <f t="shared" si="6"/>
        <v>办公集聚程度</v>
      </c>
      <c r="R15" s="665" t="s">
        <v>14</v>
      </c>
      <c r="S15" s="666">
        <f t="shared" si="0"/>
        <v>100</v>
      </c>
      <c r="T15" s="665" t="s">
        <v>14</v>
      </c>
      <c r="U15" s="666">
        <f t="shared" si="1"/>
        <v>100</v>
      </c>
      <c r="V15" s="665" t="s">
        <v>14</v>
      </c>
      <c r="W15" s="666">
        <f t="shared" si="2"/>
        <v>100</v>
      </c>
      <c r="X15" s="1262"/>
      <c r="Y15" s="3426" t="s">
        <v>1691</v>
      </c>
      <c r="Z15" s="1261" t="str">
        <f t="shared" si="7"/>
        <v>办公集聚程度</v>
      </c>
      <c r="AA15" s="1261">
        <f t="shared" si="3"/>
        <v>1</v>
      </c>
      <c r="AB15" s="1261">
        <f t="shared" si="4"/>
        <v>1</v>
      </c>
      <c r="AC15" s="1809">
        <f t="shared" si="5"/>
        <v>1</v>
      </c>
    </row>
    <row r="16" spans="1:29" ht="15">
      <c r="A16" s="366"/>
      <c r="B16" s="554"/>
      <c r="C16" s="1755"/>
      <c r="D16" s="386"/>
      <c r="E16" s="385"/>
      <c r="F16" s="386"/>
      <c r="G16" s="1755"/>
      <c r="H16" s="388"/>
      <c r="I16" s="385"/>
      <c r="J16" s="386"/>
      <c r="K16" s="540"/>
      <c r="L16" s="2490"/>
      <c r="M16" s="2485"/>
      <c r="N16" s="2485"/>
      <c r="O16" s="2485"/>
      <c r="P16" s="3434"/>
      <c r="Q16" s="1260"/>
      <c r="R16" s="665"/>
      <c r="S16" s="666"/>
      <c r="T16" s="665"/>
      <c r="U16" s="666"/>
      <c r="V16" s="665"/>
      <c r="W16" s="666"/>
      <c r="X16" s="1262"/>
      <c r="Y16" s="3427"/>
      <c r="Z16" s="1261"/>
      <c r="AA16" s="1261">
        <v>1</v>
      </c>
      <c r="AB16" s="1261">
        <v>1</v>
      </c>
      <c r="AC16" s="1809">
        <v>1</v>
      </c>
    </row>
    <row r="17" spans="1:29" ht="71.25">
      <c r="A17" s="366"/>
      <c r="B17" s="555" t="s">
        <v>1259</v>
      </c>
      <c r="C17" s="1810"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434"/>
      <c r="Q17" s="1260" t="str">
        <f>B17</f>
        <v>交通便捷度</v>
      </c>
      <c r="R17" s="665" t="s">
        <v>14</v>
      </c>
      <c r="S17" s="666">
        <f>F17</f>
        <v>100</v>
      </c>
      <c r="T17" s="665" t="s">
        <v>14</v>
      </c>
      <c r="U17" s="666">
        <f>H17</f>
        <v>100</v>
      </c>
      <c r="V17" s="665" t="s">
        <v>14</v>
      </c>
      <c r="W17" s="666">
        <f>J17</f>
        <v>100</v>
      </c>
      <c r="X17" s="1262"/>
      <c r="Y17" s="3427"/>
      <c r="Z17" s="1261" t="str">
        <f>Q17</f>
        <v>交通便捷度</v>
      </c>
      <c r="AA17" s="1261">
        <f t="shared" si="3"/>
        <v>1</v>
      </c>
      <c r="AB17" s="1261">
        <f t="shared" si="4"/>
        <v>1</v>
      </c>
      <c r="AC17" s="1809">
        <f t="shared" si="5"/>
        <v>1</v>
      </c>
    </row>
    <row r="18" spans="1:29" ht="15">
      <c r="A18" s="366"/>
      <c r="B18" s="400"/>
      <c r="C18" s="1811"/>
      <c r="D18" s="388"/>
      <c r="E18" s="1753"/>
      <c r="F18" s="388"/>
      <c r="G18" s="1754"/>
      <c r="H18" s="386"/>
      <c r="I18" s="1754"/>
      <c r="J18" s="386"/>
      <c r="K18" s="540"/>
      <c r="L18" s="2490"/>
      <c r="M18" s="2485"/>
      <c r="N18" s="2485"/>
      <c r="O18" s="2485"/>
      <c r="P18" s="3434"/>
      <c r="Q18" s="1260"/>
      <c r="R18" s="665"/>
      <c r="S18" s="666"/>
      <c r="T18" s="665"/>
      <c r="U18" s="666"/>
      <c r="V18" s="665"/>
      <c r="W18" s="666"/>
      <c r="X18" s="1262"/>
      <c r="Y18" s="3427"/>
      <c r="Z18" s="1261"/>
      <c r="AA18" s="1261">
        <v>1</v>
      </c>
      <c r="AB18" s="1261">
        <v>1</v>
      </c>
      <c r="AC18" s="1809">
        <v>1</v>
      </c>
    </row>
    <row r="19" spans="1:29" ht="42.75">
      <c r="A19" s="366"/>
      <c r="B19" s="555" t="s">
        <v>1812</v>
      </c>
      <c r="C19" s="1810"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434"/>
      <c r="Q19" s="1260" t="str">
        <f>B19</f>
        <v>公共配套设施</v>
      </c>
      <c r="R19" s="665" t="s">
        <v>14</v>
      </c>
      <c r="S19" s="666">
        <f>F19</f>
        <v>100</v>
      </c>
      <c r="T19" s="665" t="s">
        <v>14</v>
      </c>
      <c r="U19" s="666">
        <f>H19</f>
        <v>100</v>
      </c>
      <c r="V19" s="665" t="s">
        <v>14</v>
      </c>
      <c r="W19" s="666">
        <f>J19</f>
        <v>100</v>
      </c>
      <c r="X19" s="1262"/>
      <c r="Y19" s="3427"/>
      <c r="Z19" s="1261" t="str">
        <f>Q19</f>
        <v>公共配套设施</v>
      </c>
      <c r="AA19" s="1261">
        <f t="shared" si="3"/>
        <v>1</v>
      </c>
      <c r="AB19" s="1261">
        <f t="shared" si="4"/>
        <v>1</v>
      </c>
      <c r="AC19" s="1809">
        <f t="shared" si="5"/>
        <v>1</v>
      </c>
    </row>
    <row r="20" spans="1:29" ht="15">
      <c r="A20" s="366"/>
      <c r="B20" s="400"/>
      <c r="C20" s="1755"/>
      <c r="D20" s="386"/>
      <c r="E20" s="1748"/>
      <c r="F20" s="386"/>
      <c r="G20" s="1749"/>
      <c r="H20" s="386"/>
      <c r="I20" s="1749"/>
      <c r="J20" s="386"/>
      <c r="K20" s="540"/>
      <c r="L20" s="2490"/>
      <c r="M20" s="2485"/>
      <c r="N20" s="2485"/>
      <c r="O20" s="2485"/>
      <c r="P20" s="3434"/>
      <c r="Q20" s="1260"/>
      <c r="R20" s="665"/>
      <c r="S20" s="666"/>
      <c r="T20" s="665"/>
      <c r="U20" s="666"/>
      <c r="V20" s="665"/>
      <c r="W20" s="666"/>
      <c r="X20" s="1262"/>
      <c r="Y20" s="3427"/>
      <c r="Z20" s="1261"/>
      <c r="AA20" s="1261">
        <v>1</v>
      </c>
      <c r="AB20" s="1261">
        <v>1</v>
      </c>
      <c r="AC20" s="1809">
        <v>1</v>
      </c>
    </row>
    <row r="21" spans="1:29" ht="28.5">
      <c r="A21" s="366"/>
      <c r="B21" s="556" t="s">
        <v>1813</v>
      </c>
      <c r="C21" s="1810"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434"/>
      <c r="Q21" s="1260" t="str">
        <f>B21</f>
        <v>基础设施水平</v>
      </c>
      <c r="R21" s="665" t="s">
        <v>14</v>
      </c>
      <c r="S21" s="666">
        <f>F21</f>
        <v>100</v>
      </c>
      <c r="T21" s="665" t="s">
        <v>14</v>
      </c>
      <c r="U21" s="666">
        <f>H21</f>
        <v>100</v>
      </c>
      <c r="V21" s="665" t="s">
        <v>14</v>
      </c>
      <c r="W21" s="666">
        <f>J21</f>
        <v>100</v>
      </c>
      <c r="X21" s="1262"/>
      <c r="Y21" s="3427"/>
      <c r="Z21" s="1261" t="str">
        <f>Q21</f>
        <v>基础设施水平</v>
      </c>
      <c r="AA21" s="1261">
        <f t="shared" ref="AA21" si="8">D21/F21</f>
        <v>1</v>
      </c>
      <c r="AB21" s="1261">
        <f t="shared" ref="AB21" si="9">D21/H21</f>
        <v>1</v>
      </c>
      <c r="AC21" s="1809">
        <f t="shared" ref="AC21" si="10">D21/J21</f>
        <v>1</v>
      </c>
    </row>
    <row r="22" spans="1:29" ht="15">
      <c r="A22" s="366"/>
      <c r="B22" s="556"/>
      <c r="C22" s="1811"/>
      <c r="D22" s="386"/>
      <c r="E22" s="385"/>
      <c r="F22" s="386"/>
      <c r="G22" s="1755"/>
      <c r="H22" s="386"/>
      <c r="I22" s="1755"/>
      <c r="J22" s="386"/>
      <c r="K22" s="1062"/>
      <c r="L22" s="2490"/>
      <c r="M22" s="2485"/>
      <c r="N22" s="2485"/>
      <c r="O22" s="2485"/>
      <c r="P22" s="3434"/>
      <c r="Q22" s="1260"/>
      <c r="R22" s="665"/>
      <c r="S22" s="666"/>
      <c r="T22" s="665"/>
      <c r="U22" s="666"/>
      <c r="V22" s="665"/>
      <c r="W22" s="666"/>
      <c r="X22" s="1262"/>
      <c r="Y22" s="3427"/>
      <c r="Z22" s="1261"/>
      <c r="AA22" s="1261">
        <v>1</v>
      </c>
      <c r="AB22" s="1261">
        <v>1</v>
      </c>
      <c r="AC22" s="1809">
        <v>1</v>
      </c>
    </row>
    <row r="23" spans="1:29" ht="42.75">
      <c r="A23" s="366"/>
      <c r="B23" s="555" t="s">
        <v>1814</v>
      </c>
      <c r="C23" s="1810"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434"/>
      <c r="Q23" s="1260" t="str">
        <f>B23</f>
        <v>环境质量</v>
      </c>
      <c r="R23" s="665" t="s">
        <v>14</v>
      </c>
      <c r="S23" s="666">
        <f>F23</f>
        <v>100</v>
      </c>
      <c r="T23" s="665" t="s">
        <v>14</v>
      </c>
      <c r="U23" s="666">
        <f>H23</f>
        <v>100</v>
      </c>
      <c r="V23" s="665" t="s">
        <v>14</v>
      </c>
      <c r="W23" s="666">
        <f>J23</f>
        <v>100</v>
      </c>
      <c r="X23" s="1262"/>
      <c r="Y23" s="3427"/>
      <c r="Z23" s="1261" t="str">
        <f>Q23</f>
        <v>环境质量</v>
      </c>
      <c r="AA23" s="1261">
        <f t="shared" si="3"/>
        <v>1</v>
      </c>
      <c r="AB23" s="1261">
        <f t="shared" si="4"/>
        <v>1</v>
      </c>
      <c r="AC23" s="1809">
        <f t="shared" si="5"/>
        <v>1</v>
      </c>
    </row>
    <row r="24" spans="1:29" ht="15">
      <c r="A24" s="366"/>
      <c r="B24" s="556"/>
      <c r="C24" s="1755"/>
      <c r="D24" s="386"/>
      <c r="E24" s="1748"/>
      <c r="F24" s="386"/>
      <c r="G24" s="1749"/>
      <c r="H24" s="386"/>
      <c r="I24" s="1749"/>
      <c r="J24" s="386"/>
      <c r="K24" s="540"/>
      <c r="L24" s="2490"/>
      <c r="M24" s="2485"/>
      <c r="N24" s="2485"/>
      <c r="O24" s="2485"/>
      <c r="P24" s="3434"/>
      <c r="Q24" s="1260"/>
      <c r="R24" s="665"/>
      <c r="S24" s="666"/>
      <c r="T24" s="665"/>
      <c r="U24" s="666"/>
      <c r="V24" s="665"/>
      <c r="W24" s="666"/>
      <c r="X24" s="1262"/>
      <c r="Y24" s="3427"/>
      <c r="Z24" s="1261"/>
      <c r="AA24" s="1261">
        <v>1</v>
      </c>
      <c r="AB24" s="1261">
        <v>1</v>
      </c>
      <c r="AC24" s="1809">
        <v>1</v>
      </c>
    </row>
    <row r="25" spans="1:29" ht="27">
      <c r="A25" s="347"/>
      <c r="B25" s="555" t="s">
        <v>1815</v>
      </c>
      <c r="C25" s="1759"/>
      <c r="D25" s="373">
        <v>100</v>
      </c>
      <c r="E25" s="372"/>
      <c r="F25" s="373">
        <f>SUMIF(87:87,E26,88:88)-SUMIF(87:87,C26,88:88)+100</f>
        <v>100</v>
      </c>
      <c r="G25" s="1759"/>
      <c r="H25" s="373">
        <f>SUMIF(87:87,G26,88:88)-SUMIF(87:87,C26,88:88)+100</f>
        <v>100</v>
      </c>
      <c r="I25" s="372"/>
      <c r="J25" s="373">
        <f>SUMIF(87:87,I26,88:88)-SUMIF(87:87,C26,88:88)+100</f>
        <v>100</v>
      </c>
      <c r="K25" s="539"/>
      <c r="L25" s="2490"/>
      <c r="M25" s="2485"/>
      <c r="N25" s="2485"/>
      <c r="O25" s="2485"/>
      <c r="P25" s="3434"/>
      <c r="Q25" s="1260" t="str">
        <f>B25</f>
        <v>毗邻道路的类型与等级</v>
      </c>
      <c r="R25" s="665" t="s">
        <v>14</v>
      </c>
      <c r="S25" s="666">
        <f>F25</f>
        <v>100</v>
      </c>
      <c r="T25" s="665" t="s">
        <v>14</v>
      </c>
      <c r="U25" s="666">
        <f>H25</f>
        <v>100</v>
      </c>
      <c r="V25" s="665" t="s">
        <v>14</v>
      </c>
      <c r="W25" s="666">
        <f>J25</f>
        <v>100</v>
      </c>
      <c r="X25" s="1262"/>
      <c r="Y25" s="3427"/>
      <c r="Z25" s="1261" t="str">
        <f>Q25</f>
        <v>毗邻道路的类型与等级</v>
      </c>
      <c r="AA25" s="1261">
        <f t="shared" si="3"/>
        <v>1</v>
      </c>
      <c r="AB25" s="1261">
        <f t="shared" si="4"/>
        <v>1</v>
      </c>
      <c r="AC25" s="1809">
        <f t="shared" si="5"/>
        <v>1</v>
      </c>
    </row>
    <row r="26" spans="1:29" ht="15">
      <c r="A26" s="347"/>
      <c r="B26" s="400"/>
      <c r="C26" s="557"/>
      <c r="D26" s="373"/>
      <c r="E26" s="541"/>
      <c r="F26" s="373"/>
      <c r="G26" s="557"/>
      <c r="H26" s="373"/>
      <c r="I26" s="541"/>
      <c r="J26" s="373"/>
      <c r="K26" s="540"/>
      <c r="L26" s="2490"/>
      <c r="M26" s="2485"/>
      <c r="N26" s="2485"/>
      <c r="O26" s="2485"/>
      <c r="P26" s="3434"/>
      <c r="Q26" s="1260"/>
      <c r="R26" s="665"/>
      <c r="S26" s="666"/>
      <c r="T26" s="665"/>
      <c r="U26" s="666"/>
      <c r="V26" s="665"/>
      <c r="W26" s="666"/>
      <c r="X26" s="1262"/>
      <c r="Y26" s="3427"/>
      <c r="Z26" s="1261"/>
      <c r="AA26" s="1261">
        <v>1</v>
      </c>
      <c r="AB26" s="1261">
        <v>1</v>
      </c>
      <c r="AC26" s="1809">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434"/>
      <c r="Q27" s="1260" t="str">
        <f t="shared" ref="Q27:Q47" si="11">B27</f>
        <v>楼层</v>
      </c>
      <c r="R27" s="665" t="s">
        <v>14</v>
      </c>
      <c r="S27" s="666">
        <f>F27</f>
        <v>100</v>
      </c>
      <c r="T27" s="665" t="s">
        <v>14</v>
      </c>
      <c r="U27" s="666">
        <f>H27</f>
        <v>100</v>
      </c>
      <c r="V27" s="665" t="s">
        <v>14</v>
      </c>
      <c r="W27" s="666">
        <f>J27</f>
        <v>100</v>
      </c>
      <c r="X27" s="1262"/>
      <c r="Y27" s="3427"/>
      <c r="Z27" s="1261" t="str">
        <f>Q27</f>
        <v>楼层</v>
      </c>
      <c r="AA27" s="1261">
        <f t="shared" si="3"/>
        <v>1</v>
      </c>
      <c r="AB27" s="1261">
        <f t="shared" si="4"/>
        <v>1</v>
      </c>
      <c r="AC27" s="1809">
        <f t="shared" si="5"/>
        <v>1</v>
      </c>
    </row>
    <row r="28" spans="1:29" s="102" customFormat="1" ht="15">
      <c r="A28" s="369"/>
      <c r="B28" s="555"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6"/>
      <c r="M28" s="2437"/>
      <c r="N28" s="2437"/>
      <c r="O28" s="2437"/>
      <c r="P28" s="3434"/>
      <c r="Q28" s="529" t="str">
        <f t="shared" si="11"/>
        <v>朝向</v>
      </c>
      <c r="R28" s="662" t="s">
        <v>14</v>
      </c>
      <c r="S28" s="663">
        <f>F28</f>
        <v>100</v>
      </c>
      <c r="T28" s="662" t="s">
        <v>14</v>
      </c>
      <c r="U28" s="663">
        <f>H28</f>
        <v>100</v>
      </c>
      <c r="V28" s="662" t="s">
        <v>14</v>
      </c>
      <c r="W28" s="663">
        <f>J28</f>
        <v>100</v>
      </c>
      <c r="X28" s="664"/>
      <c r="Y28" s="3427"/>
      <c r="Z28" s="50"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90"/>
      <c r="M29" s="2485"/>
      <c r="N29" s="2485"/>
      <c r="O29" s="2485"/>
      <c r="P29" s="3434"/>
      <c r="Q29" s="1260">
        <f t="shared" si="11"/>
        <v>111</v>
      </c>
      <c r="R29" s="665" t="s">
        <v>14</v>
      </c>
      <c r="S29" s="666">
        <f t="shared" ref="S29:S47" si="12">F29</f>
        <v>100</v>
      </c>
      <c r="T29" s="665" t="s">
        <v>14</v>
      </c>
      <c r="U29" s="666">
        <f t="shared" ref="U29:U47" si="13">H29</f>
        <v>100</v>
      </c>
      <c r="V29" s="665" t="s">
        <v>14</v>
      </c>
      <c r="W29" s="666">
        <f t="shared" ref="W29:W47" si="14">J29</f>
        <v>100</v>
      </c>
      <c r="X29" s="1262"/>
      <c r="Y29" s="3427"/>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90"/>
      <c r="M30" s="2485"/>
      <c r="N30" s="2485"/>
      <c r="O30" s="2485"/>
      <c r="P30" s="3434"/>
      <c r="Q30" s="1260">
        <f t="shared" si="11"/>
        <v>111</v>
      </c>
      <c r="R30" s="665" t="s">
        <v>14</v>
      </c>
      <c r="S30" s="666">
        <f t="shared" si="12"/>
        <v>100</v>
      </c>
      <c r="T30" s="665" t="s">
        <v>14</v>
      </c>
      <c r="U30" s="666">
        <f t="shared" si="13"/>
        <v>100</v>
      </c>
      <c r="V30" s="665" t="s">
        <v>14</v>
      </c>
      <c r="W30" s="666">
        <f t="shared" si="14"/>
        <v>100</v>
      </c>
      <c r="X30" s="1262"/>
      <c r="Y30" s="3427"/>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90"/>
      <c r="M31" s="2485"/>
      <c r="N31" s="2485"/>
      <c r="O31" s="2485"/>
      <c r="P31" s="3434"/>
      <c r="Q31" s="1260">
        <f t="shared" si="11"/>
        <v>111</v>
      </c>
      <c r="R31" s="665" t="s">
        <v>14</v>
      </c>
      <c r="S31" s="666">
        <f t="shared" si="12"/>
        <v>100</v>
      </c>
      <c r="T31" s="665" t="s">
        <v>14</v>
      </c>
      <c r="U31" s="666">
        <f t="shared" si="13"/>
        <v>100</v>
      </c>
      <c r="V31" s="665" t="s">
        <v>14</v>
      </c>
      <c r="W31" s="666">
        <f t="shared" si="14"/>
        <v>100</v>
      </c>
      <c r="X31" s="1262"/>
      <c r="Y31" s="3427"/>
      <c r="Z31" s="1261">
        <f t="shared" si="15"/>
        <v>111</v>
      </c>
      <c r="AA31" s="1261">
        <f t="shared" si="3"/>
        <v>1</v>
      </c>
      <c r="AB31" s="1261">
        <f t="shared" si="4"/>
        <v>1</v>
      </c>
      <c r="AC31" s="1809">
        <f t="shared" si="5"/>
        <v>1</v>
      </c>
    </row>
    <row r="32" spans="1:29" ht="15.75" thickBot="1">
      <c r="A32" s="374"/>
      <c r="B32" s="558">
        <v>111</v>
      </c>
      <c r="C32" s="1760"/>
      <c r="D32" s="376">
        <v>100</v>
      </c>
      <c r="E32" s="552"/>
      <c r="F32" s="376">
        <f>SUMIF(99:99,E32,100:100)-SUMIF(99:99,C32,100:100)+100</f>
        <v>100</v>
      </c>
      <c r="G32" s="1807"/>
      <c r="H32" s="376">
        <f>SUMIF(99:99,G32,100:100)-SUMIF(99:99,C32,100:100)+100</f>
        <v>100</v>
      </c>
      <c r="I32" s="370"/>
      <c r="J32" s="376">
        <f>SUMIF(99:99,I32,100:100)-SUMIF(99:99,C32,100:100)+100</f>
        <v>100</v>
      </c>
      <c r="K32" s="538"/>
      <c r="L32" s="2490"/>
      <c r="M32" s="2485"/>
      <c r="N32" s="2485"/>
      <c r="O32" s="2485"/>
      <c r="P32" s="3434"/>
      <c r="Q32" s="1260">
        <f t="shared" si="11"/>
        <v>111</v>
      </c>
      <c r="R32" s="665" t="s">
        <v>14</v>
      </c>
      <c r="S32" s="666">
        <f t="shared" si="12"/>
        <v>100</v>
      </c>
      <c r="T32" s="665" t="s">
        <v>14</v>
      </c>
      <c r="U32" s="666">
        <f t="shared" si="13"/>
        <v>100</v>
      </c>
      <c r="V32" s="665" t="s">
        <v>14</v>
      </c>
      <c r="W32" s="666">
        <f t="shared" si="14"/>
        <v>100</v>
      </c>
      <c r="X32" s="1262"/>
      <c r="Y32" s="3427"/>
      <c r="Z32" s="1261">
        <f t="shared" si="15"/>
        <v>111</v>
      </c>
      <c r="AA32" s="1261">
        <f t="shared" si="3"/>
        <v>1</v>
      </c>
      <c r="AB32" s="1261">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90"/>
      <c r="M33" s="2485"/>
      <c r="N33" s="2485"/>
      <c r="O33" s="2485"/>
      <c r="P33" s="3428" t="s">
        <v>1696</v>
      </c>
      <c r="Q33" s="1260" t="str">
        <f t="shared" si="11"/>
        <v>建筑类型</v>
      </c>
      <c r="R33" s="665" t="s">
        <v>14</v>
      </c>
      <c r="S33" s="666">
        <f t="shared" si="12"/>
        <v>100</v>
      </c>
      <c r="T33" s="665" t="s">
        <v>14</v>
      </c>
      <c r="U33" s="666">
        <f t="shared" si="13"/>
        <v>100</v>
      </c>
      <c r="V33" s="665" t="s">
        <v>14</v>
      </c>
      <c r="W33" s="666">
        <f t="shared" si="14"/>
        <v>100</v>
      </c>
      <c r="X33" s="1262"/>
      <c r="Y33" s="3431" t="s">
        <v>1696</v>
      </c>
      <c r="Z33" s="1261" t="str">
        <f t="shared" si="15"/>
        <v>建筑类型</v>
      </c>
      <c r="AA33" s="1261">
        <f t="shared" si="3"/>
        <v>1</v>
      </c>
      <c r="AB33" s="1261">
        <f t="shared" si="4"/>
        <v>1</v>
      </c>
      <c r="AC33" s="1809">
        <f t="shared" si="5"/>
        <v>1</v>
      </c>
    </row>
    <row r="34" spans="1:29" s="407" customFormat="1" ht="15">
      <c r="A34" s="405"/>
      <c r="B34" s="363" t="s">
        <v>1697</v>
      </c>
      <c r="C34" s="406"/>
      <c r="D34" s="119">
        <v>100</v>
      </c>
      <c r="E34" s="368"/>
      <c r="F34" s="363" t="e">
        <f>LOOKUP(E34,104:104,105:105)-LOOKUP(C34,104:104,105:105)+100</f>
        <v>#N/A</v>
      </c>
      <c r="G34" s="367"/>
      <c r="H34" s="119" t="e">
        <f>LOOKUP(G34,104:104,105:105)-LOOKUP(C34,104:104,105:105)+100</f>
        <v>#N/A</v>
      </c>
      <c r="I34" s="367"/>
      <c r="J34" s="119" t="e">
        <f>LOOKUP(I34,104:104,105:105)-LOOKUP(C34,104:104,105:105)+100</f>
        <v>#N/A</v>
      </c>
      <c r="K34" s="538"/>
      <c r="L34" s="2489"/>
      <c r="M34" s="2491"/>
      <c r="N34" s="2491"/>
      <c r="O34" s="2491"/>
      <c r="P34" s="3429"/>
      <c r="Q34" s="530" t="str">
        <f t="shared" si="11"/>
        <v>项目建筑规模</v>
      </c>
      <c r="R34" s="667" t="s">
        <v>14</v>
      </c>
      <c r="S34" s="668" t="e">
        <f t="shared" si="12"/>
        <v>#N/A</v>
      </c>
      <c r="T34" s="667" t="s">
        <v>14</v>
      </c>
      <c r="U34" s="668" t="e">
        <f t="shared" si="13"/>
        <v>#N/A</v>
      </c>
      <c r="V34" s="667" t="s">
        <v>14</v>
      </c>
      <c r="W34" s="668" t="e">
        <f t="shared" si="14"/>
        <v>#N/A</v>
      </c>
      <c r="X34" s="669"/>
      <c r="Y34" s="3431"/>
      <c r="Z34" s="670" t="str">
        <f t="shared" si="15"/>
        <v>项目建筑规模</v>
      </c>
      <c r="AA34" s="1261" t="e">
        <f t="shared" si="3"/>
        <v>#N/A</v>
      </c>
      <c r="AB34" s="1261"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429"/>
      <c r="Q35" s="1260" t="str">
        <f t="shared" si="11"/>
        <v>建筑结构</v>
      </c>
      <c r="R35" s="665" t="s">
        <v>14</v>
      </c>
      <c r="S35" s="666">
        <f t="shared" si="12"/>
        <v>100</v>
      </c>
      <c r="T35" s="665" t="s">
        <v>14</v>
      </c>
      <c r="U35" s="666">
        <f t="shared" si="13"/>
        <v>100</v>
      </c>
      <c r="V35" s="665" t="s">
        <v>14</v>
      </c>
      <c r="W35" s="666">
        <f t="shared" si="14"/>
        <v>100</v>
      </c>
      <c r="X35" s="1262"/>
      <c r="Y35" s="3431"/>
      <c r="Z35" s="1261" t="str">
        <f t="shared" si="15"/>
        <v>建筑结构</v>
      </c>
      <c r="AA35" s="1261">
        <f t="shared" si="3"/>
        <v>1</v>
      </c>
      <c r="AB35" s="1261">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429"/>
      <c r="Q36" s="1260" t="str">
        <f t="shared" si="11"/>
        <v>公共部分装修</v>
      </c>
      <c r="R36" s="665" t="s">
        <v>14</v>
      </c>
      <c r="S36" s="666">
        <f t="shared" si="12"/>
        <v>100</v>
      </c>
      <c r="T36" s="665" t="s">
        <v>14</v>
      </c>
      <c r="U36" s="666">
        <f t="shared" si="13"/>
        <v>100</v>
      </c>
      <c r="V36" s="665" t="s">
        <v>14</v>
      </c>
      <c r="W36" s="666">
        <f t="shared" si="14"/>
        <v>100</v>
      </c>
      <c r="X36" s="1262"/>
      <c r="Y36" s="3431"/>
      <c r="Z36" s="1261" t="str">
        <f t="shared" si="15"/>
        <v>公共部分装修</v>
      </c>
      <c r="AA36" s="1261">
        <f t="shared" si="3"/>
        <v>1</v>
      </c>
      <c r="AB36" s="1261">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429"/>
      <c r="Q37" s="1260" t="str">
        <f t="shared" si="11"/>
        <v>成新度</v>
      </c>
      <c r="R37" s="665" t="s">
        <v>14</v>
      </c>
      <c r="S37" s="666" t="e">
        <f t="shared" si="12"/>
        <v>#N/A</v>
      </c>
      <c r="T37" s="665" t="s">
        <v>14</v>
      </c>
      <c r="U37" s="666" t="e">
        <f t="shared" si="13"/>
        <v>#N/A</v>
      </c>
      <c r="V37" s="665" t="s">
        <v>14</v>
      </c>
      <c r="W37" s="666" t="e">
        <f t="shared" si="14"/>
        <v>#N/A</v>
      </c>
      <c r="X37" s="1262"/>
      <c r="Y37" s="3431"/>
      <c r="Z37" s="1261" t="str">
        <f t="shared" si="15"/>
        <v>成新度</v>
      </c>
      <c r="AA37" s="1261" t="e">
        <f t="shared" si="3"/>
        <v>#N/A</v>
      </c>
      <c r="AB37" s="1261" t="e">
        <f t="shared" si="4"/>
        <v>#N/A</v>
      </c>
      <c r="AC37" s="1809" t="e">
        <f t="shared" si="5"/>
        <v>#N/A</v>
      </c>
    </row>
    <row r="38" spans="1:29" s="102" customFormat="1" ht="15">
      <c r="A38" s="409"/>
      <c r="B38" s="363" t="s">
        <v>1818</v>
      </c>
      <c r="C38" s="398"/>
      <c r="D38" s="119">
        <v>100</v>
      </c>
      <c r="E38" s="398"/>
      <c r="F38" s="399">
        <f>SUMIF(113:113,E38,114:114)-SUMIF(113:113,C38,114:114)+100</f>
        <v>100</v>
      </c>
      <c r="G38" s="398"/>
      <c r="H38" s="373">
        <f>SUMIF(113:113,G38,114:114)-SUMIF(113:113,C38,114:114)+100</f>
        <v>100</v>
      </c>
      <c r="I38" s="398"/>
      <c r="J38" s="373">
        <f>SUMIF(113:113,I38,114:114)-SUMIF(113:113,C38,114:114)+100</f>
        <v>100</v>
      </c>
      <c r="K38" s="537"/>
      <c r="L38" s="2486"/>
      <c r="M38" s="2437"/>
      <c r="N38" s="2437"/>
      <c r="O38" s="2437"/>
      <c r="P38" s="3429"/>
      <c r="Q38" s="529" t="str">
        <f t="shared" si="11"/>
        <v>写字楼等级</v>
      </c>
      <c r="R38" s="662" t="s">
        <v>14</v>
      </c>
      <c r="S38" s="663">
        <f t="shared" si="12"/>
        <v>100</v>
      </c>
      <c r="T38" s="662" t="s">
        <v>14</v>
      </c>
      <c r="U38" s="663">
        <f t="shared" si="13"/>
        <v>100</v>
      </c>
      <c r="V38" s="662" t="s">
        <v>14</v>
      </c>
      <c r="W38" s="663">
        <f t="shared" si="14"/>
        <v>100</v>
      </c>
      <c r="X38" s="664"/>
      <c r="Y38" s="3431"/>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429" t="s">
        <v>1696</v>
      </c>
      <c r="Q39" s="1260" t="str">
        <f t="shared" si="11"/>
        <v>物业管理</v>
      </c>
      <c r="R39" s="665" t="s">
        <v>14</v>
      </c>
      <c r="S39" s="666">
        <f t="shared" si="12"/>
        <v>100</v>
      </c>
      <c r="T39" s="665" t="s">
        <v>14</v>
      </c>
      <c r="U39" s="666">
        <f t="shared" si="13"/>
        <v>100</v>
      </c>
      <c r="V39" s="665" t="s">
        <v>14</v>
      </c>
      <c r="W39" s="666">
        <f t="shared" si="14"/>
        <v>100</v>
      </c>
      <c r="X39" s="1262"/>
      <c r="Y39" s="3431" t="s">
        <v>1696</v>
      </c>
      <c r="Z39" s="1261" t="str">
        <f t="shared" si="15"/>
        <v>物业管理</v>
      </c>
      <c r="AA39" s="1261">
        <f t="shared" si="3"/>
        <v>1</v>
      </c>
      <c r="AB39" s="1261">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429"/>
      <c r="Q40" s="1260" t="str">
        <f t="shared" si="11"/>
        <v>市政基础设施</v>
      </c>
      <c r="R40" s="665" t="s">
        <v>14</v>
      </c>
      <c r="S40" s="666">
        <f t="shared" si="12"/>
        <v>100</v>
      </c>
      <c r="T40" s="665" t="s">
        <v>14</v>
      </c>
      <c r="U40" s="666">
        <f t="shared" si="13"/>
        <v>100</v>
      </c>
      <c r="V40" s="665" t="s">
        <v>14</v>
      </c>
      <c r="W40" s="666">
        <f t="shared" si="14"/>
        <v>100</v>
      </c>
      <c r="X40" s="1262"/>
      <c r="Y40" s="3431"/>
      <c r="Z40" s="1261" t="str">
        <f t="shared" si="15"/>
        <v>市政基础设施</v>
      </c>
      <c r="AA40" s="1261">
        <f t="shared" si="3"/>
        <v>1</v>
      </c>
      <c r="AB40" s="1261">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429"/>
      <c r="Q41" s="1260" t="str">
        <f t="shared" si="11"/>
        <v>层高</v>
      </c>
      <c r="R41" s="665" t="s">
        <v>14</v>
      </c>
      <c r="S41" s="666">
        <f t="shared" si="12"/>
        <v>100</v>
      </c>
      <c r="T41" s="665" t="s">
        <v>14</v>
      </c>
      <c r="U41" s="666">
        <f t="shared" si="13"/>
        <v>100</v>
      </c>
      <c r="V41" s="665" t="s">
        <v>14</v>
      </c>
      <c r="W41" s="666">
        <f t="shared" si="14"/>
        <v>100</v>
      </c>
      <c r="X41" s="1262"/>
      <c r="Y41" s="3431"/>
      <c r="Z41" s="1261" t="str">
        <f t="shared" si="15"/>
        <v>层高</v>
      </c>
      <c r="AA41" s="1261">
        <f t="shared" si="3"/>
        <v>1</v>
      </c>
      <c r="AB41" s="1261">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429"/>
      <c r="Q42" s="530" t="str">
        <f t="shared" si="11"/>
        <v>单套建筑面积</v>
      </c>
      <c r="R42" s="667" t="s">
        <v>14</v>
      </c>
      <c r="S42" s="668">
        <f t="shared" si="12"/>
        <v>100</v>
      </c>
      <c r="T42" s="667" t="s">
        <v>14</v>
      </c>
      <c r="U42" s="668">
        <f t="shared" si="13"/>
        <v>100</v>
      </c>
      <c r="V42" s="667" t="s">
        <v>14</v>
      </c>
      <c r="W42" s="668">
        <f t="shared" si="14"/>
        <v>100</v>
      </c>
      <c r="X42" s="669"/>
      <c r="Y42" s="3431"/>
      <c r="Z42" s="670" t="str">
        <f t="shared" si="15"/>
        <v>单套建筑面积</v>
      </c>
      <c r="AA42" s="1261">
        <f t="shared" si="3"/>
        <v>1</v>
      </c>
      <c r="AB42" s="1261">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429"/>
      <c r="Q43" s="1260" t="str">
        <f t="shared" si="11"/>
        <v>内部装修</v>
      </c>
      <c r="R43" s="665" t="s">
        <v>14</v>
      </c>
      <c r="S43" s="666">
        <f t="shared" si="12"/>
        <v>100</v>
      </c>
      <c r="T43" s="665" t="s">
        <v>14</v>
      </c>
      <c r="U43" s="666">
        <f t="shared" si="13"/>
        <v>100</v>
      </c>
      <c r="V43" s="665" t="s">
        <v>14</v>
      </c>
      <c r="W43" s="666">
        <f t="shared" si="14"/>
        <v>100</v>
      </c>
      <c r="X43" s="1262"/>
      <c r="Y43" s="3431"/>
      <c r="Z43" s="1261" t="str">
        <f t="shared" si="15"/>
        <v>内部装修</v>
      </c>
      <c r="AA43" s="1261">
        <f t="shared" si="3"/>
        <v>1</v>
      </c>
      <c r="AB43" s="1261">
        <f t="shared" si="4"/>
        <v>1</v>
      </c>
      <c r="AC43" s="1809">
        <f t="shared" si="5"/>
        <v>1</v>
      </c>
    </row>
    <row r="44" spans="1:29" ht="15">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90"/>
      <c r="M44" s="2485"/>
      <c r="N44" s="2485"/>
      <c r="O44" s="2485"/>
      <c r="P44" s="3429"/>
      <c r="Q44" s="1260" t="str">
        <f t="shared" si="11"/>
        <v>内部装修维护情况</v>
      </c>
      <c r="R44" s="665" t="s">
        <v>14</v>
      </c>
      <c r="S44" s="666">
        <f t="shared" si="12"/>
        <v>100</v>
      </c>
      <c r="T44" s="665" t="s">
        <v>14</v>
      </c>
      <c r="U44" s="666">
        <f t="shared" si="13"/>
        <v>100</v>
      </c>
      <c r="V44" s="665" t="s">
        <v>14</v>
      </c>
      <c r="W44" s="666">
        <f t="shared" si="14"/>
        <v>100</v>
      </c>
      <c r="X44" s="1262"/>
      <c r="Y44" s="3431"/>
      <c r="Z44" s="1261" t="str">
        <f t="shared" si="15"/>
        <v>内部装修维护情况</v>
      </c>
      <c r="AA44" s="1261">
        <f t="shared" si="3"/>
        <v>1</v>
      </c>
      <c r="AB44" s="1261">
        <f t="shared" si="4"/>
        <v>1</v>
      </c>
      <c r="AC44" s="1809">
        <f t="shared" si="5"/>
        <v>1</v>
      </c>
    </row>
    <row r="45" spans="1:29" s="102" customFormat="1" ht="15">
      <c r="A45" s="409"/>
      <c r="B45" s="1064">
        <v>111</v>
      </c>
      <c r="C45" s="406"/>
      <c r="D45" s="119">
        <v>100</v>
      </c>
      <c r="E45" s="370"/>
      <c r="F45" s="363">
        <f>SUMIF(127:127,E45,128:128)-SUMIF(127:127,C45,128:128)+100</f>
        <v>100</v>
      </c>
      <c r="G45" s="370"/>
      <c r="H45" s="119">
        <f>SUMIF(127:127,G45,128:128)-SUMIF(127:127,C45,128:128)+100</f>
        <v>100</v>
      </c>
      <c r="I45" s="370"/>
      <c r="J45" s="119">
        <f>SUMIF(127:127,I45,128:128)-SUMIF(127:127,C45,128:128)+100</f>
        <v>100</v>
      </c>
      <c r="K45" s="538"/>
      <c r="L45" s="2486"/>
      <c r="M45" s="2437"/>
      <c r="N45" s="2437"/>
      <c r="O45" s="2437"/>
      <c r="P45" s="3429"/>
      <c r="Q45" s="529">
        <f t="shared" si="11"/>
        <v>111</v>
      </c>
      <c r="R45" s="662" t="s">
        <v>14</v>
      </c>
      <c r="S45" s="663">
        <f t="shared" si="12"/>
        <v>100</v>
      </c>
      <c r="T45" s="662" t="s">
        <v>14</v>
      </c>
      <c r="U45" s="663">
        <f t="shared" si="13"/>
        <v>100</v>
      </c>
      <c r="V45" s="662" t="s">
        <v>14</v>
      </c>
      <c r="W45" s="663">
        <f t="shared" si="14"/>
        <v>100</v>
      </c>
      <c r="X45" s="664"/>
      <c r="Y45" s="3431"/>
      <c r="Z45" s="50">
        <f t="shared" si="15"/>
        <v>111</v>
      </c>
      <c r="AA45" s="50">
        <f t="shared" si="3"/>
        <v>1</v>
      </c>
      <c r="AB45" s="50">
        <f t="shared" si="4"/>
        <v>1</v>
      </c>
      <c r="AC45" s="800">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429"/>
      <c r="Q46" s="1260">
        <f t="shared" si="11"/>
        <v>111</v>
      </c>
      <c r="R46" s="665" t="s">
        <v>14</v>
      </c>
      <c r="S46" s="666">
        <f t="shared" si="12"/>
        <v>100</v>
      </c>
      <c r="T46" s="665" t="s">
        <v>14</v>
      </c>
      <c r="U46" s="666">
        <f t="shared" si="13"/>
        <v>100</v>
      </c>
      <c r="V46" s="665" t="s">
        <v>14</v>
      </c>
      <c r="W46" s="666">
        <f t="shared" si="14"/>
        <v>100</v>
      </c>
      <c r="X46" s="1262"/>
      <c r="Y46" s="3431"/>
      <c r="Z46" s="1261">
        <f t="shared" si="15"/>
        <v>111</v>
      </c>
      <c r="AA46" s="1261">
        <f t="shared" si="3"/>
        <v>1</v>
      </c>
      <c r="AB46" s="1261">
        <f t="shared" si="4"/>
        <v>1</v>
      </c>
      <c r="AC46" s="1809">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430"/>
      <c r="Q47" s="1260">
        <f t="shared" si="11"/>
        <v>111</v>
      </c>
      <c r="R47" s="665" t="s">
        <v>14</v>
      </c>
      <c r="S47" s="666">
        <f t="shared" si="12"/>
        <v>100</v>
      </c>
      <c r="T47" s="665" t="s">
        <v>14</v>
      </c>
      <c r="U47" s="666">
        <f t="shared" si="13"/>
        <v>100</v>
      </c>
      <c r="V47" s="665" t="s">
        <v>14</v>
      </c>
      <c r="W47" s="666">
        <f t="shared" si="14"/>
        <v>100</v>
      </c>
      <c r="X47" s="1262"/>
      <c r="Y47" s="3432"/>
      <c r="Z47" s="1261">
        <f t="shared" si="15"/>
        <v>111</v>
      </c>
      <c r="AA47" s="1261">
        <f t="shared" si="3"/>
        <v>1</v>
      </c>
      <c r="AB47" s="1261">
        <f t="shared" si="4"/>
        <v>1</v>
      </c>
      <c r="AC47" s="1809">
        <f t="shared" si="5"/>
        <v>1</v>
      </c>
    </row>
    <row r="48" spans="1:29" ht="15">
      <c r="A48" s="415" t="s">
        <v>1708</v>
      </c>
      <c r="B48" s="416"/>
      <c r="C48" s="1078" t="s">
        <v>0</v>
      </c>
      <c r="D48" s="417"/>
      <c r="E48" s="418"/>
      <c r="F48" s="419"/>
      <c r="G48" s="420"/>
      <c r="H48" s="421"/>
      <c r="I48" s="418"/>
      <c r="J48" s="421"/>
      <c r="K48" s="672"/>
      <c r="L48" s="2492"/>
      <c r="M48" s="2485"/>
      <c r="N48" s="2485"/>
      <c r="O48" s="2485"/>
      <c r="P48" s="3435" t="str">
        <f>A48</f>
        <v>成交单价（元/平方米）</v>
      </c>
      <c r="Q48" s="3424"/>
      <c r="R48" s="3425">
        <f>E48</f>
        <v>0</v>
      </c>
      <c r="S48" s="3425"/>
      <c r="T48" s="3425">
        <f>G48</f>
        <v>0</v>
      </c>
      <c r="U48" s="3425"/>
      <c r="V48" s="3425">
        <f>I48</f>
        <v>0</v>
      </c>
      <c r="W48" s="3425"/>
      <c r="X48" s="384"/>
      <c r="Y48" s="671"/>
      <c r="Z48" s="384"/>
      <c r="AA48" s="384"/>
      <c r="AB48" s="384"/>
      <c r="AC48" s="554"/>
    </row>
    <row r="49" spans="1:29" ht="15.75" thickBot="1">
      <c r="A49" s="422" t="s">
        <v>1793</v>
      </c>
      <c r="B49" s="423"/>
      <c r="C49" s="1079" t="e">
        <f>R50</f>
        <v>#DIV/0!</v>
      </c>
      <c r="D49" s="2138" t="s">
        <v>2138</v>
      </c>
      <c r="E49" s="1080" t="e">
        <f>R49</f>
        <v>#DIV/0!</v>
      </c>
      <c r="F49" s="2139"/>
      <c r="G49" s="1079" t="e">
        <f>T49</f>
        <v>#DIV/0!</v>
      </c>
      <c r="H49" s="2139"/>
      <c r="I49" s="1080" t="e">
        <f>V49</f>
        <v>#DIV/0!</v>
      </c>
      <c r="J49" s="2139"/>
      <c r="K49" s="2141">
        <f>F49+H49+J49</f>
        <v>0</v>
      </c>
      <c r="L49" s="2492"/>
      <c r="M49" s="2485"/>
      <c r="N49" s="2485"/>
      <c r="O49" s="2485"/>
      <c r="P49" s="3435" t="str">
        <f>A49</f>
        <v>比较价值（元/平方米）</v>
      </c>
      <c r="Q49" s="3424"/>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384"/>
      <c r="Y49" s="384"/>
      <c r="Z49" s="384"/>
      <c r="AA49" s="384"/>
      <c r="AB49" s="384"/>
      <c r="AC49" s="554"/>
    </row>
    <row r="50" spans="1:29" ht="15.75" thickBot="1">
      <c r="A50" s="426" t="s">
        <v>1794</v>
      </c>
      <c r="B50" s="427"/>
      <c r="C50" s="350" t="e">
        <f>R50</f>
        <v>#DIV/0!</v>
      </c>
      <c r="D50" s="350"/>
      <c r="E50" s="350"/>
      <c r="F50" s="350"/>
      <c r="G50" s="350"/>
      <c r="H50" s="350"/>
      <c r="I50" s="350"/>
      <c r="J50" s="428"/>
      <c r="K50" s="673"/>
      <c r="L50" s="2492"/>
      <c r="M50" s="2485"/>
      <c r="N50" s="2485"/>
      <c r="O50" s="2485"/>
      <c r="P50" s="3466" t="str">
        <f>A50</f>
        <v>估价对象XX用房的比较价值（楼面单价，元/平方米）</v>
      </c>
      <c r="Q50" s="3467"/>
      <c r="R50" s="3468" t="e">
        <f>IF(F1="售价",ROUND(IF(D49="简单平均",AVERAGE(R49:V49),R49*F49+T49*H49+V49*J49),0),ROUND(IF(D49="简单平均",AVERAGE(R49:V49),R49*F49+T49*H49+V49*J49),1))</f>
        <v>#DIV/0!</v>
      </c>
      <c r="S50" s="3468"/>
      <c r="T50" s="3468"/>
      <c r="U50" s="3468"/>
      <c r="V50" s="3468"/>
      <c r="W50" s="3468"/>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6" t="s">
        <v>1798</v>
      </c>
      <c r="B58" s="384"/>
      <c r="C58" s="657"/>
      <c r="D58" s="657"/>
      <c r="E58" s="657"/>
      <c r="F58" s="658"/>
      <c r="G58" s="658"/>
      <c r="H58" s="657"/>
      <c r="I58" s="657"/>
      <c r="J58" s="657"/>
      <c r="K58" s="659"/>
      <c r="L58" s="886"/>
      <c r="M58" s="884"/>
      <c r="N58" s="2535"/>
      <c r="O58" s="2535"/>
      <c r="P58" s="2524"/>
      <c r="Q58" s="2506"/>
      <c r="R58" s="2485"/>
      <c r="S58" s="2485"/>
      <c r="T58" s="2485"/>
      <c r="U58" s="2485"/>
      <c r="V58" s="2485"/>
      <c r="W58" s="2485"/>
      <c r="X58" s="2485"/>
      <c r="Y58" s="2485"/>
      <c r="Z58" s="2485"/>
      <c r="AA58" s="2485"/>
      <c r="AB58" s="2485"/>
      <c r="AC58" s="2485"/>
    </row>
    <row r="59" spans="1:29" s="441" customFormat="1" ht="15">
      <c r="A59" s="439" t="s">
        <v>1679</v>
      </c>
      <c r="B59" s="440"/>
      <c r="C59" s="1100" t="str">
        <f>YEAR(C7)&amp;"-"&amp;MONTH(C7)</f>
        <v>2024-11</v>
      </c>
      <c r="D59" s="1101">
        <f>EDATE(C59,-1)</f>
        <v>45566</v>
      </c>
      <c r="E59" s="1101">
        <f>EDATE(D59,-1)</f>
        <v>45536</v>
      </c>
      <c r="F59" s="1101">
        <f t="shared" ref="F59:O59" si="16">EDATE(E59,-1)</f>
        <v>45505</v>
      </c>
      <c r="G59" s="1101">
        <f t="shared" si="16"/>
        <v>45474</v>
      </c>
      <c r="H59" s="1101">
        <f t="shared" si="16"/>
        <v>45444</v>
      </c>
      <c r="I59" s="1101">
        <f t="shared" si="16"/>
        <v>45413</v>
      </c>
      <c r="J59" s="1101">
        <f t="shared" si="16"/>
        <v>45383</v>
      </c>
      <c r="K59" s="1101">
        <f t="shared" si="16"/>
        <v>45352</v>
      </c>
      <c r="L59" s="1101">
        <f t="shared" si="16"/>
        <v>45323</v>
      </c>
      <c r="M59" s="1101">
        <f t="shared" si="16"/>
        <v>45292</v>
      </c>
      <c r="N59" s="1101">
        <f t="shared" si="16"/>
        <v>45261</v>
      </c>
      <c r="O59" s="1101">
        <f t="shared" si="16"/>
        <v>45231</v>
      </c>
      <c r="P59" s="2525"/>
      <c r="Q59" s="2508"/>
      <c r="R59" s="2508"/>
      <c r="S59" s="2508"/>
      <c r="T59" s="2508"/>
      <c r="U59" s="2508"/>
      <c r="V59" s="2508"/>
      <c r="W59" s="2508"/>
      <c r="X59" s="2508"/>
      <c r="Y59" s="2508"/>
      <c r="Z59" s="2508"/>
      <c r="AA59" s="2508"/>
      <c r="AB59" s="2508"/>
      <c r="AC59" s="2508"/>
    </row>
    <row r="60" spans="1:29" s="102" customFormat="1" ht="15">
      <c r="A60" s="442"/>
      <c r="B60" s="443"/>
      <c r="C60" s="1099">
        <v>100</v>
      </c>
      <c r="D60" s="445"/>
      <c r="E60" s="445"/>
      <c r="F60" s="445"/>
      <c r="G60" s="445"/>
      <c r="H60" s="445"/>
      <c r="I60" s="445"/>
      <c r="J60" s="445"/>
      <c r="K60" s="445"/>
      <c r="L60" s="445"/>
      <c r="M60" s="446"/>
      <c r="N60" s="445"/>
      <c r="O60" s="446"/>
      <c r="P60" s="2526"/>
      <c r="Q60" s="2437"/>
      <c r="R60" s="2437"/>
      <c r="S60" s="2437"/>
      <c r="T60" s="2437"/>
      <c r="U60" s="2437"/>
      <c r="V60" s="2437"/>
      <c r="W60" s="2437"/>
      <c r="X60" s="2437"/>
      <c r="Y60" s="2437"/>
      <c r="Z60" s="2437"/>
      <c r="AA60" s="2437"/>
      <c r="AB60" s="2437"/>
      <c r="AC60" s="2437"/>
    </row>
    <row r="61" spans="1:29" s="102" customFormat="1" ht="15.75" thickBot="1">
      <c r="A61" s="448" t="s">
        <v>1716</v>
      </c>
      <c r="B61" s="449"/>
      <c r="C61" s="450"/>
      <c r="D61" s="451"/>
      <c r="E61" s="451"/>
      <c r="F61" s="451"/>
      <c r="G61" s="451"/>
      <c r="H61" s="451"/>
      <c r="I61" s="451"/>
      <c r="J61" s="451"/>
      <c r="K61" s="451"/>
      <c r="L61" s="451"/>
      <c r="M61" s="452"/>
      <c r="N61" s="451"/>
      <c r="O61" s="452"/>
      <c r="P61" s="2526"/>
      <c r="Q61" s="2506"/>
      <c r="R61" s="2437"/>
      <c r="S61" s="2437"/>
      <c r="T61" s="2437"/>
      <c r="U61" s="2437"/>
      <c r="V61" s="2437"/>
      <c r="W61" s="2437"/>
      <c r="X61" s="2437"/>
      <c r="Y61" s="2437"/>
      <c r="Z61" s="2437"/>
      <c r="AA61" s="2437"/>
      <c r="AB61" s="2437"/>
      <c r="AC61" s="2437"/>
    </row>
    <row r="62" spans="1:29" s="102" customFormat="1" ht="15">
      <c r="A62" s="454" t="s">
        <v>1681</v>
      </c>
      <c r="B62" s="443"/>
      <c r="C62" s="455" t="s">
        <v>1776</v>
      </c>
      <c r="D62" s="31"/>
      <c r="E62" s="31"/>
      <c r="F62" s="31"/>
      <c r="G62" s="31"/>
      <c r="H62" s="31"/>
      <c r="I62" s="31"/>
      <c r="J62" s="31"/>
      <c r="K62" s="31"/>
      <c r="L62" s="456"/>
      <c r="M62" s="457"/>
      <c r="N62" s="2518"/>
      <c r="O62" s="2518"/>
      <c r="P62" s="2527"/>
      <c r="Q62" s="2506"/>
      <c r="R62" s="2437"/>
      <c r="S62" s="2437"/>
      <c r="T62" s="2437"/>
      <c r="U62" s="2437"/>
      <c r="V62" s="2437"/>
      <c r="W62" s="2437"/>
      <c r="X62" s="2437"/>
      <c r="Y62" s="2437"/>
      <c r="Z62" s="2437"/>
      <c r="AA62" s="2437"/>
      <c r="AB62" s="2437"/>
      <c r="AC62" s="2437"/>
    </row>
    <row r="63" spans="1:29" s="102" customFormat="1" ht="15.75" thickBot="1">
      <c r="A63" s="454"/>
      <c r="B63" s="443"/>
      <c r="C63" s="444">
        <v>100</v>
      </c>
      <c r="D63" s="445"/>
      <c r="E63" s="445"/>
      <c r="F63" s="445"/>
      <c r="G63" s="445"/>
      <c r="H63" s="445"/>
      <c r="I63" s="445"/>
      <c r="J63" s="445"/>
      <c r="K63" s="445"/>
      <c r="L63" s="445"/>
      <c r="M63" s="447"/>
      <c r="N63" s="2518"/>
      <c r="O63" s="2518"/>
      <c r="P63" s="2526"/>
      <c r="Q63" s="2506"/>
      <c r="R63" s="2437"/>
      <c r="S63" s="2437"/>
      <c r="T63" s="2437"/>
      <c r="U63" s="2437"/>
      <c r="V63" s="2437"/>
      <c r="W63" s="2437"/>
      <c r="X63" s="2437"/>
      <c r="Y63" s="2437"/>
      <c r="Z63" s="2437"/>
      <c r="AA63" s="2437"/>
      <c r="AB63" s="2437"/>
      <c r="AC63" s="2437"/>
    </row>
    <row r="64" spans="1:29">
      <c r="A64" s="378" t="s">
        <v>1719</v>
      </c>
      <c r="B64" s="459" t="s">
        <v>1685</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5.75"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7.75" thickTop="1">
      <c r="A66" s="366"/>
      <c r="B66" s="468" t="s">
        <v>1688</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5.75"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5.75"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5.75"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5.75"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5.75"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5.75"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5.75"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7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7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75" thickTop="1">
      <c r="A83" s="366"/>
      <c r="B83" s="476" t="s">
        <v>1813</v>
      </c>
      <c r="C83" s="580" t="s">
        <v>1799</v>
      </c>
      <c r="D83" s="580" t="s">
        <v>1800</v>
      </c>
      <c r="E83" s="580" t="s">
        <v>1801</v>
      </c>
      <c r="F83" s="580" t="s">
        <v>1802</v>
      </c>
      <c r="G83" s="580" t="s">
        <v>1803</v>
      </c>
      <c r="H83" s="469"/>
      <c r="I83" s="469"/>
      <c r="J83" s="469"/>
      <c r="K83" s="469"/>
      <c r="L83" s="469"/>
      <c r="M83" s="1061"/>
      <c r="N83" s="2520"/>
      <c r="O83" s="2520"/>
      <c r="P83" s="2528"/>
      <c r="Q83" s="2506"/>
      <c r="R83" s="2485"/>
      <c r="S83" s="2485"/>
      <c r="T83" s="2485"/>
      <c r="U83" s="2485"/>
      <c r="V83" s="2485"/>
      <c r="W83" s="2485"/>
      <c r="X83" s="2485"/>
      <c r="Y83" s="2485"/>
      <c r="Z83" s="2485"/>
      <c r="AA83" s="2485"/>
      <c r="AB83" s="2485"/>
      <c r="AC83" s="2485"/>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7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2" customFormat="1" ht="27.75" thickTop="1">
      <c r="A87" s="369"/>
      <c r="B87" s="468" t="s">
        <v>1823</v>
      </c>
      <c r="C87" s="484"/>
      <c r="D87" s="484"/>
      <c r="E87" s="484"/>
      <c r="F87" s="484"/>
      <c r="G87" s="484"/>
      <c r="H87" s="484"/>
      <c r="I87" s="484"/>
      <c r="J87" s="484"/>
      <c r="K87" s="484"/>
      <c r="L87" s="509"/>
      <c r="M87" s="510"/>
      <c r="N87" s="2518"/>
      <c r="O87" s="2518"/>
      <c r="P87" s="2528"/>
      <c r="Q87" s="2506"/>
      <c r="R87" s="2437"/>
      <c r="S87" s="2437"/>
      <c r="T87" s="2437"/>
      <c r="U87" s="2437"/>
      <c r="V87" s="2437"/>
      <c r="W87" s="2437"/>
      <c r="X87" s="2437"/>
      <c r="Y87" s="2437"/>
      <c r="Z87" s="2437"/>
      <c r="AA87" s="2437"/>
      <c r="AB87" s="2437"/>
      <c r="AC87" s="2437"/>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69"/>
      <c r="B89" s="468" t="str">
        <f>B27</f>
        <v>楼层</v>
      </c>
      <c r="C89" s="484"/>
      <c r="D89" s="484"/>
      <c r="E89" s="484"/>
      <c r="F89" s="1777"/>
      <c r="G89" s="484"/>
      <c r="H89" s="484"/>
      <c r="I89" s="484"/>
      <c r="J89" s="484"/>
      <c r="K89" s="484"/>
      <c r="L89" s="484"/>
      <c r="M89" s="510"/>
      <c r="N89" s="2518"/>
      <c r="O89" s="2518"/>
      <c r="P89" s="2528"/>
      <c r="Q89" s="2506"/>
      <c r="R89" s="2437"/>
      <c r="S89" s="2437"/>
      <c r="T89" s="2437"/>
      <c r="U89" s="2437"/>
      <c r="V89" s="2437"/>
      <c r="W89" s="2437"/>
      <c r="X89" s="2437"/>
      <c r="Y89" s="2437"/>
      <c r="Z89" s="2437"/>
      <c r="AA89" s="2437"/>
      <c r="AB89" s="2437"/>
      <c r="AC89" s="2437"/>
    </row>
    <row r="90" spans="1:29" s="102"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7"/>
      <c r="S90" s="2437"/>
      <c r="T90" s="2437"/>
      <c r="U90" s="2437"/>
      <c r="V90" s="2437"/>
      <c r="W90" s="2437"/>
      <c r="X90" s="2437"/>
      <c r="Y90" s="2437"/>
      <c r="Z90" s="2437"/>
      <c r="AA90" s="2437"/>
      <c r="AB90" s="2437"/>
      <c r="AC90" s="2437"/>
    </row>
    <row r="91" spans="1:29" s="407" customFormat="1" ht="15.75"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5.75"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5.75"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5.75"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5.75"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5.75"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c r="A101" s="378" t="s">
        <v>1694</v>
      </c>
      <c r="B101" s="459" t="s">
        <v>1736</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5.75"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512"/>
      <c r="D119" s="512"/>
      <c r="E119" s="512"/>
      <c r="F119" s="512"/>
      <c r="G119" s="512"/>
      <c r="H119" s="512"/>
      <c r="I119" s="512"/>
      <c r="J119" s="512"/>
      <c r="K119" s="512"/>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5.75"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5"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5.75"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5"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5.75"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5"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5.75"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估价对象为北京市房地产，为所有。根据《国有土地使用证》[]，估价对象（分摊）出让国有建设用地使用权面积为14991.03平方米，建筑面积为48377.23平方米。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估价对象为北京市房地产,属开发建设的工业项目，该项目尚在开发建设中。根据《国有土地使用证》[]，估价对象（分摊）出让国有建设用地使用权面积为14991.03平方米，规划建筑面积为48377.23平方米。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2024年11月11日（评估专业人员实地查勘之日）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11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本次评估采用的主估价方法为成本法和收益法。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5" t="s">
        <v>1826</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48377.229999999996</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439" t="s">
        <v>1770</v>
      </c>
      <c r="D4" s="3440"/>
      <c r="E4" s="3441" t="s">
        <v>1771</v>
      </c>
      <c r="F4" s="3442"/>
      <c r="G4" s="3439" t="s">
        <v>1772</v>
      </c>
      <c r="H4" s="3440"/>
      <c r="I4" s="3439" t="s">
        <v>1773</v>
      </c>
      <c r="J4" s="3440"/>
      <c r="K4" s="536" t="s">
        <v>1774</v>
      </c>
      <c r="L4" s="858"/>
      <c r="M4" s="859"/>
      <c r="N4" s="859"/>
      <c r="O4" s="859"/>
      <c r="P4" s="3443" t="s">
        <v>1775</v>
      </c>
      <c r="Q4" s="3444"/>
      <c r="R4" s="3449" t="s">
        <v>1771</v>
      </c>
      <c r="S4" s="3450"/>
      <c r="T4" s="3449" t="s">
        <v>1772</v>
      </c>
      <c r="U4" s="3450"/>
      <c r="V4" s="3425" t="s">
        <v>1773</v>
      </c>
      <c r="W4" s="3425"/>
      <c r="X4" s="1262"/>
      <c r="Y4" s="3449" t="s">
        <v>1775</v>
      </c>
      <c r="Z4" s="3450"/>
      <c r="AA4" s="3436" t="s">
        <v>1771</v>
      </c>
      <c r="AB4" s="3437" t="s">
        <v>1772</v>
      </c>
      <c r="AC4" s="3436" t="s">
        <v>1773</v>
      </c>
    </row>
    <row r="5" spans="1:29" ht="15">
      <c r="A5" s="347"/>
      <c r="B5" s="348"/>
      <c r="C5" s="3457" t="s">
        <v>1673</v>
      </c>
      <c r="D5" s="3458"/>
      <c r="E5" s="3464" t="s">
        <v>1674</v>
      </c>
      <c r="F5" s="3465"/>
      <c r="G5" s="3457" t="s">
        <v>1675</v>
      </c>
      <c r="H5" s="3458"/>
      <c r="I5" s="3457" t="s">
        <v>1676</v>
      </c>
      <c r="J5" s="3458"/>
      <c r="K5" s="536"/>
      <c r="L5" s="858"/>
      <c r="M5" s="859"/>
      <c r="N5" s="859"/>
      <c r="O5" s="859"/>
      <c r="P5" s="3445"/>
      <c r="Q5" s="3446"/>
      <c r="R5" s="3451"/>
      <c r="S5" s="3452"/>
      <c r="T5" s="3451"/>
      <c r="U5" s="3452"/>
      <c r="V5" s="3425"/>
      <c r="W5" s="3425"/>
      <c r="X5" s="1262"/>
      <c r="Y5" s="3451"/>
      <c r="Z5" s="3452"/>
      <c r="AA5" s="3437"/>
      <c r="AB5" s="3437"/>
      <c r="AC5" s="3437"/>
    </row>
    <row r="6" spans="1:29" ht="15.75" thickBot="1">
      <c r="A6" s="349"/>
      <c r="B6" s="350"/>
      <c r="C6" s="3455" t="s">
        <v>1677</v>
      </c>
      <c r="D6" s="3456"/>
      <c r="E6" s="3462" t="s">
        <v>1677</v>
      </c>
      <c r="F6" s="3463"/>
      <c r="G6" s="3455" t="s">
        <v>1677</v>
      </c>
      <c r="H6" s="3456"/>
      <c r="I6" s="3455" t="s">
        <v>1677</v>
      </c>
      <c r="J6" s="3456"/>
      <c r="K6" s="536" t="s">
        <v>1678</v>
      </c>
      <c r="L6" s="858"/>
      <c r="M6" s="859"/>
      <c r="N6" s="859"/>
      <c r="O6" s="859"/>
      <c r="P6" s="3447"/>
      <c r="Q6" s="3448"/>
      <c r="R6" s="3451"/>
      <c r="S6" s="3452"/>
      <c r="T6" s="3453"/>
      <c r="U6" s="3454"/>
      <c r="V6" s="3425"/>
      <c r="W6" s="3425"/>
      <c r="X6" s="1262"/>
      <c r="Y6" s="3453"/>
      <c r="Z6" s="3454"/>
      <c r="AA6" s="3438"/>
      <c r="AB6" s="3438"/>
      <c r="AC6" s="3438"/>
    </row>
    <row r="7" spans="1:29" s="102" customFormat="1" ht="15.75" thickBot="1">
      <c r="A7" s="351" t="s">
        <v>1679</v>
      </c>
      <c r="B7" s="352"/>
      <c r="C7" s="353">
        <f>'数据-取费表'!B2</f>
        <v>45607</v>
      </c>
      <c r="D7" s="354">
        <v>100</v>
      </c>
      <c r="E7" s="355"/>
      <c r="F7" s="356">
        <f>SUMIF(52:52,YEAR(E7)&amp;"-"&amp;MONTH(E7),53:53)</f>
        <v>0</v>
      </c>
      <c r="G7" s="355"/>
      <c r="H7" s="354">
        <f>SUMIF(52:52,YEAR(G7)&amp;"-"&amp;MONTH(G7),53:53)</f>
        <v>0</v>
      </c>
      <c r="I7" s="355"/>
      <c r="J7" s="354">
        <f>SUMIF(52:52,YEAR(I7)&amp;"-"&amp;MONTH(I7),53:53)</f>
        <v>0</v>
      </c>
      <c r="K7" s="38"/>
      <c r="L7" s="860"/>
      <c r="M7" s="861"/>
      <c r="N7" s="861"/>
      <c r="O7" s="861"/>
      <c r="P7" s="3459" t="s">
        <v>1680</v>
      </c>
      <c r="Q7" s="3461"/>
      <c r="R7" s="662" t="s">
        <v>14</v>
      </c>
      <c r="S7" s="663">
        <f t="shared" ref="S7:S15" si="0">F7</f>
        <v>0</v>
      </c>
      <c r="T7" s="662" t="s">
        <v>14</v>
      </c>
      <c r="U7" s="663">
        <f t="shared" ref="U7:U15" si="1">H7</f>
        <v>0</v>
      </c>
      <c r="V7" s="662" t="s">
        <v>14</v>
      </c>
      <c r="W7" s="663">
        <f t="shared" ref="W7:W15" si="2">J7</f>
        <v>0</v>
      </c>
      <c r="X7" s="664"/>
      <c r="Y7" s="3459" t="s">
        <v>1680</v>
      </c>
      <c r="Z7" s="3460"/>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59" t="s">
        <v>1683</v>
      </c>
      <c r="Q8" s="3460"/>
      <c r="R8" s="662" t="s">
        <v>14</v>
      </c>
      <c r="S8" s="663">
        <f t="shared" si="0"/>
        <v>100</v>
      </c>
      <c r="T8" s="662" t="s">
        <v>14</v>
      </c>
      <c r="U8" s="663">
        <f t="shared" si="1"/>
        <v>100</v>
      </c>
      <c r="V8" s="662" t="s">
        <v>14</v>
      </c>
      <c r="W8" s="663">
        <f t="shared" si="2"/>
        <v>100</v>
      </c>
      <c r="X8" s="664"/>
      <c r="Y8" s="3459" t="s">
        <v>1683</v>
      </c>
      <c r="Z8" s="3460"/>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24" t="s">
        <v>1686</v>
      </c>
      <c r="Q9" s="529" t="str">
        <f t="shared" ref="Q9:Q15" si="6">B9</f>
        <v>用途</v>
      </c>
      <c r="R9" s="662" t="s">
        <v>14</v>
      </c>
      <c r="S9" s="663">
        <f t="shared" si="0"/>
        <v>100</v>
      </c>
      <c r="T9" s="662" t="s">
        <v>14</v>
      </c>
      <c r="U9" s="663">
        <f t="shared" si="1"/>
        <v>100</v>
      </c>
      <c r="V9" s="662" t="s">
        <v>14</v>
      </c>
      <c r="W9" s="663">
        <f t="shared" si="2"/>
        <v>100</v>
      </c>
      <c r="X9" s="664"/>
      <c r="Y9" s="3298" t="s">
        <v>1687</v>
      </c>
      <c r="Z9" s="50" t="str">
        <f t="shared" ref="Z9:Z15" si="7">Q9</f>
        <v>用途</v>
      </c>
      <c r="AA9" s="50">
        <f t="shared" si="3"/>
        <v>1</v>
      </c>
      <c r="AB9" s="50">
        <f t="shared" si="4"/>
        <v>1</v>
      </c>
      <c r="AC9" s="50">
        <f t="shared" si="5"/>
        <v>1</v>
      </c>
    </row>
    <row r="10" spans="1:29" s="365" customFormat="1" ht="27">
      <c r="A10" s="362"/>
      <c r="B10" s="363"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3"/>
      <c r="M10" s="864"/>
      <c r="N10" s="864"/>
      <c r="O10" s="865"/>
      <c r="P10" s="3424"/>
      <c r="Q10" s="529" t="str">
        <f t="shared" si="6"/>
        <v>土地使用年限（年）</v>
      </c>
      <c r="R10" s="662" t="s">
        <v>14</v>
      </c>
      <c r="S10" s="663">
        <f t="shared" si="0"/>
        <v>100</v>
      </c>
      <c r="T10" s="662" t="s">
        <v>14</v>
      </c>
      <c r="U10" s="663">
        <f t="shared" si="1"/>
        <v>100</v>
      </c>
      <c r="V10" s="662" t="s">
        <v>14</v>
      </c>
      <c r="W10" s="663">
        <f t="shared" si="2"/>
        <v>100</v>
      </c>
      <c r="X10" s="664"/>
      <c r="Y10" s="3298"/>
      <c r="Z10" s="50" t="str">
        <f t="shared" si="7"/>
        <v>土地使用年限（年）</v>
      </c>
      <c r="AA10" s="50">
        <f t="shared" si="3"/>
        <v>1</v>
      </c>
      <c r="AB10" s="50">
        <f t="shared" si="4"/>
        <v>1</v>
      </c>
      <c r="AC10" s="50">
        <f t="shared" si="5"/>
        <v>1</v>
      </c>
    </row>
    <row r="11" spans="1:29" ht="15">
      <c r="A11" s="366"/>
      <c r="B11" s="363" t="s">
        <v>1689</v>
      </c>
      <c r="C11" s="367"/>
      <c r="D11" s="119">
        <v>100</v>
      </c>
      <c r="E11" s="367"/>
      <c r="F11" s="119">
        <f>LOOKUP(E11,62:62,63:63)-LOOKUP(C11,62:62,63:63)+100</f>
        <v>100</v>
      </c>
      <c r="G11" s="368"/>
      <c r="H11" s="119">
        <f>LOOKUP(G11,62:62,63:63)-LOOKUP(C11,62:62,63:63)+100</f>
        <v>100</v>
      </c>
      <c r="I11" s="367"/>
      <c r="J11" s="119">
        <f>LOOKUP(I11,62:62,63:63)-LOOKUP(C11,62:62,63:63)+100</f>
        <v>100</v>
      </c>
      <c r="K11" s="537"/>
      <c r="L11" s="866"/>
      <c r="M11" s="859"/>
      <c r="N11" s="859"/>
      <c r="O11" s="867"/>
      <c r="P11" s="3424"/>
      <c r="Q11" s="529" t="str">
        <f t="shared" si="6"/>
        <v>容积率</v>
      </c>
      <c r="R11" s="662" t="s">
        <v>14</v>
      </c>
      <c r="S11" s="663">
        <f t="shared" si="0"/>
        <v>100</v>
      </c>
      <c r="T11" s="662" t="s">
        <v>14</v>
      </c>
      <c r="U11" s="663">
        <f t="shared" si="1"/>
        <v>100</v>
      </c>
      <c r="V11" s="662" t="s">
        <v>14</v>
      </c>
      <c r="W11" s="663">
        <f t="shared" si="2"/>
        <v>100</v>
      </c>
      <c r="X11" s="664"/>
      <c r="Y11" s="3298"/>
      <c r="Z11" s="50" t="str">
        <f t="shared" si="7"/>
        <v>容积率</v>
      </c>
      <c r="AA11" s="50">
        <f t="shared" si="3"/>
        <v>1</v>
      </c>
      <c r="AB11" s="50">
        <f t="shared" si="4"/>
        <v>1</v>
      </c>
      <c r="AC11" s="50">
        <f t="shared" si="5"/>
        <v>1</v>
      </c>
    </row>
    <row r="12" spans="1:29" s="102" customFormat="1" ht="15">
      <c r="A12" s="369"/>
      <c r="B12" s="446">
        <v>111</v>
      </c>
      <c r="C12" s="370"/>
      <c r="D12" s="371">
        <v>100</v>
      </c>
      <c r="E12" s="372"/>
      <c r="F12" s="119">
        <f>SUMIF(64:64,E12,65:65)-SUMIF(64:64,C12,65:65)+100</f>
        <v>100</v>
      </c>
      <c r="G12" s="1815"/>
      <c r="H12" s="119">
        <f>SUMIF(64:64,G12,65:65)-SUMIF(64:64,C12,65:65)+100</f>
        <v>100</v>
      </c>
      <c r="I12" s="406"/>
      <c r="J12" s="119">
        <f>SUMIF(64:64,I12,65:65)-SUMIF(64:64,C12,65:65)+100</f>
        <v>100</v>
      </c>
      <c r="K12" s="538"/>
      <c r="L12" s="860"/>
      <c r="M12" s="861"/>
      <c r="N12" s="861"/>
      <c r="O12" s="862"/>
      <c r="P12" s="3424"/>
      <c r="Q12" s="529">
        <f t="shared" si="6"/>
        <v>111</v>
      </c>
      <c r="R12" s="662" t="s">
        <v>14</v>
      </c>
      <c r="S12" s="663">
        <f t="shared" si="0"/>
        <v>100</v>
      </c>
      <c r="T12" s="662" t="s">
        <v>14</v>
      </c>
      <c r="U12" s="663">
        <f t="shared" si="1"/>
        <v>100</v>
      </c>
      <c r="V12" s="662" t="s">
        <v>14</v>
      </c>
      <c r="W12" s="663">
        <f t="shared" si="2"/>
        <v>100</v>
      </c>
      <c r="X12" s="664"/>
      <c r="Y12" s="3298"/>
      <c r="Z12" s="50">
        <f t="shared" si="7"/>
        <v>111</v>
      </c>
      <c r="AA12" s="50">
        <f>D12/F12</f>
        <v>1</v>
      </c>
      <c r="AB12" s="50">
        <f>D12/H12</f>
        <v>1</v>
      </c>
      <c r="AC12" s="50">
        <f>D12/J12</f>
        <v>1</v>
      </c>
    </row>
    <row r="13" spans="1:29" ht="15">
      <c r="A13" s="366"/>
      <c r="B13" s="446">
        <v>111</v>
      </c>
      <c r="C13" s="372"/>
      <c r="D13" s="373">
        <v>100</v>
      </c>
      <c r="E13" s="372"/>
      <c r="F13" s="119">
        <f>SUMIF(66:66,E13,67:67)-SUMIF(66:66,C13,67:67)+100</f>
        <v>100</v>
      </c>
      <c r="G13" s="1815"/>
      <c r="H13" s="373">
        <f>SUMIF(66:66,G13,67:67)-SUMIF(66:66,C13,67:67)+100</f>
        <v>100</v>
      </c>
      <c r="I13" s="406"/>
      <c r="J13" s="373">
        <f>SUMIF(66:66,I13,67:67)-SUMIF(66:66,C13,67:67)+100</f>
        <v>100</v>
      </c>
      <c r="K13" s="538"/>
      <c r="L13" s="868"/>
      <c r="M13" s="859"/>
      <c r="N13" s="859"/>
      <c r="O13" s="867"/>
      <c r="P13" s="3424"/>
      <c r="Q13" s="529">
        <f t="shared" si="6"/>
        <v>111</v>
      </c>
      <c r="R13" s="662" t="s">
        <v>14</v>
      </c>
      <c r="S13" s="663">
        <f t="shared" si="0"/>
        <v>100</v>
      </c>
      <c r="T13" s="662" t="s">
        <v>14</v>
      </c>
      <c r="U13" s="663">
        <f t="shared" si="1"/>
        <v>100</v>
      </c>
      <c r="V13" s="662" t="s">
        <v>14</v>
      </c>
      <c r="W13" s="663">
        <f t="shared" si="2"/>
        <v>100</v>
      </c>
      <c r="X13" s="664"/>
      <c r="Y13" s="3298"/>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8"/>
      <c r="M14" s="859"/>
      <c r="N14" s="859"/>
      <c r="O14" s="867"/>
      <c r="P14" s="3424"/>
      <c r="Q14" s="529">
        <f t="shared" si="6"/>
        <v>111</v>
      </c>
      <c r="R14" s="662" t="s">
        <v>14</v>
      </c>
      <c r="S14" s="663">
        <f t="shared" si="0"/>
        <v>100</v>
      </c>
      <c r="T14" s="662" t="s">
        <v>14</v>
      </c>
      <c r="U14" s="663">
        <f t="shared" si="1"/>
        <v>100</v>
      </c>
      <c r="V14" s="662" t="s">
        <v>14</v>
      </c>
      <c r="W14" s="663">
        <f t="shared" si="2"/>
        <v>100</v>
      </c>
      <c r="X14" s="664"/>
      <c r="Y14" s="3298"/>
      <c r="Z14" s="50">
        <f t="shared" si="7"/>
        <v>111</v>
      </c>
      <c r="AA14" s="50">
        <f t="shared" si="3"/>
        <v>1</v>
      </c>
      <c r="AB14" s="50">
        <f t="shared" si="4"/>
        <v>1</v>
      </c>
      <c r="AC14" s="50">
        <f t="shared" si="5"/>
        <v>1</v>
      </c>
    </row>
    <row r="15" spans="1:29" ht="57">
      <c r="A15" s="378" t="s">
        <v>1690</v>
      </c>
      <c r="B15" s="58" t="s">
        <v>1827</v>
      </c>
      <c r="C15" s="1816"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26" t="s">
        <v>1691</v>
      </c>
      <c r="Q15" s="1260" t="str">
        <f t="shared" si="6"/>
        <v>产业集聚程度</v>
      </c>
      <c r="R15" s="665" t="s">
        <v>14</v>
      </c>
      <c r="S15" s="666">
        <f t="shared" si="0"/>
        <v>100</v>
      </c>
      <c r="T15" s="665" t="s">
        <v>14</v>
      </c>
      <c r="U15" s="666">
        <f t="shared" si="1"/>
        <v>100</v>
      </c>
      <c r="V15" s="665" t="s">
        <v>14</v>
      </c>
      <c r="W15" s="666">
        <f t="shared" si="2"/>
        <v>100</v>
      </c>
      <c r="X15" s="1262"/>
      <c r="Y15" s="3426"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27"/>
      <c r="Q16" s="1260"/>
      <c r="R16" s="665"/>
      <c r="S16" s="666"/>
      <c r="T16" s="665"/>
      <c r="U16" s="666"/>
      <c r="V16" s="665"/>
      <c r="W16" s="666"/>
      <c r="X16" s="1262"/>
      <c r="Y16" s="3427"/>
      <c r="Z16" s="1261"/>
      <c r="AA16" s="1261">
        <v>1</v>
      </c>
      <c r="AB16" s="1261">
        <v>1</v>
      </c>
      <c r="AC16" s="1261">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27"/>
      <c r="Q17" s="1260" t="str">
        <f>B17</f>
        <v>交通便捷度</v>
      </c>
      <c r="R17" s="665" t="s">
        <v>14</v>
      </c>
      <c r="S17" s="666">
        <f>F17</f>
        <v>100</v>
      </c>
      <c r="T17" s="665" t="s">
        <v>14</v>
      </c>
      <c r="U17" s="666">
        <f>H17</f>
        <v>100</v>
      </c>
      <c r="V17" s="665" t="s">
        <v>14</v>
      </c>
      <c r="W17" s="666">
        <f>J17</f>
        <v>100</v>
      </c>
      <c r="X17" s="1262"/>
      <c r="Y17" s="3427"/>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8"/>
      <c r="M18" s="859"/>
      <c r="N18" s="859"/>
      <c r="O18" s="867"/>
      <c r="P18" s="3427"/>
      <c r="Q18" s="1260"/>
      <c r="R18" s="665"/>
      <c r="S18" s="666"/>
      <c r="T18" s="665"/>
      <c r="U18" s="666"/>
      <c r="V18" s="665"/>
      <c r="W18" s="666"/>
      <c r="X18" s="1262"/>
      <c r="Y18" s="3427"/>
      <c r="Z18" s="1261"/>
      <c r="AA18" s="1261">
        <v>1</v>
      </c>
      <c r="AB18" s="1261">
        <v>1</v>
      </c>
      <c r="AC18" s="1261">
        <v>1</v>
      </c>
    </row>
    <row r="19" spans="1:29" ht="42.75">
      <c r="A19" s="366"/>
      <c r="B19" s="389" t="s">
        <v>1812</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27"/>
      <c r="Q19" s="1260" t="str">
        <f>B19</f>
        <v>公共配套设施</v>
      </c>
      <c r="R19" s="665" t="s">
        <v>14</v>
      </c>
      <c r="S19" s="666">
        <f>F19</f>
        <v>100</v>
      </c>
      <c r="T19" s="665" t="s">
        <v>14</v>
      </c>
      <c r="U19" s="666">
        <f>H19</f>
        <v>100</v>
      </c>
      <c r="V19" s="665" t="s">
        <v>14</v>
      </c>
      <c r="W19" s="666">
        <f>J19</f>
        <v>100</v>
      </c>
      <c r="X19" s="1262"/>
      <c r="Y19" s="3427"/>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8"/>
      <c r="M20" s="859"/>
      <c r="N20" s="859"/>
      <c r="O20" s="867"/>
      <c r="P20" s="3427"/>
      <c r="Q20" s="1260"/>
      <c r="R20" s="665"/>
      <c r="S20" s="666"/>
      <c r="T20" s="665"/>
      <c r="U20" s="666"/>
      <c r="V20" s="665"/>
      <c r="W20" s="666"/>
      <c r="X20" s="1262"/>
      <c r="Y20" s="3427"/>
      <c r="Z20" s="1261"/>
      <c r="AA20" s="1261">
        <v>1</v>
      </c>
      <c r="AB20" s="1261">
        <v>1</v>
      </c>
      <c r="AC20" s="1261">
        <v>1</v>
      </c>
    </row>
    <row r="21" spans="1:29" ht="28.5">
      <c r="A21" s="366"/>
      <c r="B21" s="585" t="s">
        <v>1813</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27"/>
      <c r="Q21" s="1260" t="str">
        <f>B21</f>
        <v>基础设施水平</v>
      </c>
      <c r="R21" s="665" t="s">
        <v>14</v>
      </c>
      <c r="S21" s="666">
        <f>F21</f>
        <v>100</v>
      </c>
      <c r="T21" s="665" t="s">
        <v>14</v>
      </c>
      <c r="U21" s="666">
        <f>H21</f>
        <v>100</v>
      </c>
      <c r="V21" s="665" t="s">
        <v>14</v>
      </c>
      <c r="W21" s="666">
        <f>J21</f>
        <v>100</v>
      </c>
      <c r="X21" s="1262"/>
      <c r="Y21" s="3427"/>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7"/>
      <c r="G22" s="385"/>
      <c r="H22" s="386"/>
      <c r="I22" s="385"/>
      <c r="J22" s="386"/>
      <c r="K22" s="1062"/>
      <c r="L22" s="868"/>
      <c r="M22" s="859"/>
      <c r="N22" s="859"/>
      <c r="O22" s="867"/>
      <c r="P22" s="3427"/>
      <c r="Q22" s="1260"/>
      <c r="R22" s="665"/>
      <c r="S22" s="666"/>
      <c r="T22" s="665"/>
      <c r="U22" s="666"/>
      <c r="V22" s="665"/>
      <c r="W22" s="666"/>
      <c r="X22" s="1262"/>
      <c r="Y22" s="3427"/>
      <c r="Z22" s="1261"/>
      <c r="AA22" s="1261">
        <v>1</v>
      </c>
      <c r="AB22" s="1261">
        <v>1</v>
      </c>
      <c r="AC22" s="1261">
        <v>1</v>
      </c>
    </row>
    <row r="23" spans="1:29" ht="71.25">
      <c r="A23" s="366"/>
      <c r="B23" s="389" t="s">
        <v>1814</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27"/>
      <c r="Q23" s="1260" t="str">
        <f>B23</f>
        <v>环境质量</v>
      </c>
      <c r="R23" s="665" t="s">
        <v>14</v>
      </c>
      <c r="S23" s="666">
        <f>F23</f>
        <v>100</v>
      </c>
      <c r="T23" s="665" t="s">
        <v>14</v>
      </c>
      <c r="U23" s="666">
        <f>H23</f>
        <v>100</v>
      </c>
      <c r="V23" s="665" t="s">
        <v>14</v>
      </c>
      <c r="W23" s="666">
        <f>J23</f>
        <v>100</v>
      </c>
      <c r="X23" s="1262"/>
      <c r="Y23" s="3427"/>
      <c r="Z23" s="1261" t="str">
        <f>Q23</f>
        <v>环境质量</v>
      </c>
      <c r="AA23" s="1261">
        <f t="shared" si="3"/>
        <v>1</v>
      </c>
      <c r="AB23" s="1261">
        <f t="shared" si="4"/>
        <v>1</v>
      </c>
      <c r="AC23" s="1261">
        <f t="shared" si="5"/>
        <v>1</v>
      </c>
    </row>
    <row r="24" spans="1:29" ht="15">
      <c r="A24" s="366"/>
      <c r="B24" s="585"/>
      <c r="C24" s="385"/>
      <c r="D24" s="386"/>
      <c r="E24" s="1749"/>
      <c r="F24" s="387"/>
      <c r="G24" s="1748"/>
      <c r="H24" s="386"/>
      <c r="I24" s="1749"/>
      <c r="J24" s="386"/>
      <c r="K24" s="540"/>
      <c r="L24" s="868"/>
      <c r="M24" s="859"/>
      <c r="N24" s="859"/>
      <c r="O24" s="867"/>
      <c r="P24" s="3427"/>
      <c r="Q24" s="1260"/>
      <c r="R24" s="665"/>
      <c r="S24" s="666"/>
      <c r="T24" s="665"/>
      <c r="U24" s="666"/>
      <c r="V24" s="665"/>
      <c r="W24" s="666"/>
      <c r="X24" s="1262"/>
      <c r="Y24" s="3427"/>
      <c r="Z24" s="1261"/>
      <c r="AA24" s="1261">
        <v>1</v>
      </c>
      <c r="AB24" s="1261">
        <v>1</v>
      </c>
      <c r="AC24" s="1261">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27"/>
      <c r="Q25" s="1260">
        <f>B25</f>
        <v>111</v>
      </c>
      <c r="R25" s="665" t="s">
        <v>14</v>
      </c>
      <c r="S25" s="666">
        <f>F25</f>
        <v>100</v>
      </c>
      <c r="T25" s="665" t="s">
        <v>14</v>
      </c>
      <c r="U25" s="666">
        <f>H25</f>
        <v>100</v>
      </c>
      <c r="V25" s="665" t="s">
        <v>14</v>
      </c>
      <c r="W25" s="666">
        <f>J25</f>
        <v>100</v>
      </c>
      <c r="X25" s="1262"/>
      <c r="Y25" s="3427"/>
      <c r="Z25" s="1261">
        <f>Q25</f>
        <v>111</v>
      </c>
      <c r="AA25" s="1261">
        <f t="shared" si="3"/>
        <v>1</v>
      </c>
      <c r="AB25" s="1261">
        <f t="shared" si="4"/>
        <v>1</v>
      </c>
      <c r="AC25" s="1261">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27"/>
      <c r="Q26" s="1260">
        <f t="shared" ref="Q26:Q40" si="11">B26</f>
        <v>111</v>
      </c>
      <c r="R26" s="665" t="s">
        <v>14</v>
      </c>
      <c r="S26" s="666">
        <f>F26</f>
        <v>100</v>
      </c>
      <c r="T26" s="665" t="s">
        <v>14</v>
      </c>
      <c r="U26" s="666">
        <f>H26</f>
        <v>100</v>
      </c>
      <c r="V26" s="665" t="s">
        <v>14</v>
      </c>
      <c r="W26" s="666">
        <f>J26</f>
        <v>100</v>
      </c>
      <c r="X26" s="1262"/>
      <c r="Y26" s="3427"/>
      <c r="Z26" s="1261">
        <f>Q26</f>
        <v>111</v>
      </c>
      <c r="AA26" s="1261">
        <f t="shared" si="3"/>
        <v>1</v>
      </c>
      <c r="AB26" s="1261">
        <f t="shared" si="4"/>
        <v>1</v>
      </c>
      <c r="AC26" s="1261">
        <f t="shared" si="5"/>
        <v>1</v>
      </c>
    </row>
    <row r="27" spans="1:29" s="102"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27"/>
      <c r="Q27" s="529">
        <f t="shared" si="11"/>
        <v>111</v>
      </c>
      <c r="R27" s="662" t="s">
        <v>14</v>
      </c>
      <c r="S27" s="663">
        <f>F27</f>
        <v>100</v>
      </c>
      <c r="T27" s="662" t="s">
        <v>14</v>
      </c>
      <c r="U27" s="663">
        <f>H27</f>
        <v>100</v>
      </c>
      <c r="V27" s="662" t="s">
        <v>14</v>
      </c>
      <c r="W27" s="663">
        <f>J27</f>
        <v>100</v>
      </c>
      <c r="X27" s="664"/>
      <c r="Y27" s="3427"/>
      <c r="Z27" s="50">
        <f>Q27</f>
        <v>111</v>
      </c>
      <c r="AA27" s="1261">
        <f>D27/F27</f>
        <v>1</v>
      </c>
      <c r="AB27" s="1261">
        <f>D27/H27</f>
        <v>1</v>
      </c>
      <c r="AC27" s="1261">
        <f>D27/J27</f>
        <v>1</v>
      </c>
    </row>
    <row r="28" spans="1:29" ht="15.75"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27"/>
      <c r="Q28" s="1260">
        <f t="shared" si="11"/>
        <v>111</v>
      </c>
      <c r="R28" s="665" t="s">
        <v>14</v>
      </c>
      <c r="S28" s="666">
        <f t="shared" ref="S28:S40" si="12">F28</f>
        <v>100</v>
      </c>
      <c r="T28" s="665" t="s">
        <v>14</v>
      </c>
      <c r="U28" s="666">
        <f t="shared" ref="U28:U40" si="13">H28</f>
        <v>100</v>
      </c>
      <c r="V28" s="665" t="s">
        <v>14</v>
      </c>
      <c r="W28" s="666">
        <f t="shared" ref="W28:W40" si="14">J28</f>
        <v>100</v>
      </c>
      <c r="X28" s="1262"/>
      <c r="Y28" s="3427"/>
      <c r="Z28" s="1261">
        <f t="shared" ref="Z28:Z40" si="15">Q28</f>
        <v>111</v>
      </c>
      <c r="AA28" s="1261">
        <f t="shared" si="3"/>
        <v>1</v>
      </c>
      <c r="AB28" s="1261">
        <f t="shared" si="4"/>
        <v>1</v>
      </c>
      <c r="AC28" s="1261">
        <f t="shared" si="5"/>
        <v>1</v>
      </c>
    </row>
    <row r="29" spans="1:29" ht="28.5">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8"/>
      <c r="M29" s="859"/>
      <c r="N29" s="859"/>
      <c r="O29" s="867"/>
      <c r="P29" s="3481" t="s">
        <v>1696</v>
      </c>
      <c r="Q29" s="1260" t="str">
        <f t="shared" si="11"/>
        <v>建筑类型</v>
      </c>
      <c r="R29" s="665" t="s">
        <v>14</v>
      </c>
      <c r="S29" s="666">
        <f t="shared" si="12"/>
        <v>100</v>
      </c>
      <c r="T29" s="665" t="s">
        <v>14</v>
      </c>
      <c r="U29" s="666">
        <f t="shared" si="13"/>
        <v>100</v>
      </c>
      <c r="V29" s="665" t="s">
        <v>14</v>
      </c>
      <c r="W29" s="666">
        <f t="shared" si="14"/>
        <v>100</v>
      </c>
      <c r="X29" s="1262"/>
      <c r="Y29" s="3431" t="s">
        <v>1696</v>
      </c>
      <c r="Z29" s="1261" t="str">
        <f t="shared" si="15"/>
        <v>建筑类型</v>
      </c>
      <c r="AA29" s="1261">
        <f t="shared" si="3"/>
        <v>1</v>
      </c>
      <c r="AB29" s="1261">
        <f t="shared" si="4"/>
        <v>1</v>
      </c>
      <c r="AC29" s="1261">
        <f t="shared" si="5"/>
        <v>1</v>
      </c>
    </row>
    <row r="30" spans="1:29" s="407" customFormat="1" ht="15">
      <c r="A30" s="405"/>
      <c r="B30" s="363" t="s">
        <v>1697</v>
      </c>
      <c r="C30" s="406"/>
      <c r="D30" s="119">
        <v>100</v>
      </c>
      <c r="E30" s="368"/>
      <c r="F30" s="363" t="e">
        <f>LOOKUP(E30,91:91,92:92)-LOOKUP(C30,91:91,92:92)+100</f>
        <v>#N/A</v>
      </c>
      <c r="G30" s="367"/>
      <c r="H30" s="119" t="e">
        <f>LOOKUP(G30,91:91,92:92)-LOOKUP(C30,91:91,92:92)+100</f>
        <v>#N/A</v>
      </c>
      <c r="I30" s="367"/>
      <c r="J30" s="119" t="e">
        <f>LOOKUP(I30,91:91,92:92)-LOOKUP(C30,91:91,92:92)+100</f>
        <v>#N/A</v>
      </c>
      <c r="K30" s="538"/>
      <c r="L30" s="866"/>
      <c r="M30" s="869"/>
      <c r="N30" s="869"/>
      <c r="O30" s="870"/>
      <c r="P30" s="3431"/>
      <c r="Q30" s="530" t="str">
        <f t="shared" si="11"/>
        <v>项目建筑规模</v>
      </c>
      <c r="R30" s="667" t="s">
        <v>14</v>
      </c>
      <c r="S30" s="668" t="e">
        <f t="shared" si="12"/>
        <v>#N/A</v>
      </c>
      <c r="T30" s="667" t="s">
        <v>14</v>
      </c>
      <c r="U30" s="668" t="e">
        <f t="shared" si="13"/>
        <v>#N/A</v>
      </c>
      <c r="V30" s="667" t="s">
        <v>14</v>
      </c>
      <c r="W30" s="668" t="e">
        <f t="shared" si="14"/>
        <v>#N/A</v>
      </c>
      <c r="X30" s="669"/>
      <c r="Y30" s="3431"/>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31"/>
      <c r="Q31" s="1260" t="str">
        <f t="shared" si="11"/>
        <v>建筑结构</v>
      </c>
      <c r="R31" s="665" t="s">
        <v>14</v>
      </c>
      <c r="S31" s="666">
        <f t="shared" si="12"/>
        <v>100</v>
      </c>
      <c r="T31" s="665" t="s">
        <v>14</v>
      </c>
      <c r="U31" s="666">
        <f t="shared" si="13"/>
        <v>100</v>
      </c>
      <c r="V31" s="665" t="s">
        <v>14</v>
      </c>
      <c r="W31" s="666">
        <f t="shared" si="14"/>
        <v>100</v>
      </c>
      <c r="X31" s="1262"/>
      <c r="Y31" s="3431"/>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31"/>
      <c r="Q32" s="1260" t="str">
        <f t="shared" si="11"/>
        <v>公共部分装修</v>
      </c>
      <c r="R32" s="665" t="s">
        <v>14</v>
      </c>
      <c r="S32" s="666">
        <f t="shared" si="12"/>
        <v>100</v>
      </c>
      <c r="T32" s="665" t="s">
        <v>14</v>
      </c>
      <c r="U32" s="666">
        <f t="shared" si="13"/>
        <v>100</v>
      </c>
      <c r="V32" s="665" t="s">
        <v>14</v>
      </c>
      <c r="W32" s="666">
        <f t="shared" si="14"/>
        <v>100</v>
      </c>
      <c r="X32" s="1262"/>
      <c r="Y32" s="3431"/>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31"/>
      <c r="Q33" s="1260" t="str">
        <f t="shared" si="11"/>
        <v>成新度</v>
      </c>
      <c r="R33" s="665" t="s">
        <v>14</v>
      </c>
      <c r="S33" s="666" t="e">
        <f t="shared" si="12"/>
        <v>#N/A</v>
      </c>
      <c r="T33" s="665" t="s">
        <v>14</v>
      </c>
      <c r="U33" s="666" t="e">
        <f t="shared" si="13"/>
        <v>#N/A</v>
      </c>
      <c r="V33" s="665" t="s">
        <v>14</v>
      </c>
      <c r="W33" s="666" t="e">
        <f t="shared" si="14"/>
        <v>#N/A</v>
      </c>
      <c r="X33" s="1262"/>
      <c r="Y33" s="3431"/>
      <c r="Z33" s="1261" t="str">
        <f t="shared" si="15"/>
        <v>成新度</v>
      </c>
      <c r="AA33" s="1261" t="e">
        <f t="shared" si="3"/>
        <v>#N/A</v>
      </c>
      <c r="AB33" s="1261" t="e">
        <f t="shared" si="4"/>
        <v>#N/A</v>
      </c>
      <c r="AC33" s="1261" t="e">
        <f t="shared" si="5"/>
        <v>#N/A</v>
      </c>
    </row>
    <row r="34" spans="1:29" s="102" customFormat="1" ht="15">
      <c r="A34" s="409"/>
      <c r="B34" s="363" t="s">
        <v>1819</v>
      </c>
      <c r="C34" s="398"/>
      <c r="D34" s="119">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31"/>
      <c r="Q34" s="529" t="str">
        <f t="shared" si="11"/>
        <v>物业管理</v>
      </c>
      <c r="R34" s="662" t="s">
        <v>14</v>
      </c>
      <c r="S34" s="663">
        <f t="shared" si="12"/>
        <v>100</v>
      </c>
      <c r="T34" s="662" t="s">
        <v>14</v>
      </c>
      <c r="U34" s="663">
        <f t="shared" si="13"/>
        <v>100</v>
      </c>
      <c r="V34" s="662" t="s">
        <v>14</v>
      </c>
      <c r="W34" s="663">
        <f t="shared" si="14"/>
        <v>100</v>
      </c>
      <c r="X34" s="664"/>
      <c r="Y34" s="3431"/>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31" t="s">
        <v>1696</v>
      </c>
      <c r="Q35" s="1260" t="str">
        <f t="shared" si="11"/>
        <v>市政基础设施</v>
      </c>
      <c r="R35" s="665" t="s">
        <v>14</v>
      </c>
      <c r="S35" s="666">
        <f t="shared" si="12"/>
        <v>100</v>
      </c>
      <c r="T35" s="665" t="s">
        <v>14</v>
      </c>
      <c r="U35" s="666">
        <f t="shared" si="13"/>
        <v>100</v>
      </c>
      <c r="V35" s="665" t="s">
        <v>14</v>
      </c>
      <c r="W35" s="666">
        <f t="shared" si="14"/>
        <v>100</v>
      </c>
      <c r="X35" s="1262"/>
      <c r="Y35" s="3431"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31"/>
      <c r="Q36" s="1260" t="str">
        <f t="shared" si="11"/>
        <v>内部装修</v>
      </c>
      <c r="R36" s="665" t="s">
        <v>14</v>
      </c>
      <c r="S36" s="666">
        <f t="shared" si="12"/>
        <v>100</v>
      </c>
      <c r="T36" s="665" t="s">
        <v>14</v>
      </c>
      <c r="U36" s="666">
        <f t="shared" si="13"/>
        <v>100</v>
      </c>
      <c r="V36" s="665" t="s">
        <v>14</v>
      </c>
      <c r="W36" s="666">
        <f t="shared" si="14"/>
        <v>100</v>
      </c>
      <c r="X36" s="1262"/>
      <c r="Y36" s="3431"/>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31"/>
      <c r="Q37" s="1260" t="str">
        <f t="shared" si="11"/>
        <v>内部装修状况</v>
      </c>
      <c r="R37" s="665" t="s">
        <v>14</v>
      </c>
      <c r="S37" s="666">
        <f t="shared" si="12"/>
        <v>100</v>
      </c>
      <c r="T37" s="665" t="s">
        <v>14</v>
      </c>
      <c r="U37" s="666">
        <f t="shared" si="13"/>
        <v>100</v>
      </c>
      <c r="V37" s="665" t="s">
        <v>14</v>
      </c>
      <c r="W37" s="666">
        <f t="shared" si="14"/>
        <v>100</v>
      </c>
      <c r="X37" s="1262"/>
      <c r="Y37" s="3431"/>
      <c r="Z37" s="1261" t="str">
        <f t="shared" si="15"/>
        <v>内部装修状况</v>
      </c>
      <c r="AA37" s="1261">
        <f t="shared" si="3"/>
        <v>1</v>
      </c>
      <c r="AB37" s="1261">
        <f t="shared" si="4"/>
        <v>1</v>
      </c>
      <c r="AC37" s="1261">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31"/>
      <c r="Q38" s="530">
        <f t="shared" si="11"/>
        <v>111</v>
      </c>
      <c r="R38" s="667" t="s">
        <v>14</v>
      </c>
      <c r="S38" s="668">
        <f t="shared" si="12"/>
        <v>100</v>
      </c>
      <c r="T38" s="667" t="s">
        <v>14</v>
      </c>
      <c r="U38" s="668">
        <f t="shared" si="13"/>
        <v>100</v>
      </c>
      <c r="V38" s="667" t="s">
        <v>14</v>
      </c>
      <c r="W38" s="668">
        <f t="shared" si="14"/>
        <v>100</v>
      </c>
      <c r="X38" s="669"/>
      <c r="Y38" s="3431"/>
      <c r="Z38" s="670">
        <f t="shared" si="15"/>
        <v>111</v>
      </c>
      <c r="AA38" s="1261">
        <f t="shared" si="3"/>
        <v>1</v>
      </c>
      <c r="AB38" s="1261">
        <f t="shared" si="4"/>
        <v>1</v>
      </c>
      <c r="AC38" s="1261">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31"/>
      <c r="Q39" s="1260">
        <f t="shared" si="11"/>
        <v>111</v>
      </c>
      <c r="R39" s="665" t="s">
        <v>14</v>
      </c>
      <c r="S39" s="666">
        <f t="shared" si="12"/>
        <v>100</v>
      </c>
      <c r="T39" s="665" t="s">
        <v>14</v>
      </c>
      <c r="U39" s="666">
        <f t="shared" si="13"/>
        <v>100</v>
      </c>
      <c r="V39" s="665" t="s">
        <v>14</v>
      </c>
      <c r="W39" s="666">
        <f t="shared" si="14"/>
        <v>100</v>
      </c>
      <c r="X39" s="1262"/>
      <c r="Y39" s="3431"/>
      <c r="Z39" s="1261">
        <f t="shared" si="15"/>
        <v>111</v>
      </c>
      <c r="AA39" s="1261">
        <f t="shared" si="3"/>
        <v>1</v>
      </c>
      <c r="AB39" s="1261">
        <f t="shared" si="4"/>
        <v>1</v>
      </c>
      <c r="AC39" s="1261">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32"/>
      <c r="Q40" s="1260">
        <f t="shared" si="11"/>
        <v>111</v>
      </c>
      <c r="R40" s="665" t="s">
        <v>14</v>
      </c>
      <c r="S40" s="666">
        <f t="shared" si="12"/>
        <v>100</v>
      </c>
      <c r="T40" s="665" t="s">
        <v>14</v>
      </c>
      <c r="U40" s="666">
        <f t="shared" si="13"/>
        <v>100</v>
      </c>
      <c r="V40" s="665" t="s">
        <v>14</v>
      </c>
      <c r="W40" s="666">
        <f t="shared" si="14"/>
        <v>100</v>
      </c>
      <c r="X40" s="1262"/>
      <c r="Y40" s="3432"/>
      <c r="Z40" s="1261">
        <f t="shared" si="15"/>
        <v>111</v>
      </c>
      <c r="AA40" s="1261">
        <f t="shared" si="3"/>
        <v>1</v>
      </c>
      <c r="AB40" s="1261">
        <f t="shared" si="4"/>
        <v>1</v>
      </c>
      <c r="AC40" s="1261">
        <f t="shared" si="5"/>
        <v>1</v>
      </c>
    </row>
    <row r="41" spans="1:29" ht="15">
      <c r="A41" s="415" t="s">
        <v>1708</v>
      </c>
      <c r="B41" s="416"/>
      <c r="C41" s="1078" t="s">
        <v>0</v>
      </c>
      <c r="D41" s="417"/>
      <c r="E41" s="418"/>
      <c r="F41" s="419"/>
      <c r="G41" s="420"/>
      <c r="H41" s="421"/>
      <c r="I41" s="418"/>
      <c r="J41" s="421"/>
      <c r="K41" s="672"/>
      <c r="L41" s="871"/>
      <c r="M41" s="859"/>
      <c r="N41" s="859"/>
      <c r="O41" s="859"/>
      <c r="P41" s="3424" t="str">
        <f>A41</f>
        <v>成交单价（元/平方米）</v>
      </c>
      <c r="Q41" s="3424"/>
      <c r="R41" s="3425">
        <f>E41</f>
        <v>0</v>
      </c>
      <c r="S41" s="3425"/>
      <c r="T41" s="3425">
        <f>G41</f>
        <v>0</v>
      </c>
      <c r="U41" s="3425"/>
      <c r="V41" s="3425">
        <f>I41</f>
        <v>0</v>
      </c>
      <c r="W41" s="3425"/>
      <c r="X41" s="384"/>
      <c r="Y41" s="671"/>
      <c r="Z41" s="384"/>
      <c r="AA41" s="384"/>
      <c r="AB41" s="384"/>
      <c r="AC41" s="384"/>
    </row>
    <row r="42" spans="1:29" ht="15.75" thickBot="1">
      <c r="A42" s="422" t="s">
        <v>1793</v>
      </c>
      <c r="B42" s="423"/>
      <c r="C42" s="1079" t="e">
        <f>R43</f>
        <v>#DIV/0!</v>
      </c>
      <c r="D42" s="2138" t="s">
        <v>2138</v>
      </c>
      <c r="E42" s="1080" t="e">
        <f>R42</f>
        <v>#DIV/0!</v>
      </c>
      <c r="F42" s="2139"/>
      <c r="G42" s="1079" t="e">
        <f>T42</f>
        <v>#DIV/0!</v>
      </c>
      <c r="H42" s="2139"/>
      <c r="I42" s="1080" t="e">
        <f>V42</f>
        <v>#DIV/0!</v>
      </c>
      <c r="J42" s="2139"/>
      <c r="K42" s="2141">
        <f>F42+H42+J42</f>
        <v>0</v>
      </c>
      <c r="L42" s="871"/>
      <c r="M42" s="859"/>
      <c r="N42" s="859"/>
      <c r="O42" s="859"/>
      <c r="P42" s="3424" t="str">
        <f>A42</f>
        <v>比较价值（元/平方米）</v>
      </c>
      <c r="Q42" s="3424"/>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421" t="str">
        <f>A43</f>
        <v>估价对象XX用房的比较价值（楼面单价，元/平方米）</v>
      </c>
      <c r="Q43" s="3422"/>
      <c r="R43" s="3423" t="e">
        <f>IF(F1="售价",ROUND(IF(D42="简单平均",AVERAGE(R42:V42),R42*F42+T42*H42+V42*J42),0),ROUND(IF(D42="简单平均",AVERAGE(R42:V42),R42*F42+T42*H42+V42*J42),1))</f>
        <v>#DIV/0!</v>
      </c>
      <c r="S43" s="3423"/>
      <c r="T43" s="3423"/>
      <c r="U43" s="3423"/>
      <c r="V43" s="3423"/>
      <c r="W43" s="3423"/>
      <c r="X43" s="384"/>
      <c r="Y43" s="384"/>
      <c r="Z43" s="384"/>
      <c r="AA43" s="384"/>
      <c r="AB43" s="384"/>
      <c r="AC43" s="384"/>
    </row>
    <row r="44" spans="1:29">
      <c r="A44" s="2485"/>
      <c r="B44" s="2485"/>
      <c r="C44" s="2485"/>
      <c r="D44" s="2485"/>
      <c r="E44" s="2485"/>
      <c r="F44" s="2485"/>
      <c r="G44" s="2496"/>
      <c r="H44" s="2485"/>
      <c r="I44" s="2485"/>
      <c r="J44" s="2485"/>
      <c r="K44" s="2497"/>
      <c r="L44" s="834"/>
      <c r="M44" s="859"/>
      <c r="N44" s="859"/>
      <c r="O44" s="859"/>
    </row>
    <row r="45" spans="1:29">
      <c r="A45" s="2485"/>
      <c r="B45" s="2485"/>
      <c r="C45" s="2485"/>
      <c r="D45" s="2485"/>
      <c r="E45" s="2485"/>
      <c r="F45" s="2485"/>
      <c r="G45" s="2485"/>
      <c r="H45" s="2485"/>
      <c r="I45" s="2485"/>
      <c r="J45" s="2485"/>
      <c r="K45" s="2497"/>
      <c r="L45" s="834"/>
      <c r="M45" s="859"/>
      <c r="N45" s="859"/>
      <c r="O45" s="859"/>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4"/>
      <c r="M46" s="859"/>
      <c r="N46" s="859"/>
      <c r="O46" s="859"/>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4"/>
      <c r="M47" s="859"/>
      <c r="N47" s="859"/>
      <c r="O47" s="859"/>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4"/>
      <c r="M48" s="872"/>
      <c r="N48" s="872"/>
      <c r="O48" s="872"/>
    </row>
    <row r="49" spans="1:17" s="436" customFormat="1">
      <c r="A49" s="2495"/>
      <c r="B49" s="2498"/>
      <c r="C49" s="2499"/>
      <c r="D49" s="2495"/>
      <c r="E49" s="2495"/>
      <c r="F49" s="2495"/>
      <c r="G49" s="2495"/>
      <c r="H49" s="2495"/>
      <c r="I49" s="2495"/>
      <c r="J49" s="2495"/>
      <c r="K49" s="2500"/>
      <c r="L49" s="874"/>
      <c r="M49" s="872"/>
      <c r="N49" s="872"/>
      <c r="O49" s="872"/>
    </row>
    <row r="50" spans="1:17">
      <c r="A50" s="2485"/>
      <c r="B50" s="2498"/>
      <c r="C50" s="2499"/>
      <c r="D50" s="2485"/>
      <c r="E50" s="2485"/>
      <c r="F50" s="2485"/>
      <c r="G50" s="2485"/>
      <c r="H50" s="2485"/>
      <c r="I50" s="2485"/>
      <c r="J50" s="2485"/>
      <c r="K50" s="2497"/>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100" t="str">
        <f>YEAR(C7)&amp;"-"&amp;MONTH(C7)</f>
        <v>2024-11</v>
      </c>
      <c r="D52" s="1101">
        <f>EDATE(C52,-1)</f>
        <v>45566</v>
      </c>
      <c r="E52" s="1101">
        <f t="shared" ref="E52:O52" si="16">EDATE(D52,-1)</f>
        <v>45536</v>
      </c>
      <c r="F52" s="1101">
        <f t="shared" si="16"/>
        <v>45505</v>
      </c>
      <c r="G52" s="1101">
        <f t="shared" si="16"/>
        <v>45474</v>
      </c>
      <c r="H52" s="1101">
        <f t="shared" si="16"/>
        <v>45444</v>
      </c>
      <c r="I52" s="1101">
        <f t="shared" si="16"/>
        <v>45413</v>
      </c>
      <c r="J52" s="1101">
        <f t="shared" si="16"/>
        <v>45383</v>
      </c>
      <c r="K52" s="1101">
        <f t="shared" si="16"/>
        <v>45352</v>
      </c>
      <c r="L52" s="1101">
        <f t="shared" si="16"/>
        <v>45323</v>
      </c>
      <c r="M52" s="1101">
        <f t="shared" si="16"/>
        <v>45292</v>
      </c>
      <c r="N52" s="1101">
        <f t="shared" si="16"/>
        <v>45261</v>
      </c>
      <c r="O52" s="1101">
        <f t="shared" si="16"/>
        <v>45231</v>
      </c>
    </row>
    <row r="53" spans="1:17" s="102" customFormat="1" ht="15">
      <c r="A53" s="442"/>
      <c r="B53" s="443"/>
      <c r="C53" s="1099">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36"/>
      <c r="O54" s="2537"/>
      <c r="P54" s="438"/>
      <c r="Q54" s="438"/>
    </row>
    <row r="55" spans="1:17" s="102" customFormat="1" ht="15">
      <c r="A55" s="454" t="s">
        <v>1681</v>
      </c>
      <c r="B55" s="443"/>
      <c r="C55" s="455" t="s">
        <v>1776</v>
      </c>
      <c r="D55" s="31"/>
      <c r="E55" s="31"/>
      <c r="F55" s="31"/>
      <c r="G55" s="31"/>
      <c r="H55" s="31"/>
      <c r="I55" s="31"/>
      <c r="J55" s="31"/>
      <c r="K55" s="31"/>
      <c r="L55" s="456"/>
      <c r="M55" s="457"/>
      <c r="N55" s="876"/>
      <c r="O55" s="876"/>
      <c r="P55" s="458"/>
      <c r="Q55" s="438"/>
    </row>
    <row r="56" spans="1:17" s="102" customFormat="1" ht="15.75" thickBot="1">
      <c r="A56" s="454"/>
      <c r="B56" s="443"/>
      <c r="C56" s="562">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1"/>
      <c r="N76" s="878"/>
      <c r="O76" s="878"/>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2" customFormat="1" ht="15.75" thickTop="1">
      <c r="A80" s="369"/>
      <c r="B80" s="468">
        <f>B25</f>
        <v>111</v>
      </c>
      <c r="C80" s="484"/>
      <c r="D80" s="484"/>
      <c r="E80" s="484"/>
      <c r="F80" s="484"/>
      <c r="G80" s="484"/>
      <c r="H80" s="484"/>
      <c r="I80" s="484"/>
      <c r="J80" s="484"/>
      <c r="K80" s="484"/>
      <c r="L80" s="509"/>
      <c r="M80" s="510"/>
      <c r="N80" s="876"/>
      <c r="O80" s="876"/>
      <c r="P80" s="40"/>
      <c r="Q80" s="438"/>
    </row>
    <row r="81" spans="1:17" s="102" customFormat="1" ht="15.75" thickBot="1">
      <c r="A81" s="369"/>
      <c r="B81" s="473"/>
      <c r="C81" s="490"/>
      <c r="D81" s="466"/>
      <c r="E81" s="466"/>
      <c r="F81" s="466"/>
      <c r="G81" s="466"/>
      <c r="H81" s="466"/>
      <c r="I81" s="466"/>
      <c r="J81" s="466"/>
      <c r="K81" s="466"/>
      <c r="L81" s="466"/>
      <c r="M81" s="467"/>
      <c r="N81" s="878"/>
      <c r="O81" s="878"/>
      <c r="P81" s="40"/>
      <c r="Q81" s="438"/>
    </row>
    <row r="82" spans="1:17" s="102" customFormat="1" ht="15.75" thickTop="1">
      <c r="A82" s="369"/>
      <c r="B82" s="468">
        <f>B26</f>
        <v>111</v>
      </c>
      <c r="C82" s="484"/>
      <c r="D82" s="484"/>
      <c r="E82" s="484"/>
      <c r="F82" s="484"/>
      <c r="G82" s="484"/>
      <c r="H82" s="484"/>
      <c r="I82" s="484"/>
      <c r="J82" s="484"/>
      <c r="K82" s="484"/>
      <c r="L82" s="509"/>
      <c r="M82" s="510"/>
      <c r="N82" s="876"/>
      <c r="O82" s="876"/>
      <c r="P82" s="40"/>
      <c r="Q82" s="438"/>
    </row>
    <row r="83" spans="1:17" s="102"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7"/>
      <c r="J98" s="547"/>
      <c r="K98" s="548"/>
      <c r="L98" s="549"/>
      <c r="M98" s="550"/>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8"/>
      <c r="O106" s="878"/>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3335</v>
      </c>
      <c r="C1" s="1138" t="s">
        <v>1662</v>
      </c>
      <c r="D1" s="1139"/>
      <c r="E1" s="3129"/>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501"/>
      <c r="M2" s="2502"/>
      <c r="N2" s="2502"/>
      <c r="O2" s="2502"/>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501"/>
      <c r="M3" s="2502" t="e">
        <f ca="1">IF(C2="——",IF(B37="元/平方米",ROUND(C39*D3/10000,0),ROUND(F3*C39/10000,0)),IF(B37="元/平方米",ROUND(C39*D3/10000,0),ROUND(F3*C39/10000,0))-D2)</f>
        <v>#DIV/0!</v>
      </c>
      <c r="N3" s="2502"/>
      <c r="O3" s="2502"/>
      <c r="P3" s="1083"/>
      <c r="Q3" s="340"/>
      <c r="R3" s="340"/>
      <c r="S3" s="340"/>
      <c r="T3" s="340"/>
      <c r="U3" s="340"/>
      <c r="V3" s="340"/>
      <c r="W3" s="340"/>
      <c r="X3" s="340"/>
      <c r="Y3" s="340"/>
      <c r="Z3" s="340"/>
      <c r="AA3" s="340"/>
      <c r="AB3" s="674"/>
      <c r="AC3" s="661"/>
    </row>
    <row r="4" spans="1:29" ht="15">
      <c r="A4" s="344" t="s">
        <v>1769</v>
      </c>
      <c r="B4" s="345"/>
      <c r="C4" s="3439" t="s">
        <v>1770</v>
      </c>
      <c r="D4" s="3440"/>
      <c r="E4" s="3441" t="s">
        <v>1771</v>
      </c>
      <c r="F4" s="3442"/>
      <c r="G4" s="3439" t="s">
        <v>1772</v>
      </c>
      <c r="H4" s="3440"/>
      <c r="I4" s="3439" t="s">
        <v>1773</v>
      </c>
      <c r="J4" s="3440"/>
      <c r="K4" s="536" t="s">
        <v>1774</v>
      </c>
      <c r="L4" s="2484"/>
      <c r="M4" s="2485"/>
      <c r="N4" s="2485"/>
      <c r="O4" s="2485"/>
      <c r="P4" s="3443" t="s">
        <v>1775</v>
      </c>
      <c r="Q4" s="3444"/>
      <c r="R4" s="3449" t="s">
        <v>1771</v>
      </c>
      <c r="S4" s="3450"/>
      <c r="T4" s="3449" t="s">
        <v>1772</v>
      </c>
      <c r="U4" s="3450"/>
      <c r="V4" s="3425" t="s">
        <v>1773</v>
      </c>
      <c r="W4" s="3425"/>
      <c r="X4" s="1262"/>
      <c r="Y4" s="3449" t="s">
        <v>1775</v>
      </c>
      <c r="Z4" s="3450"/>
      <c r="AA4" s="3436" t="s">
        <v>1771</v>
      </c>
      <c r="AB4" s="3437" t="s">
        <v>1772</v>
      </c>
      <c r="AC4" s="3436" t="s">
        <v>1773</v>
      </c>
    </row>
    <row r="5" spans="1:29" ht="15">
      <c r="A5" s="347"/>
      <c r="B5" s="348"/>
      <c r="C5" s="3457" t="s">
        <v>1673</v>
      </c>
      <c r="D5" s="3458"/>
      <c r="E5" s="3464" t="s">
        <v>1674</v>
      </c>
      <c r="F5" s="3465"/>
      <c r="G5" s="3457" t="s">
        <v>1675</v>
      </c>
      <c r="H5" s="3458"/>
      <c r="I5" s="3457" t="s">
        <v>1676</v>
      </c>
      <c r="J5" s="3458"/>
      <c r="K5" s="536"/>
      <c r="L5" s="2484"/>
      <c r="M5" s="2485"/>
      <c r="N5" s="2485"/>
      <c r="O5" s="2485"/>
      <c r="P5" s="3445"/>
      <c r="Q5" s="3446"/>
      <c r="R5" s="3451"/>
      <c r="S5" s="3452"/>
      <c r="T5" s="3451"/>
      <c r="U5" s="3452"/>
      <c r="V5" s="3425"/>
      <c r="W5" s="3425"/>
      <c r="X5" s="1262"/>
      <c r="Y5" s="3451"/>
      <c r="Z5" s="3452"/>
      <c r="AA5" s="3437"/>
      <c r="AB5" s="3437"/>
      <c r="AC5" s="3437"/>
    </row>
    <row r="6" spans="1:29" ht="15.75" thickBot="1">
      <c r="A6" s="349"/>
      <c r="B6" s="350"/>
      <c r="C6" s="3455" t="s">
        <v>1677</v>
      </c>
      <c r="D6" s="3456"/>
      <c r="E6" s="3462" t="s">
        <v>1677</v>
      </c>
      <c r="F6" s="3463"/>
      <c r="G6" s="3455" t="s">
        <v>1677</v>
      </c>
      <c r="H6" s="3456"/>
      <c r="I6" s="3455" t="s">
        <v>1677</v>
      </c>
      <c r="J6" s="3456"/>
      <c r="K6" s="536" t="s">
        <v>1678</v>
      </c>
      <c r="L6" s="2484"/>
      <c r="M6" s="2485"/>
      <c r="N6" s="2485"/>
      <c r="O6" s="2485"/>
      <c r="P6" s="3447"/>
      <c r="Q6" s="3448"/>
      <c r="R6" s="3451"/>
      <c r="S6" s="3452"/>
      <c r="T6" s="3453"/>
      <c r="U6" s="3454"/>
      <c r="V6" s="3425"/>
      <c r="W6" s="3425"/>
      <c r="X6" s="1262"/>
      <c r="Y6" s="3453"/>
      <c r="Z6" s="3454"/>
      <c r="AA6" s="3438"/>
      <c r="AB6" s="3438"/>
      <c r="AC6" s="3438"/>
    </row>
    <row r="7" spans="1:29" s="102" customFormat="1" ht="15.75" thickBot="1">
      <c r="A7" s="351" t="s">
        <v>1679</v>
      </c>
      <c r="B7" s="352"/>
      <c r="C7" s="353">
        <f>'数据-取费表'!B2</f>
        <v>45607</v>
      </c>
      <c r="D7" s="354">
        <v>100</v>
      </c>
      <c r="E7" s="355"/>
      <c r="F7" s="356">
        <f>SUMIF(48:48,YEAR(E7)&amp;"-"&amp;MONTH(E7),49:49)</f>
        <v>0</v>
      </c>
      <c r="G7" s="355"/>
      <c r="H7" s="354">
        <f>SUMIF(48:48,YEAR(G7)&amp;"-"&amp;MONTH(G7),49:49)</f>
        <v>0</v>
      </c>
      <c r="I7" s="355"/>
      <c r="J7" s="354">
        <f>SUMIF(48:48,YEAR(I7)&amp;"-"&amp;MONTH(I7),49:49)</f>
        <v>0</v>
      </c>
      <c r="K7" s="38"/>
      <c r="L7" s="2486"/>
      <c r="M7" s="2437"/>
      <c r="N7" s="2437"/>
      <c r="O7" s="2437"/>
      <c r="P7" s="3459" t="s">
        <v>1680</v>
      </c>
      <c r="Q7" s="3461"/>
      <c r="R7" s="662" t="s">
        <v>14</v>
      </c>
      <c r="S7" s="663">
        <f t="shared" ref="S7:S14" si="0">F7</f>
        <v>0</v>
      </c>
      <c r="T7" s="662" t="s">
        <v>14</v>
      </c>
      <c r="U7" s="663">
        <f t="shared" ref="U7:U14" si="1">H7</f>
        <v>0</v>
      </c>
      <c r="V7" s="662" t="s">
        <v>14</v>
      </c>
      <c r="W7" s="663">
        <f t="shared" ref="W7:W14" si="2">J7</f>
        <v>0</v>
      </c>
      <c r="X7" s="664"/>
      <c r="Y7" s="3459" t="s">
        <v>1680</v>
      </c>
      <c r="Z7" s="3460"/>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6"/>
      <c r="M8" s="2437"/>
      <c r="N8" s="2437"/>
      <c r="O8" s="2437"/>
      <c r="P8" s="3459" t="s">
        <v>1683</v>
      </c>
      <c r="Q8" s="3460"/>
      <c r="R8" s="662" t="s">
        <v>14</v>
      </c>
      <c r="S8" s="663">
        <f t="shared" si="0"/>
        <v>100</v>
      </c>
      <c r="T8" s="662" t="s">
        <v>14</v>
      </c>
      <c r="U8" s="663">
        <f t="shared" si="1"/>
        <v>100</v>
      </c>
      <c r="V8" s="662" t="s">
        <v>14</v>
      </c>
      <c r="W8" s="663">
        <f t="shared" si="2"/>
        <v>100</v>
      </c>
      <c r="X8" s="664"/>
      <c r="Y8" s="3459" t="s">
        <v>1683</v>
      </c>
      <c r="Z8" s="3460"/>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6"/>
      <c r="M9" s="2437"/>
      <c r="N9" s="2437"/>
      <c r="O9" s="2437"/>
      <c r="P9" s="3424" t="s">
        <v>1686</v>
      </c>
      <c r="Q9" s="529" t="str">
        <f t="shared" ref="Q9:Q14" si="6">B9</f>
        <v>用途</v>
      </c>
      <c r="R9" s="662" t="s">
        <v>14</v>
      </c>
      <c r="S9" s="663">
        <f t="shared" si="0"/>
        <v>100</v>
      </c>
      <c r="T9" s="662" t="s">
        <v>14</v>
      </c>
      <c r="U9" s="663">
        <f t="shared" si="1"/>
        <v>100</v>
      </c>
      <c r="V9" s="662" t="s">
        <v>14</v>
      </c>
      <c r="W9" s="663">
        <f t="shared" si="2"/>
        <v>100</v>
      </c>
      <c r="X9" s="664"/>
      <c r="Y9" s="3298" t="s">
        <v>1687</v>
      </c>
      <c r="Z9" s="50" t="str">
        <f t="shared" ref="Z9:Z14" si="7">Q9</f>
        <v>用途</v>
      </c>
      <c r="AA9" s="50">
        <f t="shared" si="3"/>
        <v>1</v>
      </c>
      <c r="AB9" s="50">
        <f t="shared" si="4"/>
        <v>1</v>
      </c>
      <c r="AC9" s="50">
        <f t="shared" si="5"/>
        <v>1</v>
      </c>
    </row>
    <row r="10" spans="1:29" s="365" customFormat="1" ht="27">
      <c r="A10" s="564"/>
      <c r="B10" s="565"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24"/>
      <c r="Q10" s="529" t="str">
        <f t="shared" si="6"/>
        <v>土地使用年限（年）</v>
      </c>
      <c r="R10" s="662" t="s">
        <v>14</v>
      </c>
      <c r="S10" s="663">
        <f t="shared" si="0"/>
        <v>100</v>
      </c>
      <c r="T10" s="662" t="s">
        <v>14</v>
      </c>
      <c r="U10" s="663">
        <f t="shared" si="1"/>
        <v>100</v>
      </c>
      <c r="V10" s="662" t="s">
        <v>14</v>
      </c>
      <c r="W10" s="663">
        <f t="shared" si="2"/>
        <v>100</v>
      </c>
      <c r="X10" s="664"/>
      <c r="Y10" s="3298"/>
      <c r="Z10" s="50" t="str">
        <f t="shared" si="7"/>
        <v>土地使用年限（年）</v>
      </c>
      <c r="AA10" s="50">
        <f t="shared" si="3"/>
        <v>1</v>
      </c>
      <c r="AB10" s="50">
        <f t="shared" si="4"/>
        <v>1</v>
      </c>
      <c r="AC10" s="50">
        <f t="shared" si="5"/>
        <v>1</v>
      </c>
    </row>
    <row r="11" spans="1:29" ht="15">
      <c r="A11" s="566"/>
      <c r="B11" s="567">
        <v>111</v>
      </c>
      <c r="C11" s="370"/>
      <c r="D11" s="119">
        <v>100</v>
      </c>
      <c r="E11" s="370"/>
      <c r="F11" s="119">
        <f>SUMIF(57:57,E11,58:58)-SUMIF(57:57,C11,58:58)+100</f>
        <v>100</v>
      </c>
      <c r="G11" s="370"/>
      <c r="H11" s="119">
        <f>SUMIF(57:57,G11,58:58)-SUMIF(57:57,C11,58:58)+100</f>
        <v>100</v>
      </c>
      <c r="I11" s="370"/>
      <c r="J11" s="119">
        <f>SUMIF(57:57,I11,58:58)-SUMIF(57:57,C11,58:58)+100</f>
        <v>100</v>
      </c>
      <c r="K11" s="538"/>
      <c r="L11" s="2489"/>
      <c r="M11" s="2485"/>
      <c r="N11" s="2485"/>
      <c r="O11" s="2485"/>
      <c r="P11" s="3424"/>
      <c r="Q11" s="529">
        <f t="shared" si="6"/>
        <v>111</v>
      </c>
      <c r="R11" s="662" t="s">
        <v>14</v>
      </c>
      <c r="S11" s="663">
        <f t="shared" si="0"/>
        <v>100</v>
      </c>
      <c r="T11" s="662" t="s">
        <v>14</v>
      </c>
      <c r="U11" s="663">
        <f t="shared" si="1"/>
        <v>100</v>
      </c>
      <c r="V11" s="662" t="s">
        <v>14</v>
      </c>
      <c r="W11" s="663">
        <f t="shared" si="2"/>
        <v>100</v>
      </c>
      <c r="X11" s="664"/>
      <c r="Y11" s="3298"/>
      <c r="Z11" s="50">
        <f t="shared" si="7"/>
        <v>111</v>
      </c>
      <c r="AA11" s="50">
        <f t="shared" si="3"/>
        <v>1</v>
      </c>
      <c r="AB11" s="50">
        <f t="shared" si="4"/>
        <v>1</v>
      </c>
      <c r="AC11" s="50">
        <f t="shared" si="5"/>
        <v>1</v>
      </c>
    </row>
    <row r="12" spans="1:29" s="102" customFormat="1" ht="15">
      <c r="A12" s="568"/>
      <c r="B12" s="567">
        <v>111</v>
      </c>
      <c r="C12" s="370"/>
      <c r="D12" s="371">
        <v>100</v>
      </c>
      <c r="E12" s="370"/>
      <c r="F12" s="119">
        <f>SUMIF(59:59,E12,60:60)-SUMIF(59:59,C12,60:60)+100</f>
        <v>100</v>
      </c>
      <c r="G12" s="370"/>
      <c r="H12" s="119">
        <f>SUMIF(59:59,G12,60:60)-SUMIF(59:59,C12,60:60)+100</f>
        <v>100</v>
      </c>
      <c r="I12" s="370"/>
      <c r="J12" s="119">
        <f>SUMIF(59:59,I12,60:60)-SUMIF(59:59,C12,60:60)+100</f>
        <v>100</v>
      </c>
      <c r="K12" s="538"/>
      <c r="L12" s="2486"/>
      <c r="M12" s="2437"/>
      <c r="N12" s="2437"/>
      <c r="O12" s="2437"/>
      <c r="P12" s="3424"/>
      <c r="Q12" s="529">
        <f t="shared" si="6"/>
        <v>111</v>
      </c>
      <c r="R12" s="662" t="s">
        <v>14</v>
      </c>
      <c r="S12" s="663">
        <f t="shared" si="0"/>
        <v>100</v>
      </c>
      <c r="T12" s="662" t="s">
        <v>14</v>
      </c>
      <c r="U12" s="663">
        <f t="shared" si="1"/>
        <v>100</v>
      </c>
      <c r="V12" s="662" t="s">
        <v>14</v>
      </c>
      <c r="W12" s="663">
        <f t="shared" si="2"/>
        <v>100</v>
      </c>
      <c r="X12" s="664"/>
      <c r="Y12" s="3298"/>
      <c r="Z12" s="50">
        <f t="shared" si="7"/>
        <v>111</v>
      </c>
      <c r="AA12" s="50">
        <f>D12/F12</f>
        <v>1</v>
      </c>
      <c r="AB12" s="50">
        <f>D12/H12</f>
        <v>1</v>
      </c>
      <c r="AC12" s="50">
        <f>D12/J12</f>
        <v>1</v>
      </c>
    </row>
    <row r="13" spans="1:29" ht="15.75" thickBot="1">
      <c r="A13" s="569"/>
      <c r="B13" s="567">
        <v>111</v>
      </c>
      <c r="C13" s="372"/>
      <c r="D13" s="373">
        <v>100</v>
      </c>
      <c r="E13" s="370"/>
      <c r="F13" s="119">
        <f>SUMIF(61:61,E13,62:62)-SUMIF(61:61,C13,62:62)+100</f>
        <v>100</v>
      </c>
      <c r="G13" s="370"/>
      <c r="H13" s="373">
        <f>SUMIF(61:61,G13,62:62)-SUMIF(61:61,C13,62:62)+100</f>
        <v>100</v>
      </c>
      <c r="I13" s="370"/>
      <c r="J13" s="373">
        <f>SUMIF(61:61,I13,62:62)-SUMIF(61:61,C13,62:62)+100</f>
        <v>100</v>
      </c>
      <c r="K13" s="538"/>
      <c r="L13" s="2490"/>
      <c r="M13" s="2485"/>
      <c r="N13" s="2485"/>
      <c r="O13" s="2485"/>
      <c r="P13" s="3424"/>
      <c r="Q13" s="529">
        <f t="shared" si="6"/>
        <v>111</v>
      </c>
      <c r="R13" s="662" t="s">
        <v>14</v>
      </c>
      <c r="S13" s="663">
        <f t="shared" si="0"/>
        <v>100</v>
      </c>
      <c r="T13" s="662" t="s">
        <v>14</v>
      </c>
      <c r="U13" s="663">
        <f t="shared" si="1"/>
        <v>100</v>
      </c>
      <c r="V13" s="662" t="s">
        <v>14</v>
      </c>
      <c r="W13" s="663">
        <f t="shared" si="2"/>
        <v>100</v>
      </c>
      <c r="X13" s="664"/>
      <c r="Y13" s="3298"/>
      <c r="Z13" s="50">
        <f t="shared" si="7"/>
        <v>111</v>
      </c>
      <c r="AA13" s="50">
        <f t="shared" si="3"/>
        <v>1</v>
      </c>
      <c r="AB13" s="50">
        <f t="shared" si="4"/>
        <v>1</v>
      </c>
      <c r="AC13" s="50">
        <f t="shared" si="5"/>
        <v>1</v>
      </c>
    </row>
    <row r="14" spans="1:29" ht="85.5">
      <c r="A14" s="344" t="s">
        <v>1690</v>
      </c>
      <c r="B14" s="553" t="s">
        <v>1833</v>
      </c>
      <c r="C14" s="1816"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426" t="s">
        <v>1691</v>
      </c>
      <c r="Q14" s="1260" t="str">
        <f t="shared" si="6"/>
        <v>交通便捷度</v>
      </c>
      <c r="R14" s="665" t="s">
        <v>14</v>
      </c>
      <c r="S14" s="666">
        <f t="shared" si="0"/>
        <v>100</v>
      </c>
      <c r="T14" s="665" t="s">
        <v>14</v>
      </c>
      <c r="U14" s="666">
        <f t="shared" si="1"/>
        <v>100</v>
      </c>
      <c r="V14" s="665" t="s">
        <v>14</v>
      </c>
      <c r="W14" s="666">
        <f t="shared" si="2"/>
        <v>100</v>
      </c>
      <c r="X14" s="1262"/>
      <c r="Y14" s="3426" t="s">
        <v>1691</v>
      </c>
      <c r="Z14" s="1261" t="str">
        <f t="shared" si="7"/>
        <v>交通便捷度</v>
      </c>
      <c r="AA14" s="1261">
        <f t="shared" si="3"/>
        <v>1</v>
      </c>
      <c r="AB14" s="1261">
        <f t="shared" si="4"/>
        <v>1</v>
      </c>
      <c r="AC14" s="1261">
        <f t="shared" si="5"/>
        <v>1</v>
      </c>
    </row>
    <row r="15" spans="1:29" ht="15">
      <c r="A15" s="347"/>
      <c r="B15" s="570"/>
      <c r="C15" s="385"/>
      <c r="D15" s="386"/>
      <c r="E15" s="385"/>
      <c r="F15" s="387"/>
      <c r="G15" s="385"/>
      <c r="H15" s="388"/>
      <c r="I15" s="385"/>
      <c r="J15" s="386"/>
      <c r="K15" s="540"/>
      <c r="L15" s="2490"/>
      <c r="M15" s="2485"/>
      <c r="N15" s="2485"/>
      <c r="O15" s="2485"/>
      <c r="P15" s="3427"/>
      <c r="Q15" s="1260"/>
      <c r="R15" s="665"/>
      <c r="S15" s="666"/>
      <c r="T15" s="665"/>
      <c r="U15" s="666"/>
      <c r="V15" s="665"/>
      <c r="W15" s="666"/>
      <c r="X15" s="1262"/>
      <c r="Y15" s="3427"/>
      <c r="Z15" s="1261"/>
      <c r="AA15" s="1261">
        <v>1</v>
      </c>
      <c r="AB15" s="1261">
        <v>1</v>
      </c>
      <c r="AC15" s="1261">
        <v>1</v>
      </c>
    </row>
    <row r="16" spans="1:29" ht="42.75">
      <c r="A16" s="347"/>
      <c r="B16" s="555" t="s">
        <v>1812</v>
      </c>
      <c r="C16" s="1751"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427"/>
      <c r="Q16" s="1260" t="str">
        <f>B16</f>
        <v>公共配套设施</v>
      </c>
      <c r="R16" s="665" t="s">
        <v>14</v>
      </c>
      <c r="S16" s="666">
        <f>F16</f>
        <v>100</v>
      </c>
      <c r="T16" s="665" t="s">
        <v>14</v>
      </c>
      <c r="U16" s="666">
        <f>H16</f>
        <v>100</v>
      </c>
      <c r="V16" s="665" t="s">
        <v>14</v>
      </c>
      <c r="W16" s="666">
        <f>J16</f>
        <v>100</v>
      </c>
      <c r="X16" s="1262"/>
      <c r="Y16" s="3427"/>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90"/>
      <c r="M17" s="2485"/>
      <c r="N17" s="2485"/>
      <c r="O17" s="2485"/>
      <c r="P17" s="3427"/>
      <c r="Q17" s="1260"/>
      <c r="R17" s="665"/>
      <c r="S17" s="666"/>
      <c r="T17" s="665"/>
      <c r="U17" s="666"/>
      <c r="V17" s="665"/>
      <c r="W17" s="666"/>
      <c r="X17" s="1262"/>
      <c r="Y17" s="3427"/>
      <c r="Z17" s="1261"/>
      <c r="AA17" s="1261">
        <v>1</v>
      </c>
      <c r="AB17" s="1261">
        <v>1</v>
      </c>
      <c r="AC17" s="1261">
        <v>1</v>
      </c>
    </row>
    <row r="18" spans="1:29" ht="28.5">
      <c r="A18" s="347"/>
      <c r="B18" s="556" t="s">
        <v>1813</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427"/>
      <c r="Q18" s="1260" t="str">
        <f>B18</f>
        <v>基础设施水平</v>
      </c>
      <c r="R18" s="665" t="s">
        <v>14</v>
      </c>
      <c r="S18" s="666">
        <f>F18</f>
        <v>100</v>
      </c>
      <c r="T18" s="665" t="s">
        <v>14</v>
      </c>
      <c r="U18" s="666">
        <f>H18</f>
        <v>100</v>
      </c>
      <c r="V18" s="665" t="s">
        <v>14</v>
      </c>
      <c r="W18" s="666">
        <f>J18</f>
        <v>100</v>
      </c>
      <c r="X18" s="1262"/>
      <c r="Y18" s="3427"/>
      <c r="Z18" s="1261" t="str">
        <f>Q18</f>
        <v>基础设施水平</v>
      </c>
      <c r="AA18" s="1261">
        <f t="shared" ref="AA18" si="8">D18/F18</f>
        <v>1</v>
      </c>
      <c r="AB18" s="1261">
        <f t="shared" ref="AB18" si="9">D18/H18</f>
        <v>1</v>
      </c>
      <c r="AC18" s="1261">
        <f t="shared" ref="AC18" si="10">D18/J18</f>
        <v>1</v>
      </c>
    </row>
    <row r="19" spans="1:29" ht="15">
      <c r="A19" s="347"/>
      <c r="B19" s="556"/>
      <c r="C19" s="1752"/>
      <c r="D19" s="388"/>
      <c r="E19" s="1752"/>
      <c r="F19" s="391"/>
      <c r="G19" s="1752"/>
      <c r="H19" s="386"/>
      <c r="I19" s="385"/>
      <c r="J19" s="386"/>
      <c r="K19" s="1062"/>
      <c r="L19" s="2490"/>
      <c r="M19" s="2485"/>
      <c r="N19" s="2485"/>
      <c r="O19" s="2485"/>
      <c r="P19" s="3427"/>
      <c r="Q19" s="1260"/>
      <c r="R19" s="665"/>
      <c r="S19" s="666"/>
      <c r="T19" s="665"/>
      <c r="U19" s="666"/>
      <c r="V19" s="665"/>
      <c r="W19" s="666"/>
      <c r="X19" s="1262"/>
      <c r="Y19" s="3427"/>
      <c r="Z19" s="1261"/>
      <c r="AA19" s="1261">
        <v>1</v>
      </c>
      <c r="AB19" s="1261">
        <v>1</v>
      </c>
      <c r="AC19" s="1261">
        <v>1</v>
      </c>
    </row>
    <row r="20" spans="1:29" ht="57">
      <c r="A20" s="347"/>
      <c r="B20" s="555" t="s">
        <v>1834</v>
      </c>
      <c r="C20" s="1751"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427"/>
      <c r="Q20" s="1260" t="str">
        <f>B20</f>
        <v>自然及人文环境</v>
      </c>
      <c r="R20" s="665" t="s">
        <v>14</v>
      </c>
      <c r="S20" s="666">
        <f>F20</f>
        <v>100</v>
      </c>
      <c r="T20" s="665" t="s">
        <v>14</v>
      </c>
      <c r="U20" s="666">
        <f>H20</f>
        <v>100</v>
      </c>
      <c r="V20" s="665" t="s">
        <v>14</v>
      </c>
      <c r="W20" s="666">
        <f>J20</f>
        <v>100</v>
      </c>
      <c r="X20" s="1262"/>
      <c r="Y20" s="3427"/>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90"/>
      <c r="M21" s="2485"/>
      <c r="N21" s="2485"/>
      <c r="O21" s="2485"/>
      <c r="P21" s="3427"/>
      <c r="Q21" s="1260"/>
      <c r="R21" s="665"/>
      <c r="S21" s="666"/>
      <c r="T21" s="665"/>
      <c r="U21" s="666"/>
      <c r="V21" s="665"/>
      <c r="W21" s="666"/>
      <c r="X21" s="1262"/>
      <c r="Y21" s="3427"/>
      <c r="Z21" s="1261"/>
      <c r="AA21" s="1261">
        <v>1</v>
      </c>
      <c r="AB21" s="1261">
        <v>1</v>
      </c>
      <c r="AC21" s="1261">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427"/>
      <c r="Q22" s="1260" t="str">
        <f>B22</f>
        <v>楼层</v>
      </c>
      <c r="R22" s="665" t="s">
        <v>14</v>
      </c>
      <c r="S22" s="666">
        <f>F22</f>
        <v>100</v>
      </c>
      <c r="T22" s="665" t="s">
        <v>14</v>
      </c>
      <c r="U22" s="666">
        <f>H22</f>
        <v>100</v>
      </c>
      <c r="V22" s="665" t="s">
        <v>14</v>
      </c>
      <c r="W22" s="666">
        <f>J22</f>
        <v>100</v>
      </c>
      <c r="X22" s="1262"/>
      <c r="Y22" s="3427"/>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427"/>
      <c r="Q23" s="1260">
        <f>B23</f>
        <v>111</v>
      </c>
      <c r="R23" s="665" t="s">
        <v>14</v>
      </c>
      <c r="S23" s="666">
        <f>F23</f>
        <v>100</v>
      </c>
      <c r="T23" s="665" t="s">
        <v>14</v>
      </c>
      <c r="U23" s="666">
        <f>H23</f>
        <v>100</v>
      </c>
      <c r="V23" s="665" t="s">
        <v>14</v>
      </c>
      <c r="W23" s="666">
        <f>J23</f>
        <v>100</v>
      </c>
      <c r="X23" s="1262"/>
      <c r="Y23" s="3427"/>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427"/>
      <c r="Q24" s="1260">
        <f t="shared" ref="Q24:Q36" si="11">B24</f>
        <v>111</v>
      </c>
      <c r="R24" s="665" t="s">
        <v>14</v>
      </c>
      <c r="S24" s="666">
        <f>F24</f>
        <v>100</v>
      </c>
      <c r="T24" s="665" t="s">
        <v>14</v>
      </c>
      <c r="U24" s="666">
        <f>H24</f>
        <v>100</v>
      </c>
      <c r="V24" s="665" t="s">
        <v>14</v>
      </c>
      <c r="W24" s="666">
        <f>J24</f>
        <v>100</v>
      </c>
      <c r="X24" s="1262"/>
      <c r="Y24" s="3427"/>
      <c r="Z24" s="1261">
        <f>Q24</f>
        <v>111</v>
      </c>
      <c r="AA24" s="1261">
        <f t="shared" si="3"/>
        <v>1</v>
      </c>
      <c r="AB24" s="1261">
        <f t="shared" si="4"/>
        <v>1</v>
      </c>
      <c r="AC24" s="1261">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7"/>
      <c r="N25" s="2437"/>
      <c r="O25" s="2437"/>
      <c r="P25" s="3427"/>
      <c r="Q25" s="529">
        <f t="shared" si="11"/>
        <v>111</v>
      </c>
      <c r="R25" s="662" t="s">
        <v>14</v>
      </c>
      <c r="S25" s="663">
        <f>F25</f>
        <v>100</v>
      </c>
      <c r="T25" s="662" t="s">
        <v>14</v>
      </c>
      <c r="U25" s="663">
        <f>H25</f>
        <v>100</v>
      </c>
      <c r="V25" s="662" t="s">
        <v>14</v>
      </c>
      <c r="W25" s="663">
        <f>J25</f>
        <v>100</v>
      </c>
      <c r="X25" s="664"/>
      <c r="Y25" s="3427"/>
      <c r="Z25" s="50">
        <f>Q25</f>
        <v>111</v>
      </c>
      <c r="AA25" s="1261">
        <f>D25/F25</f>
        <v>1</v>
      </c>
      <c r="AB25" s="1261">
        <f>D25/H25</f>
        <v>1</v>
      </c>
      <c r="AC25" s="1261">
        <f>D25/J25</f>
        <v>1</v>
      </c>
    </row>
    <row r="26" spans="1:29" ht="28.5">
      <c r="A26" s="573"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81"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31" t="s">
        <v>1696</v>
      </c>
      <c r="Z26" s="1261" t="str">
        <f t="shared" ref="Z26:Z36" si="15">Q26</f>
        <v>配套类型</v>
      </c>
      <c r="AA26" s="1261" t="e">
        <f t="shared" si="3"/>
        <v>#DIV/0!</v>
      </c>
      <c r="AB26" s="1261" t="e">
        <f t="shared" si="4"/>
        <v>#DIV/0!</v>
      </c>
      <c r="AC26" s="1261" t="e">
        <f t="shared" si="5"/>
        <v>#DIV/0!</v>
      </c>
    </row>
    <row r="27" spans="1:29" s="407" customFormat="1" ht="15">
      <c r="A27" s="574"/>
      <c r="B27" s="119" t="s">
        <v>1837</v>
      </c>
      <c r="C27" s="575"/>
      <c r="D27" s="119">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431"/>
      <c r="Q27" s="530" t="str">
        <f t="shared" si="11"/>
        <v>项目停车位配比</v>
      </c>
      <c r="R27" s="667" t="s">
        <v>14</v>
      </c>
      <c r="S27" s="668">
        <f t="shared" si="12"/>
        <v>100</v>
      </c>
      <c r="T27" s="667" t="s">
        <v>14</v>
      </c>
      <c r="U27" s="668">
        <f t="shared" si="13"/>
        <v>100</v>
      </c>
      <c r="V27" s="667" t="s">
        <v>14</v>
      </c>
      <c r="W27" s="668">
        <f t="shared" si="14"/>
        <v>100</v>
      </c>
      <c r="X27" s="669"/>
      <c r="Y27" s="3431"/>
      <c r="Z27" s="670" t="str">
        <f t="shared" si="15"/>
        <v>项目停车位配比</v>
      </c>
      <c r="AA27" s="1261">
        <f t="shared" si="3"/>
        <v>1</v>
      </c>
      <c r="AB27" s="1261">
        <f t="shared" si="4"/>
        <v>1</v>
      </c>
      <c r="AC27" s="1261">
        <f t="shared" si="5"/>
        <v>1</v>
      </c>
    </row>
    <row r="28" spans="1:29" ht="15">
      <c r="A28" s="576"/>
      <c r="B28" s="119"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431"/>
      <c r="Q28" s="1260" t="str">
        <f t="shared" si="11"/>
        <v>公共部分装修</v>
      </c>
      <c r="R28" s="665" t="s">
        <v>14</v>
      </c>
      <c r="S28" s="666">
        <f t="shared" si="12"/>
        <v>100</v>
      </c>
      <c r="T28" s="665" t="s">
        <v>14</v>
      </c>
      <c r="U28" s="666">
        <f t="shared" si="13"/>
        <v>100</v>
      </c>
      <c r="V28" s="665" t="s">
        <v>14</v>
      </c>
      <c r="W28" s="666">
        <f t="shared" si="14"/>
        <v>100</v>
      </c>
      <c r="X28" s="1262"/>
      <c r="Y28" s="3431"/>
      <c r="Z28" s="1261" t="str">
        <f t="shared" si="15"/>
        <v>公共部分装修</v>
      </c>
      <c r="AA28" s="1261">
        <f t="shared" si="3"/>
        <v>1</v>
      </c>
      <c r="AB28" s="1261">
        <f t="shared" si="4"/>
        <v>1</v>
      </c>
      <c r="AC28" s="1261">
        <f t="shared" si="5"/>
        <v>1</v>
      </c>
    </row>
    <row r="29" spans="1:29" ht="15">
      <c r="A29" s="576"/>
      <c r="B29" s="119"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431"/>
      <c r="Q29" s="1260" t="str">
        <f t="shared" si="11"/>
        <v>成新率</v>
      </c>
      <c r="R29" s="665" t="s">
        <v>14</v>
      </c>
      <c r="S29" s="666" t="e">
        <f t="shared" si="12"/>
        <v>#N/A</v>
      </c>
      <c r="T29" s="665" t="s">
        <v>14</v>
      </c>
      <c r="U29" s="666" t="e">
        <f t="shared" si="13"/>
        <v>#N/A</v>
      </c>
      <c r="V29" s="665" t="s">
        <v>14</v>
      </c>
      <c r="W29" s="666" t="e">
        <f t="shared" si="14"/>
        <v>#N/A</v>
      </c>
      <c r="X29" s="1262"/>
      <c r="Y29" s="3431"/>
      <c r="Z29" s="1261" t="str">
        <f t="shared" si="15"/>
        <v>成新率</v>
      </c>
      <c r="AA29" s="1261" t="e">
        <f t="shared" si="3"/>
        <v>#N/A</v>
      </c>
      <c r="AB29" s="1261" t="e">
        <f t="shared" si="4"/>
        <v>#N/A</v>
      </c>
      <c r="AC29" s="1261" t="e">
        <f t="shared" si="5"/>
        <v>#N/A</v>
      </c>
    </row>
    <row r="30" spans="1:29" ht="15">
      <c r="A30" s="576"/>
      <c r="B30" s="119"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431"/>
      <c r="Q30" s="1260" t="str">
        <f t="shared" si="11"/>
        <v>物业等级</v>
      </c>
      <c r="R30" s="665" t="s">
        <v>14</v>
      </c>
      <c r="S30" s="666">
        <f t="shared" si="12"/>
        <v>100</v>
      </c>
      <c r="T30" s="665" t="s">
        <v>14</v>
      </c>
      <c r="U30" s="666">
        <f t="shared" si="13"/>
        <v>100</v>
      </c>
      <c r="V30" s="665" t="s">
        <v>14</v>
      </c>
      <c r="W30" s="666">
        <f t="shared" si="14"/>
        <v>100</v>
      </c>
      <c r="X30" s="1262"/>
      <c r="Y30" s="3431"/>
      <c r="Z30" s="1261" t="str">
        <f t="shared" si="15"/>
        <v>物业等级</v>
      </c>
      <c r="AA30" s="1261">
        <f t="shared" si="3"/>
        <v>1</v>
      </c>
      <c r="AB30" s="1261">
        <f t="shared" si="4"/>
        <v>1</v>
      </c>
      <c r="AC30" s="1261">
        <f t="shared" si="5"/>
        <v>1</v>
      </c>
    </row>
    <row r="31" spans="1:29" s="102" customFormat="1" ht="15">
      <c r="A31" s="578"/>
      <c r="B31" s="119" t="s">
        <v>1841</v>
      </c>
      <c r="C31" s="406"/>
      <c r="D31" s="119">
        <v>100</v>
      </c>
      <c r="E31" s="406"/>
      <c r="F31" s="399" t="e">
        <f>LOOKUP(E31,91:91,92:92)-LOOKUP(C31,91:91,92:92)+100</f>
        <v>#N/A</v>
      </c>
      <c r="G31" s="406"/>
      <c r="H31" s="373" t="e">
        <f>LOOKUP(G31,91:91,92:92)-LOOKUP(C31,91:91,92:92)+100</f>
        <v>#N/A</v>
      </c>
      <c r="I31" s="406"/>
      <c r="J31" s="373" t="e">
        <f>LOOKUP(I31,91:91,92:92)-LOOKUP(C31,91:91,92:92)+100</f>
        <v>#N/A</v>
      </c>
      <c r="K31" s="537"/>
      <c r="L31" s="2486"/>
      <c r="M31" s="2437"/>
      <c r="N31" s="2437"/>
      <c r="O31" s="2437"/>
      <c r="P31" s="3431"/>
      <c r="Q31" s="529" t="str">
        <f t="shared" si="11"/>
        <v>停车位面积</v>
      </c>
      <c r="R31" s="662" t="s">
        <v>14</v>
      </c>
      <c r="S31" s="663" t="e">
        <f t="shared" si="12"/>
        <v>#N/A</v>
      </c>
      <c r="T31" s="662" t="s">
        <v>14</v>
      </c>
      <c r="U31" s="663" t="e">
        <f t="shared" si="13"/>
        <v>#N/A</v>
      </c>
      <c r="V31" s="662" t="s">
        <v>14</v>
      </c>
      <c r="W31" s="663" t="e">
        <f t="shared" si="14"/>
        <v>#N/A</v>
      </c>
      <c r="X31" s="664"/>
      <c r="Y31" s="3431"/>
      <c r="Z31" s="50" t="str">
        <f t="shared" si="15"/>
        <v>停车位面积</v>
      </c>
      <c r="AA31" s="50" t="e">
        <f t="shared" si="3"/>
        <v>#N/A</v>
      </c>
      <c r="AB31" s="50" t="e">
        <f t="shared" si="4"/>
        <v>#N/A</v>
      </c>
      <c r="AC31" s="50" t="e">
        <f t="shared" si="5"/>
        <v>#N/A</v>
      </c>
    </row>
    <row r="32" spans="1:29" ht="15">
      <c r="A32" s="576"/>
      <c r="B32" s="119"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431" t="s">
        <v>1696</v>
      </c>
      <c r="Q32" s="1260" t="str">
        <f t="shared" si="11"/>
        <v>车位类型</v>
      </c>
      <c r="R32" s="665" t="s">
        <v>14</v>
      </c>
      <c r="S32" s="666">
        <f t="shared" si="12"/>
        <v>100</v>
      </c>
      <c r="T32" s="665" t="s">
        <v>14</v>
      </c>
      <c r="U32" s="666">
        <f t="shared" si="13"/>
        <v>100</v>
      </c>
      <c r="V32" s="665" t="s">
        <v>14</v>
      </c>
      <c r="W32" s="666">
        <f t="shared" si="14"/>
        <v>100</v>
      </c>
      <c r="X32" s="1262"/>
      <c r="Y32" s="3431" t="s">
        <v>1696</v>
      </c>
      <c r="Z32" s="1261" t="str">
        <f t="shared" si="15"/>
        <v>车位类型</v>
      </c>
      <c r="AA32" s="1261">
        <f t="shared" si="3"/>
        <v>1</v>
      </c>
      <c r="AB32" s="1261">
        <f t="shared" si="4"/>
        <v>1</v>
      </c>
      <c r="AC32" s="1261">
        <f t="shared" si="5"/>
        <v>1</v>
      </c>
    </row>
    <row r="33" spans="1:29" ht="15">
      <c r="A33" s="576"/>
      <c r="B33" s="119"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431"/>
      <c r="Q33" s="1260" t="str">
        <f t="shared" si="11"/>
        <v>是否直接入户</v>
      </c>
      <c r="R33" s="665" t="s">
        <v>14</v>
      </c>
      <c r="S33" s="666">
        <f t="shared" si="12"/>
        <v>100</v>
      </c>
      <c r="T33" s="665" t="s">
        <v>14</v>
      </c>
      <c r="U33" s="666">
        <f t="shared" si="13"/>
        <v>100</v>
      </c>
      <c r="V33" s="665" t="s">
        <v>14</v>
      </c>
      <c r="W33" s="666">
        <f t="shared" si="14"/>
        <v>100</v>
      </c>
      <c r="X33" s="1262"/>
      <c r="Y33" s="3431"/>
      <c r="Z33" s="1261" t="str">
        <f t="shared" si="15"/>
        <v>是否直接入户</v>
      </c>
      <c r="AA33" s="1261">
        <f t="shared" si="3"/>
        <v>1</v>
      </c>
      <c r="AB33" s="1261">
        <f t="shared" si="4"/>
        <v>1</v>
      </c>
      <c r="AC33" s="1261">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431"/>
      <c r="Q34" s="1260">
        <f t="shared" si="11"/>
        <v>111</v>
      </c>
      <c r="R34" s="665" t="s">
        <v>14</v>
      </c>
      <c r="S34" s="666">
        <f t="shared" si="12"/>
        <v>100</v>
      </c>
      <c r="T34" s="665" t="s">
        <v>14</v>
      </c>
      <c r="U34" s="666">
        <f t="shared" si="13"/>
        <v>100</v>
      </c>
      <c r="V34" s="665" t="s">
        <v>14</v>
      </c>
      <c r="W34" s="666">
        <f t="shared" si="14"/>
        <v>100</v>
      </c>
      <c r="X34" s="1262"/>
      <c r="Y34" s="3431"/>
      <c r="Z34" s="1261">
        <f t="shared" si="15"/>
        <v>111</v>
      </c>
      <c r="AA34" s="1261">
        <f t="shared" si="3"/>
        <v>1</v>
      </c>
      <c r="AB34" s="1261">
        <f t="shared" si="4"/>
        <v>1</v>
      </c>
      <c r="AC34" s="1261">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431"/>
      <c r="Q35" s="530">
        <f t="shared" si="11"/>
        <v>111</v>
      </c>
      <c r="R35" s="667" t="s">
        <v>14</v>
      </c>
      <c r="S35" s="668">
        <f t="shared" si="12"/>
        <v>100</v>
      </c>
      <c r="T35" s="667" t="s">
        <v>14</v>
      </c>
      <c r="U35" s="668">
        <f t="shared" si="13"/>
        <v>100</v>
      </c>
      <c r="V35" s="667" t="s">
        <v>14</v>
      </c>
      <c r="W35" s="668">
        <f t="shared" si="14"/>
        <v>100</v>
      </c>
      <c r="X35" s="669"/>
      <c r="Y35" s="3431"/>
      <c r="Z35" s="670">
        <f t="shared" si="15"/>
        <v>111</v>
      </c>
      <c r="AA35" s="1261">
        <f t="shared" si="3"/>
        <v>1</v>
      </c>
      <c r="AB35" s="1261">
        <f t="shared" si="4"/>
        <v>1</v>
      </c>
      <c r="AC35" s="1261">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431"/>
      <c r="Q36" s="1260">
        <f t="shared" si="11"/>
        <v>111</v>
      </c>
      <c r="R36" s="665" t="s">
        <v>14</v>
      </c>
      <c r="S36" s="666">
        <f t="shared" si="12"/>
        <v>100</v>
      </c>
      <c r="T36" s="665" t="s">
        <v>14</v>
      </c>
      <c r="U36" s="666">
        <f t="shared" si="13"/>
        <v>100</v>
      </c>
      <c r="V36" s="665" t="s">
        <v>14</v>
      </c>
      <c r="W36" s="666">
        <f t="shared" si="14"/>
        <v>100</v>
      </c>
      <c r="X36" s="1262"/>
      <c r="Y36" s="3431"/>
      <c r="Z36" s="1261">
        <f t="shared" si="15"/>
        <v>111</v>
      </c>
      <c r="AA36" s="1261">
        <f t="shared" si="3"/>
        <v>1</v>
      </c>
      <c r="AB36" s="1261">
        <f t="shared" si="4"/>
        <v>1</v>
      </c>
      <c r="AC36" s="1261">
        <f t="shared" si="5"/>
        <v>1</v>
      </c>
    </row>
    <row r="37" spans="1:29" ht="15">
      <c r="A37" s="415" t="s">
        <v>1844</v>
      </c>
      <c r="B37" s="1818" t="s">
        <v>3356</v>
      </c>
      <c r="C37" s="1078" t="s">
        <v>0</v>
      </c>
      <c r="D37" s="417"/>
      <c r="E37" s="418"/>
      <c r="F37" s="419"/>
      <c r="G37" s="420"/>
      <c r="H37" s="421"/>
      <c r="I37" s="418"/>
      <c r="J37" s="421"/>
      <c r="K37" s="544"/>
      <c r="L37" s="2492"/>
      <c r="M37" s="2485"/>
      <c r="N37" s="2485"/>
      <c r="O37" s="2485"/>
      <c r="P37" s="3424" t="str">
        <f>A37</f>
        <v>成交单价</v>
      </c>
      <c r="Q37" s="3424"/>
      <c r="R37" s="3425">
        <f>E37</f>
        <v>0</v>
      </c>
      <c r="S37" s="3425"/>
      <c r="T37" s="3425">
        <f>G37</f>
        <v>0</v>
      </c>
      <c r="U37" s="3425"/>
      <c r="V37" s="3425">
        <f>I37</f>
        <v>0</v>
      </c>
      <c r="W37" s="3425"/>
      <c r="X37" s="384"/>
      <c r="Y37" s="671"/>
      <c r="Z37" s="384"/>
      <c r="AA37" s="384"/>
      <c r="AB37" s="384"/>
      <c r="AC37" s="384"/>
    </row>
    <row r="38" spans="1:29" ht="15.75" thickBot="1">
      <c r="A38" s="422" t="s">
        <v>1845</v>
      </c>
      <c r="B38" s="423" t="str">
        <f>B37</f>
        <v>元/平方米</v>
      </c>
      <c r="C38" s="1079" t="e">
        <f>R39</f>
        <v>#DIV/0!</v>
      </c>
      <c r="D38" s="2138" t="s">
        <v>2138</v>
      </c>
      <c r="E38" s="1080" t="e">
        <f>R38</f>
        <v>#DIV/0!</v>
      </c>
      <c r="F38" s="2139"/>
      <c r="G38" s="1079" t="e">
        <f>T38</f>
        <v>#DIV/0!</v>
      </c>
      <c r="H38" s="2139"/>
      <c r="I38" s="1080" t="e">
        <f>V38</f>
        <v>#DIV/0!</v>
      </c>
      <c r="J38" s="2139"/>
      <c r="K38" s="2141">
        <f>F38+H38+J38</f>
        <v>0</v>
      </c>
      <c r="L38" s="2492"/>
      <c r="M38" s="2485"/>
      <c r="N38" s="2485"/>
      <c r="O38" s="2485"/>
      <c r="P38" s="3424" t="str">
        <f>A38</f>
        <v>比较价值（元/平方米）</v>
      </c>
      <c r="Q38" s="3424"/>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2"/>
      <c r="M39" s="2485"/>
      <c r="N39" s="2485"/>
      <c r="O39" s="2485"/>
      <c r="P39" s="3421" t="str">
        <f>A39</f>
        <v>估价对象XX用房的比较价值（楼面单价，元/平方米）</v>
      </c>
      <c r="Q39" s="3422"/>
      <c r="R39" s="3482" t="e">
        <f>IF(F1="售价",ROUND(IF(D38="简单平均",AVERAGE(R38:W38),R38*F38+T38*H38+V38*J38),0),ROUND(IF(D38="简单平均",AVERAGE(R38:V38),R38*F38+T38*H38+V38*J38),1))</f>
        <v>#DIV/0!</v>
      </c>
      <c r="S39" s="3482"/>
      <c r="T39" s="3482"/>
      <c r="U39" s="3482"/>
      <c r="V39" s="3482"/>
      <c r="W39" s="3482"/>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4" t="s">
        <v>1850</v>
      </c>
      <c r="B47" s="859"/>
      <c r="C47" s="884"/>
      <c r="D47" s="884"/>
      <c r="E47" s="884"/>
      <c r="F47" s="1085"/>
      <c r="G47" s="1085"/>
      <c r="H47" s="884"/>
      <c r="I47" s="884"/>
      <c r="J47" s="884"/>
      <c r="K47" s="885"/>
      <c r="L47" s="886"/>
      <c r="M47" s="884"/>
      <c r="N47" s="2535"/>
      <c r="O47" s="2535"/>
      <c r="P47" s="2524"/>
      <c r="Q47" s="2506"/>
      <c r="R47" s="2485"/>
      <c r="S47" s="2485"/>
      <c r="T47" s="2485"/>
      <c r="U47" s="2485"/>
      <c r="V47" s="2485"/>
      <c r="W47" s="2485"/>
      <c r="X47" s="2485"/>
      <c r="Y47" s="2485"/>
      <c r="Z47" s="2485"/>
      <c r="AA47" s="2485"/>
      <c r="AB47" s="2485"/>
      <c r="AC47" s="2485"/>
    </row>
    <row r="48" spans="1:29" s="441" customFormat="1" ht="15">
      <c r="A48" s="439" t="s">
        <v>1851</v>
      </c>
      <c r="B48" s="440"/>
      <c r="C48" s="1100" t="str">
        <f>YEAR(C7)&amp;"-"&amp;MONTH(C7)</f>
        <v>2024-11</v>
      </c>
      <c r="D48" s="1101">
        <f>EDATE(C48,-1)</f>
        <v>45566</v>
      </c>
      <c r="E48" s="1101">
        <f t="shared" ref="E48:O48" si="16">EDATE(D48,-1)</f>
        <v>45536</v>
      </c>
      <c r="F48" s="1101">
        <f t="shared" si="16"/>
        <v>45505</v>
      </c>
      <c r="G48" s="1101">
        <f t="shared" si="16"/>
        <v>45474</v>
      </c>
      <c r="H48" s="1101">
        <f t="shared" si="16"/>
        <v>45444</v>
      </c>
      <c r="I48" s="1101">
        <f t="shared" si="16"/>
        <v>45413</v>
      </c>
      <c r="J48" s="1101">
        <f t="shared" si="16"/>
        <v>45383</v>
      </c>
      <c r="K48" s="1101">
        <f t="shared" si="16"/>
        <v>45352</v>
      </c>
      <c r="L48" s="1101">
        <f t="shared" si="16"/>
        <v>45323</v>
      </c>
      <c r="M48" s="1101">
        <f t="shared" si="16"/>
        <v>45292</v>
      </c>
      <c r="N48" s="1101">
        <f t="shared" si="16"/>
        <v>45261</v>
      </c>
      <c r="O48" s="1101">
        <f t="shared" si="16"/>
        <v>45231</v>
      </c>
      <c r="P48" s="2525"/>
      <c r="Q48" s="2508"/>
      <c r="R48" s="2508"/>
      <c r="S48" s="2508"/>
      <c r="T48" s="2508"/>
      <c r="U48" s="2508"/>
      <c r="V48" s="2508"/>
      <c r="W48" s="2508"/>
      <c r="X48" s="2508"/>
      <c r="Y48" s="2508"/>
      <c r="Z48" s="2508"/>
      <c r="AA48" s="2508"/>
      <c r="AB48" s="2508"/>
      <c r="AC48" s="2508"/>
    </row>
    <row r="49" spans="1:29" s="102" customFormat="1" ht="15">
      <c r="A49" s="442"/>
      <c r="B49" s="443"/>
      <c r="C49" s="1094">
        <v>100</v>
      </c>
      <c r="D49" s="445"/>
      <c r="E49" s="445"/>
      <c r="F49" s="445"/>
      <c r="G49" s="445"/>
      <c r="H49" s="445"/>
      <c r="I49" s="445"/>
      <c r="J49" s="445"/>
      <c r="K49" s="445"/>
      <c r="L49" s="445"/>
      <c r="M49" s="446"/>
      <c r="N49" s="445"/>
      <c r="O49" s="446"/>
      <c r="P49" s="2526"/>
      <c r="Q49" s="2437"/>
      <c r="R49" s="2437"/>
      <c r="S49" s="2437"/>
      <c r="T49" s="2437"/>
      <c r="U49" s="2437"/>
      <c r="V49" s="2437"/>
      <c r="W49" s="2437"/>
      <c r="X49" s="2437"/>
      <c r="Y49" s="2437"/>
      <c r="Z49" s="2437"/>
      <c r="AA49" s="2437"/>
      <c r="AB49" s="2437"/>
      <c r="AC49" s="2437"/>
    </row>
    <row r="50" spans="1:29" s="102" customFormat="1" ht="15.75" thickBot="1">
      <c r="A50" s="448" t="s">
        <v>1716</v>
      </c>
      <c r="B50" s="449"/>
      <c r="C50" s="450"/>
      <c r="D50" s="451"/>
      <c r="E50" s="451"/>
      <c r="F50" s="451"/>
      <c r="G50" s="451"/>
      <c r="H50" s="451"/>
      <c r="I50" s="451"/>
      <c r="J50" s="451"/>
      <c r="K50" s="451"/>
      <c r="L50" s="451"/>
      <c r="M50" s="452"/>
      <c r="N50" s="451"/>
      <c r="O50" s="452"/>
      <c r="P50" s="2526"/>
      <c r="Q50" s="2506"/>
      <c r="R50" s="2437"/>
      <c r="S50" s="2437"/>
      <c r="T50" s="2437"/>
      <c r="U50" s="2437"/>
      <c r="V50" s="2437"/>
      <c r="W50" s="2437"/>
      <c r="X50" s="2437"/>
      <c r="Y50" s="2437"/>
      <c r="Z50" s="2437"/>
      <c r="AA50" s="2437"/>
      <c r="AB50" s="2437"/>
      <c r="AC50" s="2437"/>
    </row>
    <row r="51" spans="1:29" s="102" customFormat="1" ht="15">
      <c r="A51" s="454" t="s">
        <v>1681</v>
      </c>
      <c r="B51" s="443"/>
      <c r="C51" s="455" t="s">
        <v>1776</v>
      </c>
      <c r="D51" s="31"/>
      <c r="E51" s="31"/>
      <c r="F51" s="31"/>
      <c r="G51" s="31"/>
      <c r="H51" s="31"/>
      <c r="I51" s="31"/>
      <c r="J51" s="31"/>
      <c r="K51" s="31"/>
      <c r="L51" s="456"/>
      <c r="M51" s="457"/>
      <c r="N51" s="2518"/>
      <c r="O51" s="2518"/>
      <c r="P51" s="2527"/>
      <c r="Q51" s="2506"/>
      <c r="R51" s="2437"/>
      <c r="S51" s="2437"/>
      <c r="T51" s="2437"/>
      <c r="U51" s="2437"/>
      <c r="V51" s="2437"/>
      <c r="W51" s="2437"/>
      <c r="X51" s="2437"/>
      <c r="Y51" s="2437"/>
      <c r="Z51" s="2437"/>
      <c r="AA51" s="2437"/>
      <c r="AB51" s="2437"/>
      <c r="AC51" s="2437"/>
    </row>
    <row r="52" spans="1:29" s="102" customFormat="1" ht="15.75" thickBot="1">
      <c r="A52" s="454"/>
      <c r="B52" s="443"/>
      <c r="C52" s="562">
        <v>100</v>
      </c>
      <c r="D52" s="445"/>
      <c r="E52" s="445"/>
      <c r="F52" s="445"/>
      <c r="G52" s="445"/>
      <c r="H52" s="445"/>
      <c r="I52" s="445"/>
      <c r="J52" s="445"/>
      <c r="K52" s="445"/>
      <c r="L52" s="445"/>
      <c r="M52" s="447"/>
      <c r="N52" s="2518"/>
      <c r="O52" s="2518"/>
      <c r="P52" s="2526"/>
      <c r="Q52" s="2506"/>
      <c r="R52" s="2437"/>
      <c r="S52" s="2437"/>
      <c r="T52" s="2437"/>
      <c r="U52" s="2437"/>
      <c r="V52" s="2437"/>
      <c r="W52" s="2437"/>
      <c r="X52" s="2437"/>
      <c r="Y52" s="2437"/>
      <c r="Z52" s="2437"/>
      <c r="AA52" s="2437"/>
      <c r="AB52" s="2437"/>
      <c r="AC52" s="2437"/>
    </row>
    <row r="53" spans="1:29">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5.75"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7.75"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5.75"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5.75"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5.75"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5.75"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5.75"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5.75"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5.75"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7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75" thickTop="1">
      <c r="A67" s="366"/>
      <c r="B67" s="476" t="s">
        <v>1813</v>
      </c>
      <c r="C67" s="580" t="s">
        <v>1799</v>
      </c>
      <c r="D67" s="580" t="s">
        <v>1800</v>
      </c>
      <c r="E67" s="580" t="s">
        <v>1801</v>
      </c>
      <c r="F67" s="580" t="s">
        <v>1802</v>
      </c>
      <c r="G67" s="580" t="s">
        <v>1803</v>
      </c>
      <c r="H67" s="469"/>
      <c r="I67" s="469"/>
      <c r="J67" s="469"/>
      <c r="K67" s="469"/>
      <c r="L67" s="469"/>
      <c r="M67" s="1061"/>
      <c r="N67" s="2520"/>
      <c r="O67" s="2520"/>
      <c r="P67" s="2528"/>
      <c r="Q67" s="2506"/>
      <c r="R67" s="2485"/>
      <c r="S67" s="2485"/>
      <c r="T67" s="2485"/>
      <c r="U67" s="2485"/>
      <c r="V67" s="2485"/>
      <c r="W67" s="2485"/>
      <c r="X67" s="2485"/>
      <c r="Y67" s="2485"/>
      <c r="Z67" s="2485"/>
      <c r="AA67" s="2485"/>
      <c r="AB67" s="2485"/>
      <c r="AC67" s="2485"/>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7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7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2" customFormat="1" ht="15.75" thickTop="1">
      <c r="A73" s="369"/>
      <c r="B73" s="468">
        <f>B23</f>
        <v>111</v>
      </c>
      <c r="C73" s="479"/>
      <c r="D73" s="479"/>
      <c r="E73" s="479"/>
      <c r="F73" s="479"/>
      <c r="G73" s="484"/>
      <c r="H73" s="484"/>
      <c r="I73" s="484"/>
      <c r="J73" s="484"/>
      <c r="K73" s="484"/>
      <c r="L73" s="509"/>
      <c r="M73" s="510"/>
      <c r="N73" s="2518"/>
      <c r="O73" s="2518"/>
      <c r="P73" s="2528"/>
      <c r="Q73" s="2506"/>
      <c r="R73" s="2437"/>
      <c r="S73" s="2437"/>
      <c r="T73" s="2437"/>
      <c r="U73" s="2437"/>
      <c r="V73" s="2437"/>
      <c r="W73" s="2437"/>
      <c r="X73" s="2437"/>
      <c r="Y73" s="2437"/>
      <c r="Z73" s="2437"/>
      <c r="AA73" s="2437"/>
      <c r="AB73" s="2437"/>
      <c r="AC73" s="2437"/>
    </row>
    <row r="74" spans="1:29" s="102" customFormat="1" ht="15.75" thickBot="1">
      <c r="A74" s="369"/>
      <c r="B74" s="473"/>
      <c r="C74" s="490"/>
      <c r="D74" s="466"/>
      <c r="E74" s="466"/>
      <c r="F74" s="466"/>
      <c r="G74" s="466"/>
      <c r="H74" s="466"/>
      <c r="I74" s="466"/>
      <c r="J74" s="466"/>
      <c r="K74" s="466"/>
      <c r="L74" s="466"/>
      <c r="M74" s="467"/>
      <c r="N74" s="2520"/>
      <c r="O74" s="2520"/>
      <c r="P74" s="2528"/>
      <c r="Q74" s="2506"/>
      <c r="R74" s="2437"/>
      <c r="S74" s="2437"/>
      <c r="T74" s="2437"/>
      <c r="U74" s="2437"/>
      <c r="V74" s="2437"/>
      <c r="W74" s="2437"/>
      <c r="X74" s="2437"/>
      <c r="Y74" s="2437"/>
      <c r="Z74" s="2437"/>
      <c r="AA74" s="2437"/>
      <c r="AB74" s="2437"/>
      <c r="AC74" s="2437"/>
    </row>
    <row r="75" spans="1:29" s="102" customFormat="1" ht="15.75" thickTop="1">
      <c r="A75" s="369"/>
      <c r="B75" s="468">
        <f>B24</f>
        <v>111</v>
      </c>
      <c r="C75" s="479"/>
      <c r="D75" s="479"/>
      <c r="E75" s="479"/>
      <c r="F75" s="479"/>
      <c r="G75" s="484"/>
      <c r="H75" s="484"/>
      <c r="I75" s="484"/>
      <c r="J75" s="484"/>
      <c r="K75" s="484"/>
      <c r="L75" s="484"/>
      <c r="M75" s="510"/>
      <c r="N75" s="2518"/>
      <c r="O75" s="2518"/>
      <c r="P75" s="2528"/>
      <c r="Q75" s="2506"/>
      <c r="R75" s="2437"/>
      <c r="S75" s="2437"/>
      <c r="T75" s="2437"/>
      <c r="U75" s="2437"/>
      <c r="V75" s="2437"/>
      <c r="W75" s="2437"/>
      <c r="X75" s="2437"/>
      <c r="Y75" s="2437"/>
      <c r="Z75" s="2437"/>
      <c r="AA75" s="2437"/>
      <c r="AB75" s="2437"/>
      <c r="AC75" s="2437"/>
    </row>
    <row r="76" spans="1:29" s="102" customFormat="1" ht="15.75" thickBot="1">
      <c r="A76" s="369"/>
      <c r="B76" s="473"/>
      <c r="C76" s="490"/>
      <c r="D76" s="466"/>
      <c r="E76" s="466"/>
      <c r="F76" s="466"/>
      <c r="G76" s="466"/>
      <c r="H76" s="466"/>
      <c r="I76" s="466"/>
      <c r="J76" s="466"/>
      <c r="K76" s="466"/>
      <c r="L76" s="466"/>
      <c r="M76" s="467"/>
      <c r="N76" s="2520"/>
      <c r="O76" s="2520"/>
      <c r="P76" s="2528"/>
      <c r="Q76" s="2506"/>
      <c r="R76" s="2437"/>
      <c r="S76" s="2437"/>
      <c r="T76" s="2437"/>
      <c r="U76" s="2437"/>
      <c r="V76" s="2437"/>
      <c r="W76" s="2437"/>
      <c r="X76" s="2437"/>
      <c r="Y76" s="2437"/>
      <c r="Z76" s="2437"/>
      <c r="AA76" s="2437"/>
      <c r="AB76" s="2437"/>
      <c r="AC76" s="2437"/>
    </row>
    <row r="77" spans="1:29" s="407" customFormat="1" ht="15.75"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5.75"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7.75"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5.75"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5"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5.75"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5"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5.75"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5"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3336</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501"/>
      <c r="M2" s="2502"/>
      <c r="N2" s="2502"/>
      <c r="O2" s="2502"/>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501"/>
      <c r="M3" s="2502"/>
      <c r="N3" s="2502"/>
      <c r="O3" s="2502"/>
      <c r="P3" s="340"/>
      <c r="Q3" s="340"/>
      <c r="R3" s="340"/>
      <c r="S3" s="340"/>
      <c r="T3" s="340"/>
      <c r="U3" s="340"/>
      <c r="V3" s="340"/>
      <c r="W3" s="340"/>
      <c r="X3" s="340"/>
      <c r="Y3" s="340"/>
      <c r="Z3" s="340"/>
      <c r="AA3" s="340"/>
      <c r="AB3" s="674"/>
      <c r="AC3" s="661"/>
    </row>
    <row r="4" spans="1:29" ht="15">
      <c r="A4" s="344" t="s">
        <v>1769</v>
      </c>
      <c r="B4" s="345"/>
      <c r="C4" s="3439" t="s">
        <v>1770</v>
      </c>
      <c r="D4" s="3440"/>
      <c r="E4" s="3441" t="s">
        <v>1771</v>
      </c>
      <c r="F4" s="3442"/>
      <c r="G4" s="3439" t="s">
        <v>1772</v>
      </c>
      <c r="H4" s="3440"/>
      <c r="I4" s="3439" t="s">
        <v>1773</v>
      </c>
      <c r="J4" s="3440"/>
      <c r="K4" s="536" t="s">
        <v>1774</v>
      </c>
      <c r="L4" s="2484"/>
      <c r="M4" s="2485"/>
      <c r="N4" s="2485"/>
      <c r="O4" s="2485"/>
      <c r="P4" s="3443" t="s">
        <v>1775</v>
      </c>
      <c r="Q4" s="3444"/>
      <c r="R4" s="3449" t="s">
        <v>1771</v>
      </c>
      <c r="S4" s="3450"/>
      <c r="T4" s="3449" t="s">
        <v>1772</v>
      </c>
      <c r="U4" s="3450"/>
      <c r="V4" s="3425" t="s">
        <v>1773</v>
      </c>
      <c r="W4" s="3425"/>
      <c r="X4" s="1262"/>
      <c r="Y4" s="3449" t="s">
        <v>1775</v>
      </c>
      <c r="Z4" s="3450"/>
      <c r="AA4" s="3436" t="s">
        <v>1771</v>
      </c>
      <c r="AB4" s="3437" t="s">
        <v>1772</v>
      </c>
      <c r="AC4" s="3436" t="s">
        <v>1773</v>
      </c>
    </row>
    <row r="5" spans="1:29" ht="15">
      <c r="A5" s="347"/>
      <c r="B5" s="348"/>
      <c r="C5" s="3457" t="s">
        <v>1673</v>
      </c>
      <c r="D5" s="3458"/>
      <c r="E5" s="3464" t="s">
        <v>1674</v>
      </c>
      <c r="F5" s="3465"/>
      <c r="G5" s="3457" t="s">
        <v>1675</v>
      </c>
      <c r="H5" s="3458"/>
      <c r="I5" s="3457" t="s">
        <v>1676</v>
      </c>
      <c r="J5" s="3458"/>
      <c r="K5" s="536"/>
      <c r="L5" s="2484"/>
      <c r="M5" s="2485"/>
      <c r="N5" s="2485"/>
      <c r="O5" s="2485"/>
      <c r="P5" s="3445"/>
      <c r="Q5" s="3446"/>
      <c r="R5" s="3451"/>
      <c r="S5" s="3452"/>
      <c r="T5" s="3451"/>
      <c r="U5" s="3452"/>
      <c r="V5" s="3425"/>
      <c r="W5" s="3425"/>
      <c r="X5" s="1262"/>
      <c r="Y5" s="3451"/>
      <c r="Z5" s="3452"/>
      <c r="AA5" s="3437"/>
      <c r="AB5" s="3437"/>
      <c r="AC5" s="3437"/>
    </row>
    <row r="6" spans="1:29" ht="15.75" thickBot="1">
      <c r="A6" s="349"/>
      <c r="B6" s="350"/>
      <c r="C6" s="3455" t="s">
        <v>1677</v>
      </c>
      <c r="D6" s="3456"/>
      <c r="E6" s="3462" t="s">
        <v>1677</v>
      </c>
      <c r="F6" s="3463"/>
      <c r="G6" s="3455" t="s">
        <v>1677</v>
      </c>
      <c r="H6" s="3456"/>
      <c r="I6" s="3455" t="s">
        <v>1677</v>
      </c>
      <c r="J6" s="3456"/>
      <c r="K6" s="536" t="s">
        <v>1678</v>
      </c>
      <c r="L6" s="2484"/>
      <c r="M6" s="2485"/>
      <c r="N6" s="2485"/>
      <c r="O6" s="2485"/>
      <c r="P6" s="3447"/>
      <c r="Q6" s="3448"/>
      <c r="R6" s="3451"/>
      <c r="S6" s="3452"/>
      <c r="T6" s="3453"/>
      <c r="U6" s="3454"/>
      <c r="V6" s="3425"/>
      <c r="W6" s="3425"/>
      <c r="X6" s="1262"/>
      <c r="Y6" s="3453"/>
      <c r="Z6" s="3454"/>
      <c r="AA6" s="3438"/>
      <c r="AB6" s="3438"/>
      <c r="AC6" s="3438"/>
    </row>
    <row r="7" spans="1:29" s="102" customFormat="1" ht="15.75" thickBot="1">
      <c r="A7" s="351" t="s">
        <v>1679</v>
      </c>
      <c r="B7" s="352"/>
      <c r="C7" s="353">
        <f>'数据-取费表'!B2</f>
        <v>45607</v>
      </c>
      <c r="D7" s="354">
        <v>100</v>
      </c>
      <c r="E7" s="355"/>
      <c r="F7" s="356">
        <f>SUMIF(46:46,YEAR(E7)&amp;"-"&amp;MONTH(E7),47:47)</f>
        <v>0</v>
      </c>
      <c r="G7" s="1819"/>
      <c r="H7" s="354">
        <f>SUMIF(46:46,YEAR(G7)&amp;"-"&amp;MONTH(G7),47:47)</f>
        <v>0</v>
      </c>
      <c r="I7" s="355"/>
      <c r="J7" s="354">
        <f>SUMIF(46:46,YEAR(I7)&amp;"-"&amp;MONTH(I7),47:47)</f>
        <v>0</v>
      </c>
      <c r="K7" s="38"/>
      <c r="L7" s="2486"/>
      <c r="M7" s="2437"/>
      <c r="N7" s="2437"/>
      <c r="O7" s="2437"/>
      <c r="P7" s="3459" t="s">
        <v>1680</v>
      </c>
      <c r="Q7" s="3461"/>
      <c r="R7" s="662" t="s">
        <v>14</v>
      </c>
      <c r="S7" s="663">
        <f t="shared" ref="S7:S14" si="0">F7</f>
        <v>0</v>
      </c>
      <c r="T7" s="662" t="s">
        <v>14</v>
      </c>
      <c r="U7" s="663">
        <f t="shared" ref="U7:U14" si="1">H7</f>
        <v>0</v>
      </c>
      <c r="V7" s="662" t="s">
        <v>14</v>
      </c>
      <c r="W7" s="663">
        <f t="shared" ref="W7:W14" si="2">J7</f>
        <v>0</v>
      </c>
      <c r="X7" s="664"/>
      <c r="Y7" s="3459" t="s">
        <v>1680</v>
      </c>
      <c r="Z7" s="3460"/>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6"/>
      <c r="M8" s="2437"/>
      <c r="N8" s="2437"/>
      <c r="O8" s="2437"/>
      <c r="P8" s="3459" t="s">
        <v>1683</v>
      </c>
      <c r="Q8" s="3460"/>
      <c r="R8" s="662" t="s">
        <v>14</v>
      </c>
      <c r="S8" s="663">
        <f t="shared" si="0"/>
        <v>100</v>
      </c>
      <c r="T8" s="662" t="s">
        <v>14</v>
      </c>
      <c r="U8" s="663">
        <f t="shared" si="1"/>
        <v>100</v>
      </c>
      <c r="V8" s="662" t="s">
        <v>14</v>
      </c>
      <c r="W8" s="663">
        <f t="shared" si="2"/>
        <v>100</v>
      </c>
      <c r="X8" s="664"/>
      <c r="Y8" s="3459" t="s">
        <v>1683</v>
      </c>
      <c r="Z8" s="3460"/>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6"/>
      <c r="M9" s="2437"/>
      <c r="N9" s="2437"/>
      <c r="O9" s="2538"/>
      <c r="P9" s="3424" t="s">
        <v>1686</v>
      </c>
      <c r="Q9" s="529" t="str">
        <f t="shared" ref="Q9:Q14" si="6">B9</f>
        <v>用途</v>
      </c>
      <c r="R9" s="662" t="s">
        <v>14</v>
      </c>
      <c r="S9" s="663">
        <f t="shared" si="0"/>
        <v>100</v>
      </c>
      <c r="T9" s="662" t="s">
        <v>14</v>
      </c>
      <c r="U9" s="663">
        <f t="shared" si="1"/>
        <v>100</v>
      </c>
      <c r="V9" s="662" t="s">
        <v>14</v>
      </c>
      <c r="W9" s="663">
        <f t="shared" si="2"/>
        <v>100</v>
      </c>
      <c r="X9" s="664"/>
      <c r="Y9" s="3298" t="s">
        <v>1687</v>
      </c>
      <c r="Z9" s="50" t="str">
        <f t="shared" ref="Z9:Z14" si="7">Q9</f>
        <v>用途</v>
      </c>
      <c r="AA9" s="50">
        <f t="shared" si="3"/>
        <v>1</v>
      </c>
      <c r="AB9" s="50">
        <f t="shared" si="4"/>
        <v>1</v>
      </c>
      <c r="AC9" s="50">
        <f t="shared" si="5"/>
        <v>1</v>
      </c>
    </row>
    <row r="10" spans="1:29" s="365" customFormat="1" ht="27">
      <c r="A10" s="362"/>
      <c r="B10" s="363" t="s">
        <v>1688</v>
      </c>
      <c r="C10" s="3130"/>
      <c r="D10" s="119">
        <v>100</v>
      </c>
      <c r="E10" s="3130"/>
      <c r="F10" s="363">
        <f>SUMIF(53:53,E10,54:54)-SUMIF(53:53,C10,54:54)+100</f>
        <v>100</v>
      </c>
      <c r="G10" s="3130"/>
      <c r="H10" s="119">
        <f>SUMIF(53:53,G10,54:54)-SUMIF(53:53,C10,54:54)+100</f>
        <v>100</v>
      </c>
      <c r="I10" s="3130"/>
      <c r="J10" s="119">
        <f>SUMIF(53:53,I10,54:54)-SUMIF(53:53,C10,54:54)+100</f>
        <v>100</v>
      </c>
      <c r="K10" s="38"/>
      <c r="L10" s="2487"/>
      <c r="M10" s="2488"/>
      <c r="N10" s="2488"/>
      <c r="O10" s="2539"/>
      <c r="P10" s="3424"/>
      <c r="Q10" s="529" t="str">
        <f t="shared" si="6"/>
        <v>土地使用年限（年）</v>
      </c>
      <c r="R10" s="662" t="s">
        <v>14</v>
      </c>
      <c r="S10" s="663">
        <f t="shared" si="0"/>
        <v>100</v>
      </c>
      <c r="T10" s="662" t="s">
        <v>14</v>
      </c>
      <c r="U10" s="663">
        <f t="shared" si="1"/>
        <v>100</v>
      </c>
      <c r="V10" s="662" t="s">
        <v>14</v>
      </c>
      <c r="W10" s="663">
        <f t="shared" si="2"/>
        <v>100</v>
      </c>
      <c r="X10" s="664"/>
      <c r="Y10" s="3298"/>
      <c r="Z10" s="50" t="str">
        <f t="shared" si="7"/>
        <v>土地使用年限（年）</v>
      </c>
      <c r="AA10" s="50">
        <f t="shared" si="3"/>
        <v>1</v>
      </c>
      <c r="AB10" s="50">
        <f t="shared" si="4"/>
        <v>1</v>
      </c>
      <c r="AC10" s="50">
        <f t="shared" si="5"/>
        <v>1</v>
      </c>
    </row>
    <row r="11" spans="1:29" ht="15">
      <c r="A11" s="366"/>
      <c r="B11" s="446">
        <v>111</v>
      </c>
      <c r="C11" s="370"/>
      <c r="D11" s="119">
        <v>100</v>
      </c>
      <c r="E11" s="406"/>
      <c r="F11" s="363">
        <f>SUMIF(55:55,E11,56:56)-SUMIF(55:55,C11,56:56)+100</f>
        <v>100</v>
      </c>
      <c r="G11" s="406"/>
      <c r="H11" s="119">
        <f>SUMIF(55:55,G11,56:56)-SUMIF(55:55,C11,56:56)+100</f>
        <v>100</v>
      </c>
      <c r="I11" s="406"/>
      <c r="J11" s="119">
        <f>SUMIF(55:55,I11,56:56)-SUMIF(55:55,C11,56:56)+100</f>
        <v>100</v>
      </c>
      <c r="K11" s="538"/>
      <c r="L11" s="2489"/>
      <c r="M11" s="2485"/>
      <c r="N11" s="2485"/>
      <c r="O11" s="2540"/>
      <c r="P11" s="3424"/>
      <c r="Q11" s="529">
        <f t="shared" si="6"/>
        <v>111</v>
      </c>
      <c r="R11" s="662" t="s">
        <v>14</v>
      </c>
      <c r="S11" s="663">
        <f t="shared" si="0"/>
        <v>100</v>
      </c>
      <c r="T11" s="662" t="s">
        <v>14</v>
      </c>
      <c r="U11" s="663">
        <f t="shared" si="1"/>
        <v>100</v>
      </c>
      <c r="V11" s="662" t="s">
        <v>14</v>
      </c>
      <c r="W11" s="663">
        <f t="shared" si="2"/>
        <v>100</v>
      </c>
      <c r="X11" s="664"/>
      <c r="Y11" s="3298"/>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9">
        <f>SUMIF(57:57,G12,58:58)-SUMIF(57:57,C12,58:58)+100</f>
        <v>100</v>
      </c>
      <c r="I12" s="406"/>
      <c r="J12" s="119">
        <f>SUMIF(57:57,I12,58:58)-SUMIF(57:57,C12,58:58)+100</f>
        <v>100</v>
      </c>
      <c r="K12" s="538"/>
      <c r="L12" s="2486"/>
      <c r="M12" s="2437"/>
      <c r="N12" s="2437"/>
      <c r="O12" s="2538"/>
      <c r="P12" s="3424"/>
      <c r="Q12" s="529">
        <f t="shared" si="6"/>
        <v>111</v>
      </c>
      <c r="R12" s="662" t="s">
        <v>14</v>
      </c>
      <c r="S12" s="663">
        <f t="shared" si="0"/>
        <v>100</v>
      </c>
      <c r="T12" s="662" t="s">
        <v>14</v>
      </c>
      <c r="U12" s="663">
        <f t="shared" si="1"/>
        <v>100</v>
      </c>
      <c r="V12" s="662" t="s">
        <v>14</v>
      </c>
      <c r="W12" s="663">
        <f t="shared" si="2"/>
        <v>100</v>
      </c>
      <c r="X12" s="664"/>
      <c r="Y12" s="3298"/>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90"/>
      <c r="M13" s="2485"/>
      <c r="N13" s="2485"/>
      <c r="O13" s="2540"/>
      <c r="P13" s="3424"/>
      <c r="Q13" s="529">
        <f t="shared" si="6"/>
        <v>111</v>
      </c>
      <c r="R13" s="662" t="s">
        <v>14</v>
      </c>
      <c r="S13" s="663">
        <f t="shared" si="0"/>
        <v>100</v>
      </c>
      <c r="T13" s="662" t="s">
        <v>14</v>
      </c>
      <c r="U13" s="663">
        <f t="shared" si="1"/>
        <v>100</v>
      </c>
      <c r="V13" s="662" t="s">
        <v>14</v>
      </c>
      <c r="W13" s="663">
        <f t="shared" si="2"/>
        <v>100</v>
      </c>
      <c r="X13" s="664"/>
      <c r="Y13" s="3298"/>
      <c r="Z13" s="50">
        <f t="shared" si="7"/>
        <v>111</v>
      </c>
      <c r="AA13" s="50">
        <f t="shared" si="3"/>
        <v>1</v>
      </c>
      <c r="AB13" s="50">
        <f t="shared" si="4"/>
        <v>1</v>
      </c>
      <c r="AC13" s="50">
        <f t="shared" si="5"/>
        <v>1</v>
      </c>
    </row>
    <row r="14" spans="1:29" ht="85.5">
      <c r="A14" s="378" t="s">
        <v>1690</v>
      </c>
      <c r="B14" s="58" t="s">
        <v>1833</v>
      </c>
      <c r="C14" s="1816"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426" t="s">
        <v>1691</v>
      </c>
      <c r="Q14" s="1260" t="str">
        <f t="shared" si="6"/>
        <v>交通便捷度</v>
      </c>
      <c r="R14" s="665" t="s">
        <v>14</v>
      </c>
      <c r="S14" s="666">
        <f t="shared" si="0"/>
        <v>100</v>
      </c>
      <c r="T14" s="665" t="s">
        <v>14</v>
      </c>
      <c r="U14" s="666">
        <f t="shared" si="1"/>
        <v>100</v>
      </c>
      <c r="V14" s="665" t="s">
        <v>14</v>
      </c>
      <c r="W14" s="666">
        <f t="shared" si="2"/>
        <v>100</v>
      </c>
      <c r="X14" s="1262"/>
      <c r="Y14" s="3426"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90"/>
      <c r="M15" s="2485"/>
      <c r="N15" s="2485"/>
      <c r="O15" s="2540"/>
      <c r="P15" s="3427"/>
      <c r="Q15" s="1260"/>
      <c r="R15" s="665"/>
      <c r="S15" s="666"/>
      <c r="T15" s="665"/>
      <c r="U15" s="666"/>
      <c r="V15" s="665"/>
      <c r="W15" s="666"/>
      <c r="X15" s="1262"/>
      <c r="Y15" s="3427"/>
      <c r="Z15" s="1261"/>
      <c r="AA15" s="1261">
        <v>1</v>
      </c>
      <c r="AB15" s="1261">
        <v>1</v>
      </c>
      <c r="AC15" s="1261">
        <v>1</v>
      </c>
    </row>
    <row r="16" spans="1:29" ht="42.75">
      <c r="A16" s="366"/>
      <c r="B16" s="389" t="s">
        <v>1812</v>
      </c>
      <c r="C16" s="1751"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427"/>
      <c r="Q16" s="1260" t="str">
        <f>B16</f>
        <v>公共配套设施</v>
      </c>
      <c r="R16" s="665" t="s">
        <v>14</v>
      </c>
      <c r="S16" s="666">
        <f>F16</f>
        <v>100</v>
      </c>
      <c r="T16" s="665" t="s">
        <v>14</v>
      </c>
      <c r="U16" s="666">
        <f>H16</f>
        <v>100</v>
      </c>
      <c r="V16" s="665" t="s">
        <v>14</v>
      </c>
      <c r="W16" s="666">
        <f>J16</f>
        <v>100</v>
      </c>
      <c r="X16" s="1262"/>
      <c r="Y16" s="3427"/>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90"/>
      <c r="M17" s="2485"/>
      <c r="N17" s="2485"/>
      <c r="O17" s="2540"/>
      <c r="P17" s="3427"/>
      <c r="Q17" s="1260"/>
      <c r="R17" s="665"/>
      <c r="S17" s="666"/>
      <c r="T17" s="665"/>
      <c r="U17" s="666"/>
      <c r="V17" s="665"/>
      <c r="W17" s="666"/>
      <c r="X17" s="1262"/>
      <c r="Y17" s="3427"/>
      <c r="Z17" s="1261"/>
      <c r="AA17" s="1261">
        <v>1</v>
      </c>
      <c r="AB17" s="1261">
        <v>1</v>
      </c>
      <c r="AC17" s="1261">
        <v>1</v>
      </c>
    </row>
    <row r="18" spans="1:29" ht="28.5">
      <c r="A18" s="366"/>
      <c r="B18" s="585" t="s">
        <v>1813</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427"/>
      <c r="Q18" s="1260" t="str">
        <f>B18</f>
        <v>基础设施水平</v>
      </c>
      <c r="R18" s="665" t="s">
        <v>14</v>
      </c>
      <c r="S18" s="666">
        <f>F18</f>
        <v>100</v>
      </c>
      <c r="T18" s="665" t="s">
        <v>14</v>
      </c>
      <c r="U18" s="666">
        <f>H18</f>
        <v>100</v>
      </c>
      <c r="V18" s="665" t="s">
        <v>14</v>
      </c>
      <c r="W18" s="666">
        <f>J18</f>
        <v>100</v>
      </c>
      <c r="X18" s="1262"/>
      <c r="Y18" s="3427"/>
      <c r="Z18" s="1261" t="str">
        <f>Q18</f>
        <v>基础设施水平</v>
      </c>
      <c r="AA18" s="1261">
        <f t="shared" ref="AA18" si="8">D18/F18</f>
        <v>1</v>
      </c>
      <c r="AB18" s="1261">
        <f t="shared" ref="AB18" si="9">D18/H18</f>
        <v>1</v>
      </c>
      <c r="AC18" s="1261">
        <f t="shared" ref="AC18" si="10">D18/J18</f>
        <v>1</v>
      </c>
    </row>
    <row r="19" spans="1:29" ht="15">
      <c r="A19" s="366"/>
      <c r="B19" s="585"/>
      <c r="C19" s="1752"/>
      <c r="D19" s="388"/>
      <c r="E19" s="1752"/>
      <c r="F19" s="391"/>
      <c r="G19" s="1752"/>
      <c r="H19" s="386"/>
      <c r="I19" s="385"/>
      <c r="J19" s="386"/>
      <c r="K19" s="1062"/>
      <c r="L19" s="2490"/>
      <c r="M19" s="2485"/>
      <c r="N19" s="2485"/>
      <c r="O19" s="2540"/>
      <c r="P19" s="3427"/>
      <c r="Q19" s="1260"/>
      <c r="R19" s="665"/>
      <c r="S19" s="666"/>
      <c r="T19" s="665"/>
      <c r="U19" s="666"/>
      <c r="V19" s="665"/>
      <c r="W19" s="666"/>
      <c r="X19" s="1262"/>
      <c r="Y19" s="3427"/>
      <c r="Z19" s="1261"/>
      <c r="AA19" s="1261">
        <v>1</v>
      </c>
      <c r="AB19" s="1261">
        <v>1</v>
      </c>
      <c r="AC19" s="1261">
        <v>1</v>
      </c>
    </row>
    <row r="20" spans="1:29" ht="57">
      <c r="A20" s="366"/>
      <c r="B20" s="389" t="s">
        <v>1834</v>
      </c>
      <c r="C20" s="1751"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427"/>
      <c r="Q20" s="1260" t="str">
        <f>B20</f>
        <v>自然及人文环境</v>
      </c>
      <c r="R20" s="665" t="s">
        <v>14</v>
      </c>
      <c r="S20" s="666">
        <f>F20</f>
        <v>100</v>
      </c>
      <c r="T20" s="665" t="s">
        <v>14</v>
      </c>
      <c r="U20" s="666">
        <f>H20</f>
        <v>100</v>
      </c>
      <c r="V20" s="665" t="s">
        <v>14</v>
      </c>
      <c r="W20" s="666">
        <f>J20</f>
        <v>100</v>
      </c>
      <c r="X20" s="1262"/>
      <c r="Y20" s="3427"/>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90"/>
      <c r="M21" s="2485"/>
      <c r="N21" s="2485"/>
      <c r="O21" s="2540"/>
      <c r="P21" s="3427"/>
      <c r="Q21" s="1260"/>
      <c r="R21" s="665"/>
      <c r="S21" s="666"/>
      <c r="T21" s="665"/>
      <c r="U21" s="666"/>
      <c r="V21" s="665"/>
      <c r="W21" s="666"/>
      <c r="X21" s="1262"/>
      <c r="Y21" s="3427"/>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427"/>
      <c r="Q22" s="1260" t="str">
        <f>B22</f>
        <v>楼层</v>
      </c>
      <c r="R22" s="665" t="s">
        <v>14</v>
      </c>
      <c r="S22" s="666">
        <f>F22</f>
        <v>100</v>
      </c>
      <c r="T22" s="665" t="s">
        <v>14</v>
      </c>
      <c r="U22" s="666">
        <f>H22</f>
        <v>100</v>
      </c>
      <c r="V22" s="665" t="s">
        <v>14</v>
      </c>
      <c r="W22" s="666">
        <f>J22</f>
        <v>100</v>
      </c>
      <c r="X22" s="1262"/>
      <c r="Y22" s="3427"/>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427"/>
      <c r="Q23" s="1260">
        <f>B23</f>
        <v>111</v>
      </c>
      <c r="R23" s="665" t="s">
        <v>14</v>
      </c>
      <c r="S23" s="666">
        <f>F23</f>
        <v>100</v>
      </c>
      <c r="T23" s="665" t="s">
        <v>14</v>
      </c>
      <c r="U23" s="666">
        <f>H23</f>
        <v>100</v>
      </c>
      <c r="V23" s="665" t="s">
        <v>14</v>
      </c>
      <c r="W23" s="666">
        <f>J23</f>
        <v>100</v>
      </c>
      <c r="X23" s="1262"/>
      <c r="Y23" s="3427"/>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427"/>
      <c r="Q24" s="1260">
        <f t="shared" ref="Q24:Q34" si="11">B24</f>
        <v>111</v>
      </c>
      <c r="R24" s="665" t="s">
        <v>14</v>
      </c>
      <c r="S24" s="666">
        <f>F24</f>
        <v>100</v>
      </c>
      <c r="T24" s="665" t="s">
        <v>14</v>
      </c>
      <c r="U24" s="666">
        <f>H24</f>
        <v>100</v>
      </c>
      <c r="V24" s="665" t="s">
        <v>14</v>
      </c>
      <c r="W24" s="666">
        <f>J24</f>
        <v>100</v>
      </c>
      <c r="X24" s="1262"/>
      <c r="Y24" s="3427"/>
      <c r="Z24" s="1261">
        <f>Q24</f>
        <v>111</v>
      </c>
      <c r="AA24" s="1261">
        <f t="shared" si="3"/>
        <v>1</v>
      </c>
      <c r="AB24" s="1261">
        <f t="shared" si="4"/>
        <v>1</v>
      </c>
      <c r="AC24" s="1261">
        <f t="shared" si="5"/>
        <v>1</v>
      </c>
    </row>
    <row r="25" spans="1:29" s="102" customFormat="1" ht="15.75" thickBot="1">
      <c r="A25" s="369"/>
      <c r="B25" s="446">
        <v>111</v>
      </c>
      <c r="C25" s="1821"/>
      <c r="D25" s="556">
        <v>100</v>
      </c>
      <c r="E25" s="1821"/>
      <c r="F25" s="585">
        <f>SUMIF(75:75,E25,76:76)-SUMIF(75:75,C25,76:76)+100</f>
        <v>100</v>
      </c>
      <c r="G25" s="1821"/>
      <c r="H25" s="556">
        <f>SUMIF(75:75,G25,76:76)-SUMIF(75:75,C25,76:76)+100</f>
        <v>100</v>
      </c>
      <c r="I25" s="1821"/>
      <c r="J25" s="556">
        <f>SUMIF(75:75,I25,76:76)-SUMIF(75:75,C25,76:76)+100</f>
        <v>100</v>
      </c>
      <c r="K25" s="538"/>
      <c r="L25" s="2486"/>
      <c r="M25" s="2437"/>
      <c r="N25" s="2437"/>
      <c r="O25" s="2538"/>
      <c r="P25" s="3427"/>
      <c r="Q25" s="529">
        <f t="shared" si="11"/>
        <v>111</v>
      </c>
      <c r="R25" s="662" t="s">
        <v>14</v>
      </c>
      <c r="S25" s="663">
        <f>F25</f>
        <v>100</v>
      </c>
      <c r="T25" s="662" t="s">
        <v>14</v>
      </c>
      <c r="U25" s="663">
        <f>H25</f>
        <v>100</v>
      </c>
      <c r="V25" s="662" t="s">
        <v>14</v>
      </c>
      <c r="W25" s="663">
        <f>J25</f>
        <v>100</v>
      </c>
      <c r="X25" s="664"/>
      <c r="Y25" s="3427"/>
      <c r="Z25" s="50">
        <f>Q25</f>
        <v>111</v>
      </c>
      <c r="AA25" s="1261">
        <f>D25/F25</f>
        <v>1</v>
      </c>
      <c r="AB25" s="1261">
        <f>D25/H25</f>
        <v>1</v>
      </c>
      <c r="AC25" s="1261">
        <f>D25/J25</f>
        <v>1</v>
      </c>
    </row>
    <row r="26" spans="1:29" ht="28.5">
      <c r="A26" s="403" t="s">
        <v>1694</v>
      </c>
      <c r="B26" s="60" t="s">
        <v>1838</v>
      </c>
      <c r="C26" s="1761"/>
      <c r="D26" s="404">
        <v>100</v>
      </c>
      <c r="E26" s="1761"/>
      <c r="F26" s="586">
        <f>SUMIF(77:77,E26,78:78)-SUMIF(77:77,C26,78:78)+100</f>
        <v>100</v>
      </c>
      <c r="G26" s="1761"/>
      <c r="H26" s="404">
        <f>SUMIF(77:77,G26,78:78)-SUMIF(77:77,C26,78:78)+100</f>
        <v>100</v>
      </c>
      <c r="I26" s="1761"/>
      <c r="J26" s="404">
        <f>SUMIF(77:77,I26,78:78)-SUMIF(77:77,C26,78:78)+100</f>
        <v>100</v>
      </c>
      <c r="K26" s="537"/>
      <c r="L26" s="2490"/>
      <c r="M26" s="2485"/>
      <c r="N26" s="2485"/>
      <c r="O26" s="2540"/>
      <c r="P26" s="3481"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31"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9">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431"/>
      <c r="Q27" s="530" t="str">
        <f t="shared" si="11"/>
        <v>成新率</v>
      </c>
      <c r="R27" s="667" t="s">
        <v>14</v>
      </c>
      <c r="S27" s="668" t="e">
        <f t="shared" si="12"/>
        <v>#N/A</v>
      </c>
      <c r="T27" s="667" t="s">
        <v>14</v>
      </c>
      <c r="U27" s="668" t="e">
        <f t="shared" si="13"/>
        <v>#N/A</v>
      </c>
      <c r="V27" s="667" t="s">
        <v>14</v>
      </c>
      <c r="W27" s="668" t="e">
        <f t="shared" si="14"/>
        <v>#N/A</v>
      </c>
      <c r="X27" s="669"/>
      <c r="Y27" s="3431"/>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431"/>
      <c r="Q28" s="1260" t="str">
        <f t="shared" si="11"/>
        <v>物业等级</v>
      </c>
      <c r="R28" s="665" t="s">
        <v>14</v>
      </c>
      <c r="S28" s="666">
        <f t="shared" si="12"/>
        <v>100</v>
      </c>
      <c r="T28" s="665" t="s">
        <v>14</v>
      </c>
      <c r="U28" s="666">
        <f t="shared" si="13"/>
        <v>100</v>
      </c>
      <c r="V28" s="665" t="s">
        <v>14</v>
      </c>
      <c r="W28" s="666">
        <f t="shared" si="14"/>
        <v>100</v>
      </c>
      <c r="X28" s="1262"/>
      <c r="Y28" s="3431"/>
      <c r="Z28" s="1261" t="str">
        <f t="shared" si="15"/>
        <v>物业等级</v>
      </c>
      <c r="AA28" s="1261">
        <f t="shared" si="3"/>
        <v>1</v>
      </c>
      <c r="AB28" s="1261">
        <f t="shared" si="4"/>
        <v>1</v>
      </c>
      <c r="AC28" s="1261">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431"/>
      <c r="Q29" s="1260" t="str">
        <f t="shared" si="11"/>
        <v>有无电梯</v>
      </c>
      <c r="R29" s="665" t="s">
        <v>14</v>
      </c>
      <c r="S29" s="666">
        <f t="shared" si="12"/>
        <v>100</v>
      </c>
      <c r="T29" s="665" t="s">
        <v>14</v>
      </c>
      <c r="U29" s="666">
        <f t="shared" si="13"/>
        <v>100</v>
      </c>
      <c r="V29" s="665" t="s">
        <v>14</v>
      </c>
      <c r="W29" s="666">
        <f t="shared" si="14"/>
        <v>100</v>
      </c>
      <c r="X29" s="1262"/>
      <c r="Y29" s="3431"/>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431"/>
      <c r="Q30" s="1260" t="str">
        <f t="shared" si="11"/>
        <v>建筑面积</v>
      </c>
      <c r="R30" s="665" t="s">
        <v>14</v>
      </c>
      <c r="S30" s="666" t="e">
        <f t="shared" si="12"/>
        <v>#N/A</v>
      </c>
      <c r="T30" s="665" t="s">
        <v>14</v>
      </c>
      <c r="U30" s="666" t="e">
        <f t="shared" si="13"/>
        <v>#N/A</v>
      </c>
      <c r="V30" s="665" t="s">
        <v>14</v>
      </c>
      <c r="W30" s="666" t="e">
        <f t="shared" si="14"/>
        <v>#N/A</v>
      </c>
      <c r="X30" s="1262"/>
      <c r="Y30" s="3431"/>
      <c r="Z30" s="1261" t="str">
        <f t="shared" si="15"/>
        <v>建筑面积</v>
      </c>
      <c r="AA30" s="1261" t="e">
        <f t="shared" si="3"/>
        <v>#N/A</v>
      </c>
      <c r="AB30" s="1261" t="e">
        <f t="shared" si="4"/>
        <v>#N/A</v>
      </c>
      <c r="AC30" s="1261" t="e">
        <f t="shared" si="5"/>
        <v>#N/A</v>
      </c>
    </row>
    <row r="31" spans="1:29" s="102" customFormat="1" ht="15">
      <c r="A31" s="409"/>
      <c r="B31" s="363" t="s">
        <v>1862</v>
      </c>
      <c r="C31" s="577"/>
      <c r="D31" s="119">
        <v>100</v>
      </c>
      <c r="E31" s="577"/>
      <c r="F31" s="399">
        <f>SUMIF(89:89,E31,90:90)-SUMIF(89:89,C31,90:90)+100</f>
        <v>100</v>
      </c>
      <c r="G31" s="577"/>
      <c r="H31" s="373">
        <f>SUMIF(89:89,G31,90:90)-SUMIF(89:89,C31,90:90)+100</f>
        <v>100</v>
      </c>
      <c r="I31" s="577"/>
      <c r="J31" s="373">
        <f>SUMIF(89:89,I31,90:90)-SUMIF(89:89,C31,90:90)+100</f>
        <v>100</v>
      </c>
      <c r="K31" s="537"/>
      <c r="L31" s="2486"/>
      <c r="M31" s="2437"/>
      <c r="N31" s="2437"/>
      <c r="O31" s="2538"/>
      <c r="P31" s="3431"/>
      <c r="Q31" s="529" t="str">
        <f t="shared" si="11"/>
        <v>是否封闭</v>
      </c>
      <c r="R31" s="662" t="s">
        <v>14</v>
      </c>
      <c r="S31" s="663">
        <f t="shared" si="12"/>
        <v>100</v>
      </c>
      <c r="T31" s="662" t="s">
        <v>14</v>
      </c>
      <c r="U31" s="663">
        <f t="shared" si="13"/>
        <v>100</v>
      </c>
      <c r="V31" s="662" t="s">
        <v>14</v>
      </c>
      <c r="W31" s="663">
        <f t="shared" si="14"/>
        <v>100</v>
      </c>
      <c r="X31" s="664"/>
      <c r="Y31" s="3431"/>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431" t="s">
        <v>1696</v>
      </c>
      <c r="Q32" s="1260">
        <f t="shared" si="11"/>
        <v>111</v>
      </c>
      <c r="R32" s="665" t="s">
        <v>14</v>
      </c>
      <c r="S32" s="666">
        <f t="shared" si="12"/>
        <v>100</v>
      </c>
      <c r="T32" s="665" t="s">
        <v>14</v>
      </c>
      <c r="U32" s="666">
        <f t="shared" si="13"/>
        <v>100</v>
      </c>
      <c r="V32" s="665" t="s">
        <v>14</v>
      </c>
      <c r="W32" s="666">
        <f t="shared" si="14"/>
        <v>100</v>
      </c>
      <c r="X32" s="1262"/>
      <c r="Y32" s="3431"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431"/>
      <c r="Q33" s="1260">
        <f t="shared" si="11"/>
        <v>111</v>
      </c>
      <c r="R33" s="665" t="s">
        <v>14</v>
      </c>
      <c r="S33" s="666">
        <f t="shared" si="12"/>
        <v>100</v>
      </c>
      <c r="T33" s="665" t="s">
        <v>14</v>
      </c>
      <c r="U33" s="666">
        <f t="shared" si="13"/>
        <v>100</v>
      </c>
      <c r="V33" s="665" t="s">
        <v>14</v>
      </c>
      <c r="W33" s="666">
        <f t="shared" si="14"/>
        <v>100</v>
      </c>
      <c r="X33" s="1262"/>
      <c r="Y33" s="3431"/>
      <c r="Z33" s="1261">
        <f t="shared" si="15"/>
        <v>111</v>
      </c>
      <c r="AA33" s="1261">
        <f t="shared" si="3"/>
        <v>1</v>
      </c>
      <c r="AB33" s="1261">
        <f t="shared" si="4"/>
        <v>1</v>
      </c>
      <c r="AC33" s="1261">
        <f t="shared" si="5"/>
        <v>1</v>
      </c>
    </row>
    <row r="34" spans="1:30" ht="15.75"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90"/>
      <c r="M34" s="2485"/>
      <c r="N34" s="2485"/>
      <c r="O34" s="2540"/>
      <c r="P34" s="3431"/>
      <c r="Q34" s="1260">
        <f t="shared" si="11"/>
        <v>111</v>
      </c>
      <c r="R34" s="665" t="s">
        <v>14</v>
      </c>
      <c r="S34" s="666">
        <f t="shared" si="12"/>
        <v>100</v>
      </c>
      <c r="T34" s="665" t="s">
        <v>14</v>
      </c>
      <c r="U34" s="666">
        <f t="shared" si="13"/>
        <v>100</v>
      </c>
      <c r="V34" s="665" t="s">
        <v>14</v>
      </c>
      <c r="W34" s="666">
        <f t="shared" si="14"/>
        <v>100</v>
      </c>
      <c r="X34" s="1262"/>
      <c r="Y34" s="3431"/>
      <c r="Z34" s="1261">
        <f t="shared" si="15"/>
        <v>111</v>
      </c>
      <c r="AA34" s="1261">
        <f t="shared" si="3"/>
        <v>1</v>
      </c>
      <c r="AB34" s="1261">
        <f t="shared" si="4"/>
        <v>1</v>
      </c>
      <c r="AC34" s="1261">
        <f t="shared" si="5"/>
        <v>1</v>
      </c>
    </row>
    <row r="35" spans="1:30" ht="15">
      <c r="A35" s="415" t="s">
        <v>1708</v>
      </c>
      <c r="B35" s="416"/>
      <c r="C35" s="1078" t="s">
        <v>0</v>
      </c>
      <c r="D35" s="417"/>
      <c r="E35" s="418"/>
      <c r="F35" s="419"/>
      <c r="G35" s="420"/>
      <c r="H35" s="421"/>
      <c r="I35" s="418"/>
      <c r="J35" s="421"/>
      <c r="K35" s="672"/>
      <c r="L35" s="2492"/>
      <c r="M35" s="2485"/>
      <c r="N35" s="2485"/>
      <c r="O35" s="2485"/>
      <c r="P35" s="3424" t="str">
        <f>A35</f>
        <v>成交单价（元/平方米）</v>
      </c>
      <c r="Q35" s="3424"/>
      <c r="R35" s="3425">
        <f>E35</f>
        <v>0</v>
      </c>
      <c r="S35" s="3425"/>
      <c r="T35" s="3425">
        <f>G35</f>
        <v>0</v>
      </c>
      <c r="U35" s="3425"/>
      <c r="V35" s="3425">
        <f>I35</f>
        <v>0</v>
      </c>
      <c r="W35" s="3425"/>
      <c r="X35" s="384"/>
      <c r="Y35" s="671"/>
      <c r="Z35" s="384"/>
      <c r="AA35" s="384"/>
      <c r="AB35" s="384"/>
      <c r="AC35" s="384"/>
    </row>
    <row r="36" spans="1:30" ht="15.75" thickBot="1">
      <c r="A36" s="422" t="s">
        <v>1793</v>
      </c>
      <c r="B36" s="423"/>
      <c r="C36" s="1079" t="e">
        <f>R37</f>
        <v>#DIV/0!</v>
      </c>
      <c r="D36" s="2138" t="s">
        <v>2138</v>
      </c>
      <c r="E36" s="1080" t="e">
        <f>R36</f>
        <v>#DIV/0!</v>
      </c>
      <c r="F36" s="2139"/>
      <c r="G36" s="1079" t="e">
        <f>T36</f>
        <v>#DIV/0!</v>
      </c>
      <c r="H36" s="2139"/>
      <c r="I36" s="1080" t="e">
        <f>V36</f>
        <v>#DIV/0!</v>
      </c>
      <c r="J36" s="2139"/>
      <c r="K36" s="2141">
        <f>F36+H36+J36</f>
        <v>0</v>
      </c>
      <c r="L36" s="2492"/>
      <c r="M36" s="2485"/>
      <c r="N36" s="2485"/>
      <c r="O36" s="2485"/>
      <c r="P36" s="3424" t="str">
        <f>A36</f>
        <v>比较价值（元/平方米）</v>
      </c>
      <c r="Q36" s="3424"/>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92"/>
      <c r="M37" s="2485"/>
      <c r="N37" s="2485"/>
      <c r="O37" s="2485"/>
      <c r="P37" s="3421" t="str">
        <f>A37</f>
        <v>估价对象XX用房的比较价值（楼面单价，元/平方米）</v>
      </c>
      <c r="Q37" s="3422"/>
      <c r="R37" s="3482" t="e">
        <f>IF(F1="售价",ROUND(IF(D36="简单平均",AVERAGE(R36:W36),R36*F36+T36*H36+V36*J36),0),ROUND(IF(D36="简单平均",AVERAGE(R36:V36),R36*F36+T36*H36+V36*J36),1))</f>
        <v>#DIV/0!</v>
      </c>
      <c r="S37" s="3482"/>
      <c r="T37" s="3482"/>
      <c r="U37" s="3482"/>
      <c r="V37" s="3482"/>
      <c r="W37" s="3482"/>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6" t="s">
        <v>1798</v>
      </c>
      <c r="B45" s="384"/>
      <c r="C45" s="657"/>
      <c r="D45" s="657"/>
      <c r="E45" s="657"/>
      <c r="F45" s="658"/>
      <c r="G45" s="658"/>
      <c r="H45" s="657"/>
      <c r="I45" s="657"/>
      <c r="J45" s="657"/>
      <c r="K45" s="659"/>
      <c r="L45" s="660"/>
      <c r="M45" s="657"/>
      <c r="N45" s="2535"/>
      <c r="O45" s="2535"/>
      <c r="P45" s="2535"/>
      <c r="Q45" s="2506"/>
      <c r="R45" s="2485"/>
      <c r="S45" s="2485"/>
      <c r="T45" s="2485"/>
      <c r="U45" s="2485"/>
      <c r="V45" s="2485"/>
      <c r="W45" s="2485"/>
      <c r="X45" s="2485"/>
      <c r="Y45" s="2485"/>
      <c r="Z45" s="2485"/>
      <c r="AA45" s="2485"/>
      <c r="AB45" s="2485"/>
      <c r="AC45" s="2485"/>
      <c r="AD45" s="2485"/>
    </row>
    <row r="46" spans="1:30" s="441" customFormat="1" ht="15">
      <c r="A46" s="439" t="s">
        <v>1679</v>
      </c>
      <c r="B46" s="440"/>
      <c r="C46" s="1100" t="str">
        <f>YEAR(C7)&amp;"-"&amp;MONTH(C7)</f>
        <v>2024-11</v>
      </c>
      <c r="D46" s="1101">
        <f>EDATE(C46,-1)</f>
        <v>45566</v>
      </c>
      <c r="E46" s="1101">
        <f t="shared" ref="E46:O46" si="16">EDATE(D46,-1)</f>
        <v>45536</v>
      </c>
      <c r="F46" s="1101">
        <f t="shared" si="16"/>
        <v>45505</v>
      </c>
      <c r="G46" s="1101">
        <f t="shared" si="16"/>
        <v>45474</v>
      </c>
      <c r="H46" s="1101">
        <f t="shared" si="16"/>
        <v>45444</v>
      </c>
      <c r="I46" s="1101">
        <f t="shared" si="16"/>
        <v>45413</v>
      </c>
      <c r="J46" s="1101">
        <f t="shared" si="16"/>
        <v>45383</v>
      </c>
      <c r="K46" s="1101">
        <f t="shared" si="16"/>
        <v>45352</v>
      </c>
      <c r="L46" s="1101">
        <f t="shared" si="16"/>
        <v>45323</v>
      </c>
      <c r="M46" s="1101">
        <f t="shared" si="16"/>
        <v>45292</v>
      </c>
      <c r="N46" s="1101">
        <f t="shared" si="16"/>
        <v>45261</v>
      </c>
      <c r="O46" s="1101">
        <f t="shared" si="16"/>
        <v>45231</v>
      </c>
      <c r="P46" s="2508"/>
      <c r="Q46" s="2508"/>
      <c r="R46" s="2508"/>
      <c r="S46" s="2508"/>
      <c r="T46" s="2508"/>
      <c r="U46" s="2508"/>
      <c r="V46" s="2508"/>
      <c r="W46" s="2508"/>
      <c r="X46" s="2508"/>
      <c r="Y46" s="2508"/>
      <c r="Z46" s="2508"/>
      <c r="AA46" s="2508"/>
      <c r="AB46" s="2508"/>
      <c r="AC46" s="2508"/>
      <c r="AD46" s="2508"/>
    </row>
    <row r="47" spans="1:30" s="102" customFormat="1" ht="15">
      <c r="A47" s="442"/>
      <c r="B47" s="443"/>
      <c r="C47" s="1099">
        <v>100</v>
      </c>
      <c r="D47" s="445"/>
      <c r="E47" s="445"/>
      <c r="F47" s="445"/>
      <c r="G47" s="445"/>
      <c r="H47" s="445"/>
      <c r="I47" s="445"/>
      <c r="J47" s="445"/>
      <c r="K47" s="445"/>
      <c r="L47" s="445"/>
      <c r="M47" s="446"/>
      <c r="N47" s="445"/>
      <c r="O47" s="447"/>
      <c r="P47" s="2506"/>
      <c r="Q47" s="2437"/>
      <c r="R47" s="2437"/>
      <c r="S47" s="2437"/>
      <c r="T47" s="2437"/>
      <c r="U47" s="2437"/>
      <c r="V47" s="2437"/>
      <c r="W47" s="2437"/>
      <c r="X47" s="2437"/>
      <c r="Y47" s="2437"/>
      <c r="Z47" s="2437"/>
      <c r="AA47" s="2437"/>
      <c r="AB47" s="2437"/>
      <c r="AC47" s="2437"/>
      <c r="AD47" s="2437"/>
    </row>
    <row r="48" spans="1:30" s="102" customFormat="1" ht="15.75" thickBot="1">
      <c r="A48" s="448" t="s">
        <v>1716</v>
      </c>
      <c r="B48" s="449"/>
      <c r="C48" s="450"/>
      <c r="D48" s="451"/>
      <c r="E48" s="451"/>
      <c r="F48" s="451"/>
      <c r="G48" s="451"/>
      <c r="H48" s="451"/>
      <c r="I48" s="451"/>
      <c r="J48" s="451"/>
      <c r="K48" s="451"/>
      <c r="L48" s="451"/>
      <c r="M48" s="452"/>
      <c r="N48" s="451"/>
      <c r="O48" s="453"/>
      <c r="P48" s="2506"/>
      <c r="Q48" s="2506"/>
      <c r="R48" s="2437"/>
      <c r="S48" s="2437"/>
      <c r="T48" s="2437"/>
      <c r="U48" s="2437"/>
      <c r="V48" s="2437"/>
      <c r="W48" s="2437"/>
      <c r="X48" s="2437"/>
      <c r="Y48" s="2437"/>
      <c r="Z48" s="2437"/>
      <c r="AA48" s="2437"/>
      <c r="AB48" s="2437"/>
      <c r="AC48" s="2437"/>
      <c r="AD48" s="2437"/>
    </row>
    <row r="49" spans="1:30" s="102" customFormat="1" ht="15">
      <c r="A49" s="454" t="s">
        <v>1681</v>
      </c>
      <c r="B49" s="443"/>
      <c r="C49" s="455" t="s">
        <v>1776</v>
      </c>
      <c r="D49" s="31"/>
      <c r="E49" s="31"/>
      <c r="F49" s="31"/>
      <c r="G49" s="31"/>
      <c r="H49" s="31"/>
      <c r="I49" s="31"/>
      <c r="J49" s="31"/>
      <c r="K49" s="31"/>
      <c r="L49" s="456"/>
      <c r="M49" s="457"/>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4"/>
      <c r="B50" s="443"/>
      <c r="C50" s="562">
        <v>100</v>
      </c>
      <c r="D50" s="445"/>
      <c r="E50" s="445"/>
      <c r="F50" s="445"/>
      <c r="G50" s="445"/>
      <c r="H50" s="445"/>
      <c r="I50" s="445"/>
      <c r="J50" s="445"/>
      <c r="K50" s="445"/>
      <c r="L50" s="445"/>
      <c r="M50" s="447"/>
      <c r="N50" s="2518"/>
      <c r="O50" s="2518"/>
      <c r="P50" s="2506"/>
      <c r="Q50" s="2506"/>
      <c r="R50" s="2437"/>
      <c r="S50" s="2437"/>
      <c r="T50" s="2437"/>
      <c r="U50" s="2437"/>
      <c r="V50" s="2437"/>
      <c r="W50" s="2437"/>
      <c r="X50" s="2437"/>
      <c r="Y50" s="2437"/>
      <c r="Z50" s="2437"/>
      <c r="AA50" s="2437"/>
      <c r="AB50" s="2437"/>
      <c r="AC50" s="2437"/>
      <c r="AD50" s="2437"/>
    </row>
    <row r="51" spans="1:30">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5.75"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7.75"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5.75"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5.75"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5.75"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5.75"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5.75"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5.75"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5.75"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7.75"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75" thickTop="1">
      <c r="A65" s="366"/>
      <c r="B65" s="476" t="s">
        <v>1813</v>
      </c>
      <c r="C65" s="580" t="s">
        <v>1799</v>
      </c>
      <c r="D65" s="580" t="s">
        <v>1800</v>
      </c>
      <c r="E65" s="580" t="s">
        <v>1801</v>
      </c>
      <c r="F65" s="580" t="s">
        <v>1802</v>
      </c>
      <c r="G65" s="580" t="s">
        <v>1803</v>
      </c>
      <c r="H65" s="469"/>
      <c r="I65" s="469"/>
      <c r="J65" s="469"/>
      <c r="K65" s="469"/>
      <c r="L65" s="469"/>
      <c r="M65" s="1061"/>
      <c r="N65" s="2520"/>
      <c r="O65" s="2520"/>
      <c r="P65" s="2518"/>
      <c r="Q65" s="2506"/>
      <c r="R65" s="2485"/>
      <c r="S65" s="2485"/>
      <c r="T65" s="2485"/>
      <c r="U65" s="2485"/>
      <c r="V65" s="2485"/>
      <c r="W65" s="2485"/>
      <c r="X65" s="2485"/>
      <c r="Y65" s="2485"/>
      <c r="Z65" s="2485"/>
      <c r="AA65" s="2485"/>
      <c r="AB65" s="2485"/>
      <c r="AC65" s="2485"/>
      <c r="AD65" s="2485"/>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7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7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5.75"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69"/>
      <c r="B71" s="468">
        <f>B23</f>
        <v>111</v>
      </c>
      <c r="C71" s="479"/>
      <c r="D71" s="479"/>
      <c r="E71" s="479"/>
      <c r="F71" s="479"/>
      <c r="G71" s="484"/>
      <c r="H71" s="484"/>
      <c r="I71" s="484"/>
      <c r="J71" s="484"/>
      <c r="K71" s="484"/>
      <c r="L71" s="509"/>
      <c r="M71" s="510"/>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69"/>
      <c r="B72" s="473"/>
      <c r="C72" s="490"/>
      <c r="D72" s="466"/>
      <c r="E72" s="466"/>
      <c r="F72" s="466"/>
      <c r="G72" s="466"/>
      <c r="H72" s="466"/>
      <c r="I72" s="466"/>
      <c r="J72" s="466"/>
      <c r="K72" s="466"/>
      <c r="L72" s="466"/>
      <c r="M72" s="467"/>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69"/>
      <c r="B73" s="468">
        <f>B24</f>
        <v>111</v>
      </c>
      <c r="C73" s="479"/>
      <c r="D73" s="479"/>
      <c r="E73" s="479"/>
      <c r="F73" s="479"/>
      <c r="G73" s="484"/>
      <c r="H73" s="484"/>
      <c r="I73" s="484"/>
      <c r="J73" s="484"/>
      <c r="K73" s="484"/>
      <c r="L73" s="484"/>
      <c r="M73" s="510"/>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69"/>
      <c r="B74" s="473"/>
      <c r="C74" s="490"/>
      <c r="D74" s="466"/>
      <c r="E74" s="466"/>
      <c r="F74" s="466"/>
      <c r="G74" s="466"/>
      <c r="H74" s="466"/>
      <c r="I74" s="466"/>
      <c r="J74" s="466"/>
      <c r="K74" s="466"/>
      <c r="L74" s="466"/>
      <c r="M74" s="467"/>
      <c r="N74" s="2520"/>
      <c r="O74" s="2520"/>
      <c r="P74" s="2518"/>
      <c r="Q74" s="2506"/>
      <c r="R74" s="2437"/>
      <c r="S74" s="2437"/>
      <c r="T74" s="2437"/>
      <c r="U74" s="2437"/>
      <c r="V74" s="2437"/>
      <c r="W74" s="2437"/>
      <c r="X74" s="2437"/>
      <c r="Y74" s="2437"/>
      <c r="Z74" s="2437"/>
      <c r="AA74" s="2437"/>
      <c r="AB74" s="2437"/>
      <c r="AC74" s="2437"/>
      <c r="AD74" s="2437"/>
    </row>
    <row r="75" spans="1:30" s="407" customFormat="1" ht="15.75"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5.75"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ht="15">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5.75"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5.75"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5"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5.75"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5"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5.75"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5"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5.75"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0"/>
      <c r="B98" s="880"/>
      <c r="C98" s="880"/>
      <c r="D98" s="880"/>
      <c r="E98" s="880"/>
      <c r="F98" s="880"/>
      <c r="G98" s="880"/>
      <c r="H98" s="880"/>
      <c r="I98" s="880"/>
      <c r="J98" s="880"/>
      <c r="K98" s="881"/>
      <c r="L98" s="882"/>
      <c r="M98" s="880"/>
      <c r="N98" s="2485"/>
      <c r="O98" s="2485"/>
      <c r="P98" s="2485"/>
      <c r="Q98" s="2485"/>
      <c r="R98" s="2485"/>
      <c r="S98" s="2485"/>
      <c r="T98" s="2485"/>
      <c r="U98" s="2485"/>
      <c r="V98" s="2485"/>
      <c r="W98" s="2485"/>
      <c r="X98" s="2485"/>
      <c r="Y98" s="2485"/>
      <c r="Z98" s="2485"/>
      <c r="AA98" s="2485"/>
      <c r="AB98" s="2485"/>
      <c r="AC98" s="2485"/>
      <c r="AD98" s="2485"/>
    </row>
    <row r="99" spans="1:30">
      <c r="A99" s="880"/>
      <c r="B99" s="880"/>
      <c r="C99" s="880"/>
      <c r="D99" s="880"/>
      <c r="E99" s="880"/>
      <c r="F99" s="880"/>
      <c r="G99" s="880"/>
      <c r="H99" s="880"/>
      <c r="I99" s="880"/>
      <c r="J99" s="880"/>
      <c r="K99" s="881"/>
      <c r="L99" s="882"/>
      <c r="M99" s="880"/>
      <c r="N99" s="2485"/>
      <c r="O99" s="2485"/>
      <c r="P99" s="2485"/>
      <c r="Q99" s="2485"/>
      <c r="R99" s="2485"/>
      <c r="S99" s="2485"/>
      <c r="T99" s="2485"/>
      <c r="U99" s="2485"/>
      <c r="V99" s="2485"/>
      <c r="W99" s="2485"/>
      <c r="X99" s="2485"/>
      <c r="Y99" s="2485"/>
      <c r="Z99" s="2485"/>
      <c r="AA99" s="2485"/>
      <c r="AB99" s="2485"/>
      <c r="AC99" s="2485"/>
      <c r="AD99" s="2485"/>
    </row>
    <row r="100" spans="1:30">
      <c r="A100" s="880"/>
      <c r="B100" s="880"/>
      <c r="C100" s="880"/>
      <c r="D100" s="880"/>
      <c r="E100" s="880"/>
      <c r="F100" s="880"/>
      <c r="G100" s="880"/>
      <c r="H100" s="880"/>
      <c r="I100" s="880"/>
      <c r="J100" s="880"/>
      <c r="K100" s="881"/>
      <c r="L100" s="882"/>
      <c r="M100" s="880"/>
      <c r="N100" s="2485"/>
      <c r="O100" s="2485"/>
      <c r="P100" s="2485"/>
      <c r="Q100" s="2485"/>
      <c r="R100" s="2485"/>
      <c r="S100" s="2485"/>
      <c r="T100" s="2485"/>
      <c r="U100" s="2485"/>
      <c r="V100" s="2485"/>
      <c r="W100" s="2485"/>
      <c r="X100" s="2485"/>
      <c r="Y100" s="2485"/>
      <c r="Z100" s="2485"/>
      <c r="AA100" s="2485"/>
      <c r="AB100" s="2485"/>
      <c r="AC100" s="2485"/>
      <c r="AD100" s="2485"/>
    </row>
    <row r="101" spans="1:30">
      <c r="A101" s="880"/>
      <c r="B101" s="880"/>
      <c r="C101" s="880"/>
      <c r="D101" s="880"/>
      <c r="E101" s="880"/>
      <c r="F101" s="880"/>
      <c r="G101" s="880"/>
      <c r="H101" s="880"/>
      <c r="I101" s="880"/>
      <c r="J101" s="880"/>
      <c r="K101" s="881"/>
      <c r="L101" s="882"/>
      <c r="M101" s="880"/>
      <c r="N101" s="2485"/>
      <c r="O101" s="2485"/>
      <c r="P101" s="2485"/>
      <c r="Q101" s="2485"/>
      <c r="R101" s="2485"/>
      <c r="S101" s="2485"/>
      <c r="T101" s="2485"/>
      <c r="U101" s="2485"/>
      <c r="V101" s="2485"/>
      <c r="W101" s="2485"/>
      <c r="X101" s="2485"/>
      <c r="Y101" s="2485"/>
      <c r="Z101" s="2485"/>
      <c r="AA101" s="2485"/>
      <c r="AB101" s="2485"/>
      <c r="AC101" s="2485"/>
      <c r="AD101" s="2485"/>
    </row>
    <row r="102" spans="1:30">
      <c r="A102" s="880"/>
      <c r="B102" s="880"/>
      <c r="C102" s="880"/>
      <c r="D102" s="880"/>
      <c r="E102" s="880"/>
      <c r="F102" s="880"/>
      <c r="G102" s="880"/>
      <c r="H102" s="880"/>
      <c r="I102" s="880"/>
      <c r="J102" s="880"/>
      <c r="K102" s="881"/>
      <c r="L102" s="882"/>
      <c r="M102" s="880"/>
      <c r="N102" s="2485"/>
      <c r="O102" s="2485"/>
      <c r="P102" s="2485"/>
      <c r="Q102" s="2485"/>
      <c r="R102" s="2485"/>
      <c r="S102" s="2485"/>
      <c r="T102" s="2485"/>
      <c r="U102" s="2485"/>
      <c r="V102" s="2485"/>
      <c r="W102" s="2485"/>
      <c r="X102" s="2485"/>
      <c r="Y102" s="2485"/>
      <c r="Z102" s="2485"/>
      <c r="AA102" s="2485"/>
      <c r="AB102" s="2485"/>
      <c r="AC102" s="2485"/>
      <c r="AD102" s="2485"/>
    </row>
    <row r="103" spans="1:30">
      <c r="A103" s="880"/>
      <c r="B103" s="880"/>
      <c r="C103" s="880"/>
      <c r="D103" s="880"/>
      <c r="E103" s="880"/>
      <c r="F103" s="880"/>
      <c r="G103" s="880"/>
      <c r="H103" s="880"/>
      <c r="I103" s="880"/>
      <c r="J103" s="880"/>
      <c r="K103" s="881"/>
      <c r="L103" s="882"/>
      <c r="M103" s="880"/>
      <c r="N103" s="880"/>
      <c r="O103" s="880"/>
      <c r="P103" s="2485"/>
      <c r="Q103" s="2485"/>
      <c r="R103" s="2485"/>
      <c r="S103" s="2485"/>
      <c r="T103" s="2485"/>
      <c r="U103" s="2485"/>
      <c r="V103" s="2485"/>
      <c r="W103" s="2485"/>
      <c r="X103" s="2485"/>
      <c r="Y103" s="2485"/>
      <c r="Z103" s="2485"/>
      <c r="AA103" s="2485"/>
      <c r="AB103" s="2485"/>
      <c r="AC103" s="2485"/>
      <c r="AD103" s="2485"/>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10" zoomScale="60" zoomScaleNormal="60" workbookViewId="0">
      <selection activeCell="F17" sqref="F17"/>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90" t="e">
        <f>F65</f>
        <v>#DIV/0!</v>
      </c>
      <c r="C2" s="852"/>
      <c r="D2" s="852"/>
      <c r="E2" s="853"/>
      <c r="F2" s="854"/>
      <c r="G2" s="853"/>
      <c r="H2" s="853"/>
      <c r="I2" s="853"/>
      <c r="J2" s="853"/>
      <c r="K2" s="855"/>
      <c r="L2" s="2501"/>
      <c r="M2" s="2502"/>
      <c r="N2" s="2502"/>
      <c r="O2" s="2502"/>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501"/>
      <c r="M3" s="2502"/>
      <c r="N3" s="2502"/>
      <c r="O3" s="2502"/>
      <c r="P3" s="340"/>
      <c r="Q3" s="340"/>
      <c r="R3" s="340"/>
      <c r="S3" s="340"/>
      <c r="T3" s="340"/>
      <c r="U3" s="340"/>
      <c r="V3" s="340"/>
      <c r="W3" s="340"/>
      <c r="X3" s="340"/>
      <c r="Y3" s="340"/>
      <c r="Z3" s="340"/>
      <c r="AA3" s="340"/>
      <c r="AB3" s="674"/>
      <c r="AC3" s="661"/>
    </row>
    <row r="4" spans="1:29" ht="15">
      <c r="A4" s="344" t="s">
        <v>1769</v>
      </c>
      <c r="B4" s="345"/>
      <c r="C4" s="3439" t="s">
        <v>1770</v>
      </c>
      <c r="D4" s="3440"/>
      <c r="E4" s="3441" t="s">
        <v>1771</v>
      </c>
      <c r="F4" s="3442"/>
      <c r="G4" s="3439" t="s">
        <v>1772</v>
      </c>
      <c r="H4" s="3440"/>
      <c r="I4" s="3439" t="s">
        <v>1773</v>
      </c>
      <c r="J4" s="3440"/>
      <c r="K4" s="536" t="s">
        <v>1774</v>
      </c>
      <c r="L4" s="2484"/>
      <c r="M4" s="2485"/>
      <c r="N4" s="2485"/>
      <c r="O4" s="2485"/>
      <c r="P4" s="3443" t="s">
        <v>1775</v>
      </c>
      <c r="Q4" s="3444"/>
      <c r="R4" s="3449" t="s">
        <v>1771</v>
      </c>
      <c r="S4" s="3450"/>
      <c r="T4" s="3449" t="s">
        <v>1772</v>
      </c>
      <c r="U4" s="3450"/>
      <c r="V4" s="3425" t="s">
        <v>1773</v>
      </c>
      <c r="W4" s="3425"/>
      <c r="X4" s="1262"/>
      <c r="Y4" s="3449" t="s">
        <v>1775</v>
      </c>
      <c r="Z4" s="3450"/>
      <c r="AA4" s="3436" t="s">
        <v>1771</v>
      </c>
      <c r="AB4" s="3437" t="s">
        <v>1772</v>
      </c>
      <c r="AC4" s="3436" t="s">
        <v>1773</v>
      </c>
    </row>
    <row r="5" spans="1:29" ht="15">
      <c r="A5" s="347"/>
      <c r="B5" s="348"/>
      <c r="C5" s="3457" t="s">
        <v>1673</v>
      </c>
      <c r="D5" s="3458"/>
      <c r="E5" s="3464" t="s">
        <v>1674</v>
      </c>
      <c r="F5" s="3465"/>
      <c r="G5" s="3457" t="s">
        <v>1675</v>
      </c>
      <c r="H5" s="3458"/>
      <c r="I5" s="3457" t="s">
        <v>1676</v>
      </c>
      <c r="J5" s="3458"/>
      <c r="K5" s="536"/>
      <c r="L5" s="2484"/>
      <c r="M5" s="2485"/>
      <c r="N5" s="2485"/>
      <c r="O5" s="2485"/>
      <c r="P5" s="3445"/>
      <c r="Q5" s="3446"/>
      <c r="R5" s="3451"/>
      <c r="S5" s="3452"/>
      <c r="T5" s="3451"/>
      <c r="U5" s="3452"/>
      <c r="V5" s="3425"/>
      <c r="W5" s="3425"/>
      <c r="X5" s="1262"/>
      <c r="Y5" s="3451"/>
      <c r="Z5" s="3452"/>
      <c r="AA5" s="3437"/>
      <c r="AB5" s="3437"/>
      <c r="AC5" s="3437"/>
    </row>
    <row r="6" spans="1:29" ht="15.75" thickBot="1">
      <c r="A6" s="349"/>
      <c r="B6" s="350"/>
      <c r="C6" s="3455" t="s">
        <v>1677</v>
      </c>
      <c r="D6" s="3456"/>
      <c r="E6" s="3462" t="s">
        <v>1677</v>
      </c>
      <c r="F6" s="3463"/>
      <c r="G6" s="3455" t="s">
        <v>1677</v>
      </c>
      <c r="H6" s="3456"/>
      <c r="I6" s="3455" t="s">
        <v>1677</v>
      </c>
      <c r="J6" s="3456"/>
      <c r="K6" s="536" t="s">
        <v>1678</v>
      </c>
      <c r="L6" s="2484"/>
      <c r="M6" s="2485"/>
      <c r="N6" s="2485"/>
      <c r="O6" s="2485"/>
      <c r="P6" s="3447"/>
      <c r="Q6" s="3448"/>
      <c r="R6" s="3451"/>
      <c r="S6" s="3452"/>
      <c r="T6" s="3453"/>
      <c r="U6" s="3454"/>
      <c r="V6" s="3425"/>
      <c r="W6" s="3425"/>
      <c r="X6" s="1262"/>
      <c r="Y6" s="3453"/>
      <c r="Z6" s="3454"/>
      <c r="AA6" s="3438"/>
      <c r="AB6" s="3438"/>
      <c r="AC6" s="3438"/>
    </row>
    <row r="7" spans="1:29" s="102" customFormat="1" ht="15.75" thickBot="1">
      <c r="A7" s="351" t="s">
        <v>1679</v>
      </c>
      <c r="B7" s="352"/>
      <c r="C7" s="353">
        <f>'数据-取费表'!B2</f>
        <v>45607</v>
      </c>
      <c r="D7" s="354">
        <v>100</v>
      </c>
      <c r="E7" s="355"/>
      <c r="F7" s="356">
        <f>SUMIF(69:69,YEAR(E7)&amp;"-"&amp;INT((MONTH(E7)+2)/3),70:70)</f>
        <v>0</v>
      </c>
      <c r="G7" s="1819"/>
      <c r="H7" s="354">
        <f>SUMIF(69:69,YEAR(G7)&amp;"-"&amp;INT((MONTH(G7)+2)/3),70:70)</f>
        <v>0</v>
      </c>
      <c r="I7" s="1819"/>
      <c r="J7" s="354">
        <f>SUMIF(69:69,YEAR(I7)&amp;"-"&amp;INT((MONTH(I7)+2)/3),70:70)</f>
        <v>0</v>
      </c>
      <c r="K7" s="38"/>
      <c r="L7" s="2486"/>
      <c r="M7" s="2437"/>
      <c r="N7" s="2437"/>
      <c r="O7" s="2437"/>
      <c r="P7" s="3459" t="s">
        <v>1680</v>
      </c>
      <c r="Q7" s="3461"/>
      <c r="R7" s="662" t="s">
        <v>14</v>
      </c>
      <c r="S7" s="663">
        <f t="shared" ref="S7:S15" si="0">F7</f>
        <v>0</v>
      </c>
      <c r="T7" s="662" t="s">
        <v>14</v>
      </c>
      <c r="U7" s="663">
        <f t="shared" ref="U7:U15" si="1">H7</f>
        <v>0</v>
      </c>
      <c r="V7" s="662" t="s">
        <v>14</v>
      </c>
      <c r="W7" s="663">
        <f t="shared" ref="W7:W15" si="2">J7</f>
        <v>0</v>
      </c>
      <c r="X7" s="664"/>
      <c r="Y7" s="3459" t="s">
        <v>1680</v>
      </c>
      <c r="Z7" s="3460"/>
      <c r="AA7" s="50" t="e">
        <f>D7/F7</f>
        <v>#DIV/0!</v>
      </c>
      <c r="AB7" s="50" t="e">
        <f>D7/H7</f>
        <v>#DIV/0!</v>
      </c>
      <c r="AC7" s="50" t="e">
        <f>D7/J7</f>
        <v>#DIV/0!</v>
      </c>
    </row>
    <row r="8" spans="1:29" s="102"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6"/>
      <c r="M8" s="2437"/>
      <c r="N8" s="2437"/>
      <c r="O8" s="2437"/>
      <c r="P8" s="3459" t="s">
        <v>1683</v>
      </c>
      <c r="Q8" s="3460"/>
      <c r="R8" s="662" t="s">
        <v>14</v>
      </c>
      <c r="S8" s="663">
        <f t="shared" si="0"/>
        <v>0</v>
      </c>
      <c r="T8" s="662" t="s">
        <v>14</v>
      </c>
      <c r="U8" s="663">
        <f t="shared" si="1"/>
        <v>0</v>
      </c>
      <c r="V8" s="662" t="s">
        <v>14</v>
      </c>
      <c r="W8" s="663">
        <f t="shared" si="2"/>
        <v>0</v>
      </c>
      <c r="X8" s="664"/>
      <c r="Y8" s="3459" t="s">
        <v>1683</v>
      </c>
      <c r="Z8" s="3460"/>
      <c r="AA8" s="50" t="e">
        <f t="shared" ref="AA8:AA45" si="3">D8/F8</f>
        <v>#DIV/0!</v>
      </c>
      <c r="AB8" s="50" t="e">
        <f t="shared" ref="AB8:AB45" si="4">D8/H8</f>
        <v>#DIV/0!</v>
      </c>
      <c r="AC8" s="50" t="e">
        <f t="shared" ref="AC8:AC45" si="5">D8/J8</f>
        <v>#DIV/0!</v>
      </c>
    </row>
    <row r="9" spans="1:29" s="102" customFormat="1">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24" t="s">
        <v>1686</v>
      </c>
      <c r="Q9" s="529" t="str">
        <f t="shared" ref="Q9:Q15" si="6">B9</f>
        <v>用途</v>
      </c>
      <c r="R9" s="662" t="s">
        <v>14</v>
      </c>
      <c r="S9" s="663">
        <f t="shared" si="0"/>
        <v>100</v>
      </c>
      <c r="T9" s="662" t="s">
        <v>14</v>
      </c>
      <c r="U9" s="663">
        <f t="shared" si="1"/>
        <v>100</v>
      </c>
      <c r="V9" s="662" t="s">
        <v>14</v>
      </c>
      <c r="W9" s="663">
        <f t="shared" si="2"/>
        <v>100</v>
      </c>
      <c r="X9" s="664"/>
      <c r="Y9" s="3298" t="s">
        <v>1687</v>
      </c>
      <c r="Z9" s="50" t="str">
        <f t="shared" ref="Z9:Z15" si="7">Q9</f>
        <v>用途</v>
      </c>
      <c r="AA9" s="50">
        <f t="shared" si="3"/>
        <v>1</v>
      </c>
      <c r="AB9" s="50">
        <f t="shared" si="4"/>
        <v>1</v>
      </c>
      <c r="AC9" s="50">
        <f t="shared" si="5"/>
        <v>1</v>
      </c>
    </row>
    <row r="10" spans="1:29" s="365" customFormat="1" ht="27">
      <c r="A10" s="362"/>
      <c r="B10" s="363" t="s">
        <v>1688</v>
      </c>
      <c r="C10" s="370"/>
      <c r="D10" s="119">
        <v>100</v>
      </c>
      <c r="E10" s="402"/>
      <c r="F10" s="119">
        <f>ROUND(100/'数据-取费表'!G16,0)</f>
        <v>105</v>
      </c>
      <c r="G10" s="401"/>
      <c r="H10" s="119">
        <f>ROUND(100/'数据-取费表'!G16,0)</f>
        <v>105</v>
      </c>
      <c r="I10" s="401"/>
      <c r="J10" s="119">
        <f>ROUND(100/'数据-取费表'!G16,0)</f>
        <v>105</v>
      </c>
      <c r="K10" s="591"/>
      <c r="L10" s="2487"/>
      <c r="M10" s="2488"/>
      <c r="N10" s="2488"/>
      <c r="O10" s="2539"/>
      <c r="P10" s="3424"/>
      <c r="Q10" s="529" t="str">
        <f t="shared" si="6"/>
        <v>土地使用年限（年）</v>
      </c>
      <c r="R10" s="662" t="s">
        <v>14</v>
      </c>
      <c r="S10" s="663">
        <f t="shared" si="0"/>
        <v>105</v>
      </c>
      <c r="T10" s="662" t="s">
        <v>14</v>
      </c>
      <c r="U10" s="663">
        <f t="shared" si="1"/>
        <v>105</v>
      </c>
      <c r="V10" s="662" t="s">
        <v>14</v>
      </c>
      <c r="W10" s="663">
        <f t="shared" si="2"/>
        <v>105</v>
      </c>
      <c r="X10" s="664"/>
      <c r="Y10" s="3298"/>
      <c r="Z10" s="50" t="str">
        <f t="shared" si="7"/>
        <v>土地使用年限（年）</v>
      </c>
      <c r="AA10" s="50">
        <f t="shared" si="3"/>
        <v>0.95238095238095233</v>
      </c>
      <c r="AB10" s="50">
        <f t="shared" si="4"/>
        <v>0.95238095238095233</v>
      </c>
      <c r="AC10" s="50">
        <f t="shared" si="5"/>
        <v>0.95238095238095233</v>
      </c>
    </row>
    <row r="11" spans="1:29" ht="15">
      <c r="A11" s="366"/>
      <c r="B11" s="363" t="s">
        <v>1689</v>
      </c>
      <c r="C11" s="367"/>
      <c r="D11" s="119">
        <v>100</v>
      </c>
      <c r="E11" s="367"/>
      <c r="F11" s="119" t="e">
        <f>LOOKUP(E11,79:79,80:80)-LOOKUP(C11,79:79,80:80)+100</f>
        <v>#N/A</v>
      </c>
      <c r="G11" s="368"/>
      <c r="H11" s="119" t="e">
        <f>LOOKUP(G11,79:79,80:80)-LOOKUP(C11,79:79,80:80)+100</f>
        <v>#N/A</v>
      </c>
      <c r="I11" s="367"/>
      <c r="J11" s="119" t="e">
        <f>LOOKUP(I11,79:79,80:80)-LOOKUP(C11,79:79,80:80)+100</f>
        <v>#N/A</v>
      </c>
      <c r="K11" s="592"/>
      <c r="L11" s="2489"/>
      <c r="M11" s="2485"/>
      <c r="N11" s="2485"/>
      <c r="O11" s="2540"/>
      <c r="P11" s="3424"/>
      <c r="Q11" s="529" t="str">
        <f t="shared" si="6"/>
        <v>容积率</v>
      </c>
      <c r="R11" s="662" t="s">
        <v>14</v>
      </c>
      <c r="S11" s="663" t="e">
        <f t="shared" si="0"/>
        <v>#N/A</v>
      </c>
      <c r="T11" s="662" t="s">
        <v>14</v>
      </c>
      <c r="U11" s="663" t="e">
        <f t="shared" si="1"/>
        <v>#N/A</v>
      </c>
      <c r="V11" s="662" t="s">
        <v>14</v>
      </c>
      <c r="W11" s="663" t="e">
        <f t="shared" si="2"/>
        <v>#N/A</v>
      </c>
      <c r="X11" s="664"/>
      <c r="Y11" s="3298"/>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9">
        <f>SUMIF(81:81,E12,82:82)-SUMIF(81:81,C12,82:82)+100</f>
        <v>100</v>
      </c>
      <c r="G12" s="401"/>
      <c r="H12" s="119">
        <f>SUMIF(81:81,G12,82:82)-SUMIF(81:81,C12,82:82)+100</f>
        <v>100</v>
      </c>
      <c r="I12" s="402"/>
      <c r="J12" s="119">
        <f>SUMIF(81:81,I12,82:82)-SUMIF(81:81,C12,82:82)+100</f>
        <v>100</v>
      </c>
      <c r="K12" s="591"/>
      <c r="L12" s="2486"/>
      <c r="M12" s="2437"/>
      <c r="N12" s="2437"/>
      <c r="O12" s="2538"/>
      <c r="P12" s="3424"/>
      <c r="Q12" s="529" t="str">
        <f t="shared" si="6"/>
        <v>配建</v>
      </c>
      <c r="R12" s="662" t="s">
        <v>14</v>
      </c>
      <c r="S12" s="663">
        <f t="shared" si="0"/>
        <v>100</v>
      </c>
      <c r="T12" s="662" t="s">
        <v>14</v>
      </c>
      <c r="U12" s="663">
        <f t="shared" si="1"/>
        <v>100</v>
      </c>
      <c r="V12" s="662" t="s">
        <v>14</v>
      </c>
      <c r="W12" s="663">
        <f t="shared" si="2"/>
        <v>100</v>
      </c>
      <c r="X12" s="664"/>
      <c r="Y12" s="3298"/>
      <c r="Z12" s="50" t="str">
        <f t="shared" si="7"/>
        <v>配建</v>
      </c>
      <c r="AA12" s="50">
        <f>D12/F12</f>
        <v>1</v>
      </c>
      <c r="AB12" s="50">
        <f>D12/H12</f>
        <v>1</v>
      </c>
      <c r="AC12" s="50">
        <f>D12/J12</f>
        <v>1</v>
      </c>
    </row>
    <row r="13" spans="1:29" ht="15">
      <c r="A13" s="366"/>
      <c r="B13" s="446">
        <v>111</v>
      </c>
      <c r="C13" s="372"/>
      <c r="D13" s="373">
        <v>100</v>
      </c>
      <c r="E13" s="479"/>
      <c r="F13" s="119">
        <f>SUMIF(83:83,E13,84:84)-SUMIF(83:83,C13,84:84)+100</f>
        <v>100</v>
      </c>
      <c r="G13" s="593"/>
      <c r="H13" s="373">
        <f>SUMIF(83:83,G13,84:84)-SUMIF(83:83,C13,84:84)+100</f>
        <v>100</v>
      </c>
      <c r="I13" s="593"/>
      <c r="J13" s="373">
        <f>SUMIF(83:83,I13,84:84)-SUMIF(83:83,C13,84:84)+100</f>
        <v>100</v>
      </c>
      <c r="K13" s="591"/>
      <c r="L13" s="2490"/>
      <c r="M13" s="2485"/>
      <c r="N13" s="2485"/>
      <c r="O13" s="2540"/>
      <c r="P13" s="3424"/>
      <c r="Q13" s="529">
        <f t="shared" si="6"/>
        <v>111</v>
      </c>
      <c r="R13" s="662" t="s">
        <v>14</v>
      </c>
      <c r="S13" s="663">
        <f t="shared" si="0"/>
        <v>100</v>
      </c>
      <c r="T13" s="662" t="s">
        <v>14</v>
      </c>
      <c r="U13" s="663">
        <f t="shared" si="1"/>
        <v>100</v>
      </c>
      <c r="V13" s="662" t="s">
        <v>14</v>
      </c>
      <c r="W13" s="663">
        <f t="shared" si="2"/>
        <v>100</v>
      </c>
      <c r="X13" s="664"/>
      <c r="Y13" s="3298"/>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424"/>
      <c r="Q14" s="529">
        <f t="shared" si="6"/>
        <v>111</v>
      </c>
      <c r="R14" s="662" t="s">
        <v>14</v>
      </c>
      <c r="S14" s="663">
        <f t="shared" si="0"/>
        <v>100</v>
      </c>
      <c r="T14" s="662" t="s">
        <v>14</v>
      </c>
      <c r="U14" s="663">
        <f t="shared" si="1"/>
        <v>100</v>
      </c>
      <c r="V14" s="662" t="s">
        <v>14</v>
      </c>
      <c r="W14" s="663">
        <f t="shared" si="2"/>
        <v>100</v>
      </c>
      <c r="X14" s="664"/>
      <c r="Y14" s="3298"/>
      <c r="Z14" s="50">
        <f t="shared" si="7"/>
        <v>111</v>
      </c>
      <c r="AA14" s="50">
        <f>D14/F14</f>
        <v>1</v>
      </c>
      <c r="AB14" s="50">
        <f>D14/H14</f>
        <v>1</v>
      </c>
      <c r="AC14" s="50">
        <f>D14/J14</f>
        <v>1</v>
      </c>
    </row>
    <row r="15" spans="1:29" ht="99.75">
      <c r="A15" s="378" t="s">
        <v>1690</v>
      </c>
      <c r="B15" s="58" t="s">
        <v>1257</v>
      </c>
      <c r="C15" s="1747"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426" t="s">
        <v>1691</v>
      </c>
      <c r="Q15" s="1260" t="str">
        <f t="shared" si="6"/>
        <v>居住社区成熟度</v>
      </c>
      <c r="R15" s="665" t="s">
        <v>14</v>
      </c>
      <c r="S15" s="666">
        <f t="shared" si="0"/>
        <v>100</v>
      </c>
      <c r="T15" s="665" t="s">
        <v>14</v>
      </c>
      <c r="U15" s="666">
        <f t="shared" si="1"/>
        <v>100</v>
      </c>
      <c r="V15" s="665" t="s">
        <v>14</v>
      </c>
      <c r="W15" s="666">
        <f t="shared" si="2"/>
        <v>100</v>
      </c>
      <c r="X15" s="1262"/>
      <c r="Y15" s="3426"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1"/>
      <c r="L16" s="2490"/>
      <c r="M16" s="2485"/>
      <c r="N16" s="2485"/>
      <c r="O16" s="2540"/>
      <c r="P16" s="3427"/>
      <c r="Q16" s="1260"/>
      <c r="R16" s="665"/>
      <c r="S16" s="666"/>
      <c r="T16" s="665"/>
      <c r="U16" s="666"/>
      <c r="V16" s="665"/>
      <c r="W16" s="666"/>
      <c r="X16" s="1262"/>
      <c r="Y16" s="3427"/>
      <c r="Z16" s="1261"/>
      <c r="AA16" s="1261">
        <v>1</v>
      </c>
      <c r="AB16" s="1261">
        <v>1</v>
      </c>
      <c r="AC16" s="1261">
        <v>1</v>
      </c>
    </row>
    <row r="17" spans="1:29" ht="71.25">
      <c r="A17" s="366"/>
      <c r="B17" s="389" t="s">
        <v>1777</v>
      </c>
      <c r="C17" s="1803"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427"/>
      <c r="Q17" s="1260" t="str">
        <f>B17</f>
        <v>商业繁华度</v>
      </c>
      <c r="R17" s="665" t="s">
        <v>14</v>
      </c>
      <c r="S17" s="666">
        <f>F17</f>
        <v>100</v>
      </c>
      <c r="T17" s="665" t="s">
        <v>14</v>
      </c>
      <c r="U17" s="666">
        <f>H17</f>
        <v>100</v>
      </c>
      <c r="V17" s="665" t="s">
        <v>14</v>
      </c>
      <c r="W17" s="666">
        <f>J17</f>
        <v>100</v>
      </c>
      <c r="X17" s="1262"/>
      <c r="Y17" s="3427"/>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1"/>
      <c r="L18" s="2490"/>
      <c r="M18" s="2485"/>
      <c r="N18" s="2485"/>
      <c r="O18" s="2540"/>
      <c r="P18" s="3427"/>
      <c r="Q18" s="1260"/>
      <c r="R18" s="665"/>
      <c r="S18" s="666"/>
      <c r="T18" s="665"/>
      <c r="U18" s="666"/>
      <c r="V18" s="665"/>
      <c r="W18" s="666"/>
      <c r="X18" s="1262"/>
      <c r="Y18" s="3427"/>
      <c r="Z18" s="1261"/>
      <c r="AA18" s="1261">
        <v>1</v>
      </c>
      <c r="AB18" s="1261">
        <v>1</v>
      </c>
      <c r="AC18" s="1261">
        <v>1</v>
      </c>
    </row>
    <row r="19" spans="1:29" ht="71.25">
      <c r="A19" s="366"/>
      <c r="B19" s="389" t="s">
        <v>1811</v>
      </c>
      <c r="C19" s="1803"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427"/>
      <c r="Q19" s="1260" t="str">
        <f>B19</f>
        <v>办公集聚程度</v>
      </c>
      <c r="R19" s="665" t="s">
        <v>14</v>
      </c>
      <c r="S19" s="666">
        <f>F19</f>
        <v>100</v>
      </c>
      <c r="T19" s="665" t="s">
        <v>14</v>
      </c>
      <c r="U19" s="666">
        <f>H19</f>
        <v>100</v>
      </c>
      <c r="V19" s="665" t="s">
        <v>14</v>
      </c>
      <c r="W19" s="666">
        <f>J19</f>
        <v>100</v>
      </c>
      <c r="X19" s="1262"/>
      <c r="Y19" s="3427"/>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1"/>
      <c r="L20" s="2490"/>
      <c r="M20" s="2485"/>
      <c r="N20" s="2485"/>
      <c r="O20" s="2540"/>
      <c r="P20" s="3427"/>
      <c r="Q20" s="1260"/>
      <c r="R20" s="665"/>
      <c r="S20" s="666"/>
      <c r="T20" s="665"/>
      <c r="U20" s="666"/>
      <c r="V20" s="665"/>
      <c r="W20" s="666"/>
      <c r="X20" s="1262"/>
      <c r="Y20" s="3427"/>
      <c r="Z20" s="1261"/>
      <c r="AA20" s="1261">
        <v>1</v>
      </c>
      <c r="AB20" s="1261">
        <v>1</v>
      </c>
      <c r="AC20" s="1261">
        <v>1</v>
      </c>
    </row>
    <row r="21" spans="1:29" ht="85.5">
      <c r="A21" s="366"/>
      <c r="B21" s="389" t="s">
        <v>1833</v>
      </c>
      <c r="C21" s="1751"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427"/>
      <c r="Q21" s="1260" t="str">
        <f>B21</f>
        <v>交通便捷度</v>
      </c>
      <c r="R21" s="665" t="s">
        <v>14</v>
      </c>
      <c r="S21" s="666">
        <f>F21</f>
        <v>100</v>
      </c>
      <c r="T21" s="665" t="s">
        <v>14</v>
      </c>
      <c r="U21" s="666">
        <f>H21</f>
        <v>100</v>
      </c>
      <c r="V21" s="665" t="s">
        <v>14</v>
      </c>
      <c r="W21" s="666">
        <f>J21</f>
        <v>100</v>
      </c>
      <c r="X21" s="1262"/>
      <c r="Y21" s="3427"/>
      <c r="Z21" s="1261" t="str">
        <f>Q21</f>
        <v>交通便捷度</v>
      </c>
      <c r="AA21" s="1261">
        <f t="shared" si="3"/>
        <v>1</v>
      </c>
      <c r="AB21" s="1261">
        <f t="shared" si="4"/>
        <v>1</v>
      </c>
      <c r="AC21" s="1261">
        <f t="shared" si="5"/>
        <v>1</v>
      </c>
    </row>
    <row r="22" spans="1:29" ht="15">
      <c r="A22" s="366"/>
      <c r="B22" s="585"/>
      <c r="C22" s="385"/>
      <c r="D22" s="388"/>
      <c r="E22" s="1749"/>
      <c r="F22" s="386"/>
      <c r="G22" s="1749"/>
      <c r="H22" s="386"/>
      <c r="I22" s="1748"/>
      <c r="J22" s="386"/>
      <c r="K22" s="591"/>
      <c r="L22" s="2490"/>
      <c r="M22" s="2485"/>
      <c r="N22" s="2485"/>
      <c r="O22" s="2540"/>
      <c r="P22" s="3427"/>
      <c r="Q22" s="1260"/>
      <c r="R22" s="665"/>
      <c r="S22" s="666"/>
      <c r="T22" s="665"/>
      <c r="U22" s="666"/>
      <c r="V22" s="665"/>
      <c r="W22" s="666"/>
      <c r="X22" s="1262"/>
      <c r="Y22" s="3427"/>
      <c r="Z22" s="1261"/>
      <c r="AA22" s="1261">
        <v>1</v>
      </c>
      <c r="AB22" s="1261">
        <v>1</v>
      </c>
      <c r="AC22" s="1261">
        <v>1</v>
      </c>
    </row>
    <row r="23" spans="1:29" ht="15">
      <c r="A23" s="347"/>
      <c r="B23" s="389" t="s">
        <v>1871</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427"/>
      <c r="Q23" s="1260" t="str">
        <f t="shared" ref="Q23:Q37" si="8">B23</f>
        <v>区域土地利用方向</v>
      </c>
      <c r="R23" s="665" t="s">
        <v>14</v>
      </c>
      <c r="S23" s="666">
        <f>F23</f>
        <v>100</v>
      </c>
      <c r="T23" s="665" t="s">
        <v>14</v>
      </c>
      <c r="U23" s="666">
        <f>H23</f>
        <v>100</v>
      </c>
      <c r="V23" s="665" t="s">
        <v>14</v>
      </c>
      <c r="W23" s="666">
        <f>J23</f>
        <v>100</v>
      </c>
      <c r="X23" s="1262"/>
      <c r="Y23" s="3427"/>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6"/>
      <c r="L24" s="2490"/>
      <c r="M24" s="2485"/>
      <c r="N24" s="2485"/>
      <c r="O24" s="2540"/>
      <c r="P24" s="3427"/>
      <c r="Q24" s="1260"/>
      <c r="R24" s="665"/>
      <c r="S24" s="666"/>
      <c r="T24" s="665"/>
      <c r="U24" s="666"/>
      <c r="V24" s="665"/>
      <c r="W24" s="666"/>
      <c r="X24" s="1262"/>
      <c r="Y24" s="3427"/>
      <c r="Z24" s="1261"/>
      <c r="AA24" s="1261"/>
      <c r="AB24" s="1261"/>
      <c r="AC24" s="1261"/>
    </row>
    <row r="25" spans="1:29" ht="57">
      <c r="A25" s="347"/>
      <c r="B25" s="585" t="s">
        <v>1872</v>
      </c>
      <c r="C25" s="1803"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427"/>
      <c r="Q25" s="1260" t="str">
        <f t="shared" si="8"/>
        <v>自然及人文环境状况</v>
      </c>
      <c r="R25" s="665" t="s">
        <v>14</v>
      </c>
      <c r="S25" s="666">
        <f>F25</f>
        <v>100</v>
      </c>
      <c r="T25" s="665" t="s">
        <v>14</v>
      </c>
      <c r="U25" s="666">
        <f>H25</f>
        <v>100</v>
      </c>
      <c r="V25" s="665" t="s">
        <v>14</v>
      </c>
      <c r="W25" s="666">
        <f>J25</f>
        <v>100</v>
      </c>
      <c r="X25" s="1262"/>
      <c r="Y25" s="3427"/>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1"/>
      <c r="L26" s="2490"/>
      <c r="M26" s="2485"/>
      <c r="N26" s="2485"/>
      <c r="O26" s="2540"/>
      <c r="P26" s="3427"/>
      <c r="Q26" s="1260"/>
      <c r="R26" s="665"/>
      <c r="S26" s="666"/>
      <c r="T26" s="665"/>
      <c r="U26" s="666"/>
      <c r="V26" s="665"/>
      <c r="W26" s="666"/>
      <c r="X26" s="1262"/>
      <c r="Y26" s="3427"/>
      <c r="Z26" s="1261"/>
      <c r="AA26" s="1261">
        <v>1</v>
      </c>
      <c r="AB26" s="1261">
        <v>1</v>
      </c>
      <c r="AC26" s="1261">
        <v>1</v>
      </c>
    </row>
    <row r="27" spans="1:29" s="102" customFormat="1" ht="42.75">
      <c r="A27" s="442"/>
      <c r="B27" s="585" t="s">
        <v>1778</v>
      </c>
      <c r="C27" s="1751"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7"/>
      <c r="N27" s="2437"/>
      <c r="O27" s="2538"/>
      <c r="P27" s="3427"/>
      <c r="Q27" s="529" t="str">
        <f t="shared" si="8"/>
        <v>公共配套设施</v>
      </c>
      <c r="R27" s="662" t="s">
        <v>14</v>
      </c>
      <c r="S27" s="663">
        <f>F27</f>
        <v>100</v>
      </c>
      <c r="T27" s="662" t="s">
        <v>14</v>
      </c>
      <c r="U27" s="663">
        <f>H27</f>
        <v>100</v>
      </c>
      <c r="V27" s="662" t="s">
        <v>14</v>
      </c>
      <c r="W27" s="663">
        <f>J27</f>
        <v>100</v>
      </c>
      <c r="X27" s="664"/>
      <c r="Y27" s="3427"/>
      <c r="Z27" s="50" t="str">
        <f>Q27</f>
        <v>公共配套设施</v>
      </c>
      <c r="AA27" s="1261">
        <f>D27/F27</f>
        <v>1</v>
      </c>
      <c r="AB27" s="1261">
        <f>D27/H27</f>
        <v>1</v>
      </c>
      <c r="AC27" s="1261">
        <f>D27/J27</f>
        <v>1</v>
      </c>
    </row>
    <row r="28" spans="1:29" s="102" customFormat="1" ht="15">
      <c r="A28" s="442"/>
      <c r="B28" s="394"/>
      <c r="C28" s="1823"/>
      <c r="D28" s="386"/>
      <c r="E28" s="1755"/>
      <c r="F28" s="386"/>
      <c r="G28" s="1755"/>
      <c r="H28" s="386"/>
      <c r="I28" s="385"/>
      <c r="J28" s="386"/>
      <c r="K28" s="591"/>
      <c r="L28" s="2486"/>
      <c r="M28" s="2437"/>
      <c r="N28" s="2437"/>
      <c r="O28" s="2538"/>
      <c r="P28" s="3427"/>
      <c r="Q28" s="529"/>
      <c r="R28" s="662"/>
      <c r="S28" s="663"/>
      <c r="T28" s="662"/>
      <c r="U28" s="663"/>
      <c r="V28" s="662"/>
      <c r="W28" s="663"/>
      <c r="X28" s="664"/>
      <c r="Y28" s="3427"/>
      <c r="Z28" s="50"/>
      <c r="AA28" s="1261">
        <v>1</v>
      </c>
      <c r="AB28" s="1261">
        <v>1</v>
      </c>
      <c r="AC28" s="1261">
        <v>1</v>
      </c>
    </row>
    <row r="29" spans="1:29" s="102" customFormat="1" ht="28.5">
      <c r="A29" s="442"/>
      <c r="B29" s="585" t="s">
        <v>1779</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7"/>
      <c r="N29" s="2437"/>
      <c r="O29" s="2538"/>
      <c r="P29" s="3427"/>
      <c r="Q29" s="529" t="str">
        <f t="shared" ref="Q29" si="9">B29</f>
        <v>基础设施水平</v>
      </c>
      <c r="R29" s="662" t="s">
        <v>14</v>
      </c>
      <c r="S29" s="663">
        <f>F29</f>
        <v>100</v>
      </c>
      <c r="T29" s="662" t="s">
        <v>14</v>
      </c>
      <c r="U29" s="663">
        <f>H29</f>
        <v>100</v>
      </c>
      <c r="V29" s="662" t="s">
        <v>14</v>
      </c>
      <c r="W29" s="663">
        <f>J29</f>
        <v>100</v>
      </c>
      <c r="X29" s="664"/>
      <c r="Y29" s="3427"/>
      <c r="Z29" s="50" t="str">
        <f>Q29</f>
        <v>基础设施水平</v>
      </c>
      <c r="AA29" s="1261">
        <f>D29/F29</f>
        <v>1</v>
      </c>
      <c r="AB29" s="1261">
        <f>D29/H29</f>
        <v>1</v>
      </c>
      <c r="AC29" s="1261">
        <f>D29/J29</f>
        <v>1</v>
      </c>
    </row>
    <row r="30" spans="1:29" s="102" customFormat="1" ht="15">
      <c r="A30" s="442"/>
      <c r="B30" s="394"/>
      <c r="C30" s="1823"/>
      <c r="D30" s="386"/>
      <c r="E30" s="1824"/>
      <c r="F30" s="386"/>
      <c r="G30" s="1824"/>
      <c r="H30" s="386"/>
      <c r="I30" s="1824"/>
      <c r="J30" s="386"/>
      <c r="K30" s="591"/>
      <c r="L30" s="2486"/>
      <c r="M30" s="2437"/>
      <c r="N30" s="2437"/>
      <c r="O30" s="2538"/>
      <c r="P30" s="3427"/>
      <c r="Q30" s="529"/>
      <c r="R30" s="662"/>
      <c r="S30" s="663"/>
      <c r="T30" s="662"/>
      <c r="U30" s="663"/>
      <c r="V30" s="662"/>
      <c r="W30" s="663"/>
      <c r="X30" s="664"/>
      <c r="Y30" s="3427"/>
      <c r="Z30" s="50"/>
      <c r="AA30" s="1261">
        <v>1</v>
      </c>
      <c r="AB30" s="1261">
        <v>1</v>
      </c>
      <c r="AC30" s="1261">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427"/>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27"/>
      <c r="Z31" s="1261" t="str">
        <f t="shared" ref="Z31:Z45" si="13">Q31</f>
        <v>临街状况</v>
      </c>
      <c r="AA31" s="1261">
        <f t="shared" si="3"/>
        <v>1</v>
      </c>
      <c r="AB31" s="1261">
        <f t="shared" si="4"/>
        <v>1</v>
      </c>
      <c r="AC31" s="1261">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427"/>
      <c r="Q32" s="1260" t="str">
        <f t="shared" si="8"/>
        <v>毗邻道路的类型与等级</v>
      </c>
      <c r="R32" s="665" t="s">
        <v>14</v>
      </c>
      <c r="S32" s="666">
        <f t="shared" si="10"/>
        <v>100</v>
      </c>
      <c r="T32" s="665" t="s">
        <v>14</v>
      </c>
      <c r="U32" s="666">
        <f t="shared" si="11"/>
        <v>100</v>
      </c>
      <c r="V32" s="665" t="s">
        <v>14</v>
      </c>
      <c r="W32" s="666">
        <f t="shared" si="12"/>
        <v>100</v>
      </c>
      <c r="X32" s="1262"/>
      <c r="Y32" s="3427"/>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90"/>
      <c r="M33" s="2485"/>
      <c r="N33" s="2485"/>
      <c r="O33" s="2540"/>
      <c r="P33" s="3427"/>
      <c r="Q33" s="1260"/>
      <c r="R33" s="665"/>
      <c r="S33" s="666"/>
      <c r="T33" s="665"/>
      <c r="U33" s="666"/>
      <c r="V33" s="665"/>
      <c r="W33" s="666"/>
      <c r="X33" s="1262"/>
      <c r="Y33" s="3427"/>
      <c r="Z33" s="1261"/>
      <c r="AA33" s="1261">
        <v>1</v>
      </c>
      <c r="AB33" s="1261">
        <v>1</v>
      </c>
      <c r="AC33" s="1261">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427"/>
      <c r="Q34" s="1260" t="str">
        <f t="shared" si="8"/>
        <v>土地级别</v>
      </c>
      <c r="R34" s="665" t="s">
        <v>14</v>
      </c>
      <c r="S34" s="666">
        <f t="shared" si="10"/>
        <v>100</v>
      </c>
      <c r="T34" s="665" t="s">
        <v>14</v>
      </c>
      <c r="U34" s="666">
        <f t="shared" si="11"/>
        <v>100</v>
      </c>
      <c r="V34" s="665" t="s">
        <v>14</v>
      </c>
      <c r="W34" s="666">
        <f t="shared" si="12"/>
        <v>100</v>
      </c>
      <c r="X34" s="1262"/>
      <c r="Y34" s="3427"/>
      <c r="Z34" s="1261" t="str">
        <f t="shared" si="13"/>
        <v>土地级别</v>
      </c>
      <c r="AA34" s="1261">
        <f t="shared" si="3"/>
        <v>1</v>
      </c>
      <c r="AB34" s="1261">
        <f t="shared" si="4"/>
        <v>1</v>
      </c>
      <c r="AC34" s="1261">
        <f t="shared" si="5"/>
        <v>1</v>
      </c>
    </row>
    <row r="35" spans="1:29" ht="15">
      <c r="A35" s="347"/>
      <c r="B35" s="1064">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427"/>
      <c r="Q35" s="1260">
        <f t="shared" si="8"/>
        <v>111</v>
      </c>
      <c r="R35" s="665" t="s">
        <v>14</v>
      </c>
      <c r="S35" s="666">
        <f t="shared" si="10"/>
        <v>100</v>
      </c>
      <c r="T35" s="665" t="s">
        <v>14</v>
      </c>
      <c r="U35" s="666">
        <f t="shared" si="11"/>
        <v>100</v>
      </c>
      <c r="V35" s="665" t="s">
        <v>14</v>
      </c>
      <c r="W35" s="666">
        <f t="shared" si="12"/>
        <v>100</v>
      </c>
      <c r="X35" s="1262"/>
      <c r="Y35" s="3427"/>
      <c r="Z35" s="1261">
        <f t="shared" si="13"/>
        <v>111</v>
      </c>
      <c r="AA35" s="1261">
        <f t="shared" si="3"/>
        <v>1</v>
      </c>
      <c r="AB35" s="1261">
        <f t="shared" si="4"/>
        <v>1</v>
      </c>
      <c r="AC35" s="1261">
        <f t="shared" si="5"/>
        <v>1</v>
      </c>
    </row>
    <row r="36" spans="1:29" ht="15">
      <c r="A36" s="594"/>
      <c r="B36" s="1065">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81" t="s">
        <v>1696</v>
      </c>
      <c r="Q36" s="1260">
        <f t="shared" si="8"/>
        <v>111</v>
      </c>
      <c r="R36" s="665" t="s">
        <v>14</v>
      </c>
      <c r="S36" s="666">
        <f t="shared" si="10"/>
        <v>100</v>
      </c>
      <c r="T36" s="665" t="s">
        <v>14</v>
      </c>
      <c r="U36" s="666">
        <f t="shared" si="11"/>
        <v>100</v>
      </c>
      <c r="V36" s="665" t="s">
        <v>14</v>
      </c>
      <c r="W36" s="666">
        <f t="shared" si="12"/>
        <v>100</v>
      </c>
      <c r="X36" s="1262"/>
      <c r="Y36" s="3431" t="s">
        <v>1696</v>
      </c>
      <c r="Z36" s="1261">
        <f t="shared" si="13"/>
        <v>111</v>
      </c>
      <c r="AA36" s="1261">
        <f t="shared" si="3"/>
        <v>1</v>
      </c>
      <c r="AB36" s="1261">
        <f t="shared" si="4"/>
        <v>1</v>
      </c>
      <c r="AC36" s="1261">
        <f t="shared" si="5"/>
        <v>1</v>
      </c>
    </row>
    <row r="37" spans="1:29" s="407" customFormat="1" ht="15.75" thickBot="1">
      <c r="A37" s="595"/>
      <c r="B37" s="1066">
        <v>111</v>
      </c>
      <c r="C37" s="597"/>
      <c r="D37" s="120">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431"/>
      <c r="Q37" s="1260">
        <f t="shared" si="8"/>
        <v>111</v>
      </c>
      <c r="R37" s="667" t="s">
        <v>14</v>
      </c>
      <c r="S37" s="668">
        <f t="shared" si="10"/>
        <v>100</v>
      </c>
      <c r="T37" s="667" t="s">
        <v>14</v>
      </c>
      <c r="U37" s="668">
        <f t="shared" si="11"/>
        <v>100</v>
      </c>
      <c r="V37" s="667" t="s">
        <v>14</v>
      </c>
      <c r="W37" s="668">
        <f t="shared" si="12"/>
        <v>100</v>
      </c>
      <c r="X37" s="669"/>
      <c r="Y37" s="3431"/>
      <c r="Z37" s="670">
        <f t="shared" si="13"/>
        <v>111</v>
      </c>
      <c r="AA37" s="1261">
        <f t="shared" si="3"/>
        <v>1</v>
      </c>
      <c r="AB37" s="1261">
        <f t="shared" si="4"/>
        <v>1</v>
      </c>
      <c r="AC37" s="1261">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431"/>
      <c r="Q38" s="1260" t="str">
        <f>B38</f>
        <v>宗地面积</v>
      </c>
      <c r="R38" s="665" t="s">
        <v>14</v>
      </c>
      <c r="S38" s="666" t="e">
        <f t="shared" si="10"/>
        <v>#N/A</v>
      </c>
      <c r="T38" s="665" t="s">
        <v>14</v>
      </c>
      <c r="U38" s="666" t="e">
        <f t="shared" si="11"/>
        <v>#N/A</v>
      </c>
      <c r="V38" s="665" t="s">
        <v>14</v>
      </c>
      <c r="W38" s="666" t="e">
        <f t="shared" si="12"/>
        <v>#N/A</v>
      </c>
      <c r="X38" s="1262"/>
      <c r="Y38" s="3431"/>
      <c r="Z38" s="1261" t="str">
        <f t="shared" si="13"/>
        <v>宗地面积</v>
      </c>
      <c r="AA38" s="1261" t="e">
        <f t="shared" si="3"/>
        <v>#N/A</v>
      </c>
      <c r="AB38" s="1261" t="e">
        <f t="shared" si="4"/>
        <v>#N/A</v>
      </c>
      <c r="AC38" s="1261"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90"/>
      <c r="M39" s="2485"/>
      <c r="N39" s="2485"/>
      <c r="O39" s="2540"/>
      <c r="P39" s="3431"/>
      <c r="Q39" s="1260" t="str">
        <f t="shared" ref="Q39:Q45" si="14">B39</f>
        <v>宗地形状</v>
      </c>
      <c r="R39" s="665" t="s">
        <v>14</v>
      </c>
      <c r="S39" s="666">
        <f t="shared" si="10"/>
        <v>100</v>
      </c>
      <c r="T39" s="665" t="s">
        <v>14</v>
      </c>
      <c r="U39" s="666">
        <f t="shared" si="11"/>
        <v>100</v>
      </c>
      <c r="V39" s="665" t="s">
        <v>14</v>
      </c>
      <c r="W39" s="666">
        <f t="shared" si="12"/>
        <v>100</v>
      </c>
      <c r="X39" s="1262"/>
      <c r="Y39" s="3431"/>
      <c r="Z39" s="1261" t="str">
        <f t="shared" si="13"/>
        <v>宗地形状</v>
      </c>
      <c r="AA39" s="1261">
        <f t="shared" si="3"/>
        <v>1</v>
      </c>
      <c r="AB39" s="1261">
        <f t="shared" si="4"/>
        <v>1</v>
      </c>
      <c r="AC39" s="1261">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90"/>
      <c r="M40" s="2485"/>
      <c r="N40" s="2485"/>
      <c r="O40" s="2540"/>
      <c r="P40" s="3431"/>
      <c r="Q40" s="1260" t="str">
        <f t="shared" si="14"/>
        <v>临街宽度及深度</v>
      </c>
      <c r="R40" s="665" t="s">
        <v>14</v>
      </c>
      <c r="S40" s="666">
        <f t="shared" si="10"/>
        <v>100</v>
      </c>
      <c r="T40" s="665" t="s">
        <v>14</v>
      </c>
      <c r="U40" s="666">
        <f t="shared" si="11"/>
        <v>100</v>
      </c>
      <c r="V40" s="665" t="s">
        <v>14</v>
      </c>
      <c r="W40" s="666">
        <f t="shared" si="12"/>
        <v>100</v>
      </c>
      <c r="X40" s="1262"/>
      <c r="Y40" s="3431"/>
      <c r="Z40" s="1261" t="str">
        <f t="shared" si="13"/>
        <v>临街宽度及深度</v>
      </c>
      <c r="AA40" s="1261">
        <f t="shared" si="3"/>
        <v>1</v>
      </c>
      <c r="AB40" s="1261">
        <f t="shared" si="4"/>
        <v>1</v>
      </c>
      <c r="AC40" s="1261">
        <f t="shared" si="5"/>
        <v>1</v>
      </c>
    </row>
    <row r="41" spans="1:29" s="102" customFormat="1" ht="15">
      <c r="A41" s="409"/>
      <c r="B41" s="363" t="s">
        <v>1877</v>
      </c>
      <c r="C41" s="1825"/>
      <c r="D41" s="119">
        <v>100</v>
      </c>
      <c r="E41" s="1825"/>
      <c r="F41" s="373">
        <f>SUMIF(122:122,E41,123:123)-SUMIF(122:122,C41,123:123)+100</f>
        <v>100</v>
      </c>
      <c r="G41" s="1825"/>
      <c r="H41" s="373">
        <f>SUMIF(122:122,G41,123:123)-SUMIF(122:122,C41,123:123)+100</f>
        <v>100</v>
      </c>
      <c r="I41" s="1825"/>
      <c r="J41" s="373">
        <f>SUMIF(122:122,I41,123:123)-SUMIF(122:122,C41,123:123)+100</f>
        <v>100</v>
      </c>
      <c r="K41" s="537"/>
      <c r="L41" s="2486"/>
      <c r="M41" s="2437"/>
      <c r="N41" s="2437"/>
      <c r="O41" s="2538"/>
      <c r="P41" s="3431"/>
      <c r="Q41" s="1260" t="str">
        <f t="shared" si="14"/>
        <v>宗地开发程度</v>
      </c>
      <c r="R41" s="662" t="s">
        <v>14</v>
      </c>
      <c r="S41" s="663">
        <f t="shared" si="10"/>
        <v>100</v>
      </c>
      <c r="T41" s="662" t="s">
        <v>14</v>
      </c>
      <c r="U41" s="663">
        <f t="shared" si="11"/>
        <v>100</v>
      </c>
      <c r="V41" s="662" t="s">
        <v>14</v>
      </c>
      <c r="W41" s="663">
        <f t="shared" si="12"/>
        <v>100</v>
      </c>
      <c r="X41" s="664"/>
      <c r="Y41" s="3431"/>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90"/>
      <c r="M42" s="2485"/>
      <c r="N42" s="2485"/>
      <c r="O42" s="2540"/>
      <c r="P42" s="3431" t="s">
        <v>1696</v>
      </c>
      <c r="Q42" s="1260" t="str">
        <f t="shared" si="14"/>
        <v>工程地质条件</v>
      </c>
      <c r="R42" s="665" t="s">
        <v>14</v>
      </c>
      <c r="S42" s="666">
        <f t="shared" si="10"/>
        <v>100</v>
      </c>
      <c r="T42" s="665" t="s">
        <v>14</v>
      </c>
      <c r="U42" s="666">
        <f t="shared" si="11"/>
        <v>100</v>
      </c>
      <c r="V42" s="665" t="s">
        <v>14</v>
      </c>
      <c r="W42" s="666">
        <f t="shared" si="12"/>
        <v>100</v>
      </c>
      <c r="X42" s="1262"/>
      <c r="Y42" s="3431" t="s">
        <v>1696</v>
      </c>
      <c r="Z42" s="1261" t="str">
        <f t="shared" si="13"/>
        <v>工程地质条件</v>
      </c>
      <c r="AA42" s="1261">
        <f t="shared" si="3"/>
        <v>1</v>
      </c>
      <c r="AB42" s="1261">
        <f t="shared" si="4"/>
        <v>1</v>
      </c>
      <c r="AC42" s="1261">
        <f t="shared" si="5"/>
        <v>1</v>
      </c>
    </row>
    <row r="43" spans="1:29" ht="15">
      <c r="A43" s="408"/>
      <c r="B43" s="1065">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431"/>
      <c r="Q43" s="1260">
        <f t="shared" si="14"/>
        <v>111</v>
      </c>
      <c r="R43" s="665" t="s">
        <v>14</v>
      </c>
      <c r="S43" s="666">
        <f t="shared" si="10"/>
        <v>100</v>
      </c>
      <c r="T43" s="665" t="s">
        <v>14</v>
      </c>
      <c r="U43" s="666">
        <f t="shared" si="11"/>
        <v>100</v>
      </c>
      <c r="V43" s="665" t="s">
        <v>14</v>
      </c>
      <c r="W43" s="666">
        <f t="shared" si="12"/>
        <v>100</v>
      </c>
      <c r="X43" s="1262"/>
      <c r="Y43" s="3431"/>
      <c r="Z43" s="1261">
        <f t="shared" si="13"/>
        <v>111</v>
      </c>
      <c r="AA43" s="1261">
        <f t="shared" si="3"/>
        <v>1</v>
      </c>
      <c r="AB43" s="1261">
        <f t="shared" si="4"/>
        <v>1</v>
      </c>
      <c r="AC43" s="1261">
        <f t="shared" si="5"/>
        <v>1</v>
      </c>
    </row>
    <row r="44" spans="1:29" ht="15">
      <c r="A44" s="408"/>
      <c r="B44" s="1065">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431"/>
      <c r="Q44" s="1260">
        <f t="shared" si="14"/>
        <v>111</v>
      </c>
      <c r="R44" s="665" t="s">
        <v>14</v>
      </c>
      <c r="S44" s="666">
        <f t="shared" si="10"/>
        <v>100</v>
      </c>
      <c r="T44" s="665" t="s">
        <v>14</v>
      </c>
      <c r="U44" s="666">
        <f t="shared" si="11"/>
        <v>100</v>
      </c>
      <c r="V44" s="665" t="s">
        <v>14</v>
      </c>
      <c r="W44" s="666">
        <f t="shared" si="12"/>
        <v>100</v>
      </c>
      <c r="X44" s="1262"/>
      <c r="Y44" s="3431"/>
      <c r="Z44" s="1261">
        <f t="shared" si="13"/>
        <v>111</v>
      </c>
      <c r="AA44" s="1261">
        <f t="shared" si="3"/>
        <v>1</v>
      </c>
      <c r="AB44" s="1261">
        <f t="shared" si="4"/>
        <v>1</v>
      </c>
      <c r="AC44" s="1261">
        <f t="shared" si="5"/>
        <v>1</v>
      </c>
    </row>
    <row r="45" spans="1:29" s="407" customFormat="1" ht="15.75" thickBot="1">
      <c r="A45" s="405"/>
      <c r="B45" s="1065">
        <v>111</v>
      </c>
      <c r="C45" s="1826"/>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431"/>
      <c r="Q45" s="1260">
        <f t="shared" si="14"/>
        <v>111</v>
      </c>
      <c r="R45" s="667" t="s">
        <v>14</v>
      </c>
      <c r="S45" s="668">
        <f t="shared" si="10"/>
        <v>100</v>
      </c>
      <c r="T45" s="667" t="s">
        <v>14</v>
      </c>
      <c r="U45" s="668">
        <f t="shared" si="11"/>
        <v>100</v>
      </c>
      <c r="V45" s="667" t="s">
        <v>14</v>
      </c>
      <c r="W45" s="668">
        <f t="shared" si="12"/>
        <v>100</v>
      </c>
      <c r="X45" s="669"/>
      <c r="Y45" s="3431"/>
      <c r="Z45" s="670">
        <f t="shared" si="13"/>
        <v>111</v>
      </c>
      <c r="AA45" s="1261">
        <f t="shared" si="3"/>
        <v>1</v>
      </c>
      <c r="AB45" s="1261">
        <f t="shared" si="4"/>
        <v>1</v>
      </c>
      <c r="AC45" s="1261">
        <f t="shared" si="5"/>
        <v>1</v>
      </c>
    </row>
    <row r="46" spans="1:29" ht="15">
      <c r="A46" s="415" t="s">
        <v>1844</v>
      </c>
      <c r="B46" s="1827" t="s">
        <v>1879</v>
      </c>
      <c r="C46" s="601" t="s">
        <v>0</v>
      </c>
      <c r="D46" s="417"/>
      <c r="E46" s="418"/>
      <c r="F46" s="419"/>
      <c r="G46" s="420"/>
      <c r="H46" s="421"/>
      <c r="I46" s="418"/>
      <c r="J46" s="421"/>
      <c r="K46" s="672"/>
      <c r="L46" s="2492"/>
      <c r="M46" s="2485"/>
      <c r="N46" s="2485"/>
      <c r="O46" s="2485"/>
      <c r="P46" s="3424" t="str">
        <f>A46</f>
        <v>成交单价</v>
      </c>
      <c r="Q46" s="3424"/>
      <c r="R46" s="3425">
        <f>E46</f>
        <v>0</v>
      </c>
      <c r="S46" s="3425"/>
      <c r="T46" s="3425">
        <f>G46</f>
        <v>0</v>
      </c>
      <c r="U46" s="3425"/>
      <c r="V46" s="3425">
        <f>I46</f>
        <v>0</v>
      </c>
      <c r="W46" s="3425"/>
      <c r="X46" s="384"/>
      <c r="Y46" s="671"/>
      <c r="Z46" s="384"/>
      <c r="AA46" s="384"/>
      <c r="AB46" s="384"/>
      <c r="AC46" s="384"/>
    </row>
    <row r="47" spans="1:29" ht="15.75" thickBot="1">
      <c r="A47" s="422" t="s">
        <v>1793</v>
      </c>
      <c r="B47" s="602"/>
      <c r="C47" s="425" t="e">
        <f>R48</f>
        <v>#DIV/0!</v>
      </c>
      <c r="D47" s="2138" t="s">
        <v>2138</v>
      </c>
      <c r="E47" s="425" t="e">
        <f>R47</f>
        <v>#DIV/0!</v>
      </c>
      <c r="F47" s="2139"/>
      <c r="G47" s="424" t="e">
        <f>T47</f>
        <v>#DIV/0!</v>
      </c>
      <c r="H47" s="2139"/>
      <c r="I47" s="425" t="e">
        <f>V47</f>
        <v>#DIV/0!</v>
      </c>
      <c r="J47" s="2139"/>
      <c r="K47" s="2141">
        <f>F47+H47+J47</f>
        <v>0</v>
      </c>
      <c r="L47" s="2492"/>
      <c r="M47" s="2485"/>
      <c r="N47" s="2485"/>
      <c r="O47" s="2485"/>
      <c r="P47" s="3424" t="str">
        <f>A47</f>
        <v>比较价值（元/平方米）</v>
      </c>
      <c r="Q47" s="3424"/>
      <c r="R47" s="3483" t="e">
        <f>ROUND(PRODUCT(R46,AA7:AA45),0)</f>
        <v>#DIV/0!</v>
      </c>
      <c r="S47" s="3483"/>
      <c r="T47" s="3483" t="e">
        <f>ROUND(PRODUCT(T46,AB7:AB45),0)</f>
        <v>#DIV/0!</v>
      </c>
      <c r="U47" s="3483"/>
      <c r="V47" s="3483" t="e">
        <f>ROUND(PRODUCT(V46,AC7:AC45),0)</f>
        <v>#DIV/0!</v>
      </c>
      <c r="W47" s="3483"/>
      <c r="X47" s="384"/>
      <c r="Y47" s="384"/>
      <c r="Z47" s="384"/>
      <c r="AA47" s="384"/>
      <c r="AB47" s="384"/>
      <c r="AC47" s="384"/>
    </row>
    <row r="48" spans="1:29" ht="15.75" thickBot="1">
      <c r="A48" s="426" t="s">
        <v>1880</v>
      </c>
      <c r="B48" s="427"/>
      <c r="C48" s="428" t="e">
        <f>R48</f>
        <v>#DIV/0!</v>
      </c>
      <c r="D48" s="428"/>
      <c r="E48" s="428"/>
      <c r="F48" s="428"/>
      <c r="G48" s="428"/>
      <c r="H48" s="428"/>
      <c r="I48" s="428"/>
      <c r="J48" s="428"/>
      <c r="K48" s="673"/>
      <c r="L48" s="2492"/>
      <c r="M48" s="2485"/>
      <c r="N48" s="2485"/>
      <c r="O48" s="2485"/>
      <c r="P48" s="3421" t="str">
        <f>A48</f>
        <v>估价对象XX用房的比较价值（楼面单价，元/平方米）</v>
      </c>
      <c r="Q48" s="3422"/>
      <c r="R48" s="3484" t="e">
        <f>ROUND(IF(D47="简单平均",AVERAGE(R47:W47),R47*F47+T47*H47+V47*J47),0)</f>
        <v>#DIV/0!</v>
      </c>
      <c r="S48" s="3484"/>
      <c r="T48" s="3484"/>
      <c r="U48" s="3484"/>
      <c r="V48" s="3484"/>
      <c r="W48" s="3484"/>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5" thickBot="1">
      <c r="A54" s="2495"/>
      <c r="B54" s="2498"/>
      <c r="C54" s="655"/>
      <c r="D54" s="653"/>
      <c r="E54" s="653"/>
      <c r="F54" s="653"/>
      <c r="G54" s="653"/>
      <c r="H54" s="653"/>
      <c r="I54" s="653"/>
      <c r="J54" s="653"/>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28" t="s">
        <v>1883</v>
      </c>
      <c r="D55" s="1829" t="s">
        <v>1884</v>
      </c>
      <c r="E55" s="605" t="s">
        <v>1885</v>
      </c>
      <c r="F55" s="835" t="s">
        <v>1886</v>
      </c>
      <c r="G55" s="3439" t="s">
        <v>1887</v>
      </c>
      <c r="H55" s="3485"/>
      <c r="I55" s="127"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8">
        <v>1</v>
      </c>
      <c r="E56" s="609">
        <f>'数据-汇总表'!E8+'数据-汇总表'!E9</f>
        <v>28321.48</v>
      </c>
      <c r="F56" s="831" t="e">
        <f t="shared" ref="F56:F64" si="15">ROUND(B56*E56/10000,0)</f>
        <v>#DIV/0!</v>
      </c>
      <c r="G56" s="3435"/>
      <c r="H56" s="3424"/>
      <c r="I56" s="836">
        <v>1</v>
      </c>
      <c r="J56" s="839">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v>
      </c>
      <c r="D57" s="889">
        <v>0.25</v>
      </c>
      <c r="E57" s="613"/>
      <c r="F57" s="831" t="e">
        <f t="shared" si="15"/>
        <v>#DIV/0!</v>
      </c>
      <c r="G57" s="2748" t="s">
        <v>1892</v>
      </c>
      <c r="H57" s="832">
        <f>项目基本情况!B37</f>
        <v>0</v>
      </c>
      <c r="I57" s="836">
        <f>SUMIF(修正!A57:A68,H57,修正!B57:B68)</f>
        <v>0</v>
      </c>
      <c r="J57" s="840"/>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v>
      </c>
      <c r="D58" s="889">
        <v>0.25</v>
      </c>
      <c r="E58" s="613"/>
      <c r="F58" s="831" t="e">
        <f t="shared" si="15"/>
        <v>#DIV/0!</v>
      </c>
      <c r="G58" s="2749"/>
      <c r="H58" s="832">
        <f>项目基本情况!B37</f>
        <v>0</v>
      </c>
      <c r="I58" s="836">
        <f>SUMIF(修正!A57:A68,H58,修正!C57:C68)</f>
        <v>0</v>
      </c>
      <c r="J58" s="840"/>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v>
      </c>
      <c r="D59" s="889">
        <v>0.25</v>
      </c>
      <c r="E59" s="613"/>
      <c r="F59" s="831" t="e">
        <f t="shared" si="15"/>
        <v>#DIV/0!</v>
      </c>
      <c r="G59" s="2749"/>
      <c r="H59" s="832">
        <f>项目基本情况!B37</f>
        <v>0</v>
      </c>
      <c r="I59" s="836">
        <f>SUMIF(修正!A57:A68,H59,修正!D57:D68)</f>
        <v>0</v>
      </c>
      <c r="J59" s="840"/>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v>
      </c>
      <c r="D60" s="889">
        <v>0.25</v>
      </c>
      <c r="E60" s="208">
        <f>'数据-汇总表'!E11</f>
        <v>0</v>
      </c>
      <c r="F60" s="831" t="e">
        <f t="shared" si="15"/>
        <v>#DIV/0!</v>
      </c>
      <c r="G60" s="1832" t="s">
        <v>1896</v>
      </c>
      <c r="H60" s="832">
        <f>项目基本情况!C37</f>
        <v>0</v>
      </c>
      <c r="I60" s="836">
        <f>SUMIF(修正!A57:A68,H60,修正!E57:E68)</f>
        <v>0</v>
      </c>
      <c r="J60" s="840"/>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v>
      </c>
      <c r="D61" s="889">
        <v>0.25</v>
      </c>
      <c r="E61" s="208">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89">
        <v>0.25</v>
      </c>
      <c r="E62" s="208">
        <f>'数据-汇总表'!E13</f>
        <v>19473.41</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v>
      </c>
      <c r="D63" s="889">
        <v>0.25</v>
      </c>
      <c r="E63" s="208">
        <f>'数据-汇总表'!E14</f>
        <v>0</v>
      </c>
      <c r="F63" s="831" t="e">
        <f t="shared" si="15"/>
        <v>#DIV/0!</v>
      </c>
      <c r="G63" s="1832" t="s">
        <v>1892</v>
      </c>
      <c r="H63" s="832">
        <f>项目基本情况!B37</f>
        <v>0</v>
      </c>
      <c r="I63" s="836">
        <f>SUMIF(修正!A57:A68,H63,修正!G57:G68)</f>
        <v>0</v>
      </c>
      <c r="J63" s="840"/>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5" thickBot="1">
      <c r="A64" s="612" t="s">
        <v>1902</v>
      </c>
      <c r="B64" s="209" t="e">
        <f t="shared" si="17"/>
        <v>#DIV/0!</v>
      </c>
      <c r="C64" s="162">
        <f t="shared" si="16"/>
        <v>0</v>
      </c>
      <c r="D64" s="889">
        <v>0.25</v>
      </c>
      <c r="E64" s="208">
        <f>'数据-汇总表'!E15</f>
        <v>0</v>
      </c>
      <c r="F64" s="831" t="e">
        <f t="shared" si="15"/>
        <v>#DIV/0!</v>
      </c>
      <c r="G64" s="1833" t="s">
        <v>1896</v>
      </c>
      <c r="H64" s="842">
        <f>项目基本情况!C37</f>
        <v>0</v>
      </c>
      <c r="I64" s="838">
        <f>SUMIF(修正!A57:A68,H64,修正!G57:G68)</f>
        <v>0</v>
      </c>
      <c r="J64" s="841"/>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ht="13.5" thickBot="1">
      <c r="A65" s="614" t="s">
        <v>1903</v>
      </c>
      <c r="B65" s="615" t="s">
        <v>22</v>
      </c>
      <c r="C65" s="615" t="s">
        <v>23</v>
      </c>
      <c r="D65" s="615" t="s">
        <v>392</v>
      </c>
      <c r="E65" s="615">
        <f>IF(B46="楼面地价",SUM(E56:E64),'数据-汇总表'!D3)</f>
        <v>47794.89</v>
      </c>
      <c r="F65" s="616" t="e">
        <f>IF(B46="楼面地价",SUM(F56:F64),ROUND(C48*E65/10000,0))</f>
        <v>#DIV/0!</v>
      </c>
      <c r="G65" s="675"/>
      <c r="H65" s="675"/>
      <c r="I65" s="675"/>
      <c r="J65" s="675"/>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4"/>
      <c r="C66" s="655"/>
      <c r="D66" s="384"/>
      <c r="E66" s="384"/>
      <c r="F66" s="384"/>
      <c r="G66" s="384"/>
      <c r="H66" s="384"/>
      <c r="I66" s="384"/>
      <c r="J66" s="859"/>
      <c r="K66" s="833"/>
      <c r="L66" s="834"/>
      <c r="M66" s="859"/>
      <c r="N66" s="859"/>
      <c r="O66" s="859"/>
      <c r="P66" s="2485"/>
      <c r="Q66" s="2485"/>
      <c r="R66" s="2485"/>
      <c r="S66" s="2485"/>
      <c r="T66" s="2485"/>
      <c r="U66" s="2485"/>
      <c r="V66" s="2485"/>
      <c r="W66" s="2485"/>
      <c r="X66" s="2485"/>
      <c r="Y66" s="2485"/>
      <c r="Z66" s="2485"/>
      <c r="AA66" s="2485"/>
      <c r="AB66" s="2485"/>
      <c r="AC66" s="2485"/>
    </row>
    <row r="67" spans="1:29">
      <c r="A67" s="384"/>
      <c r="B67" s="654"/>
      <c r="C67" s="654" t="str">
        <f>YEAR(C7)&amp;"-"&amp;MONTH(C7)&amp;"-1"</f>
        <v>2024-11-1</v>
      </c>
      <c r="D67" s="654">
        <f>EDATE(C67,-3)</f>
        <v>45505</v>
      </c>
      <c r="E67" s="654">
        <f>EDATE(D67,-3)</f>
        <v>45413</v>
      </c>
      <c r="F67" s="654">
        <f t="shared" ref="F67:O67" si="18">EDATE(E67,-3)</f>
        <v>45323</v>
      </c>
      <c r="G67" s="654">
        <f t="shared" si="18"/>
        <v>45231</v>
      </c>
      <c r="H67" s="654">
        <f t="shared" si="18"/>
        <v>45139</v>
      </c>
      <c r="I67" s="654">
        <f t="shared" si="18"/>
        <v>45047</v>
      </c>
      <c r="J67" s="654">
        <f t="shared" si="18"/>
        <v>44958</v>
      </c>
      <c r="K67" s="654">
        <f t="shared" si="18"/>
        <v>44866</v>
      </c>
      <c r="L67" s="654">
        <f t="shared" si="18"/>
        <v>44774</v>
      </c>
      <c r="M67" s="654">
        <f t="shared" si="18"/>
        <v>44682</v>
      </c>
      <c r="N67" s="654">
        <f t="shared" si="18"/>
        <v>44593</v>
      </c>
      <c r="O67" s="654">
        <f t="shared" si="18"/>
        <v>44501</v>
      </c>
      <c r="P67" s="2485"/>
      <c r="Q67" s="2485"/>
      <c r="R67" s="2485"/>
      <c r="S67" s="2485"/>
      <c r="T67" s="2485"/>
      <c r="U67" s="2485"/>
      <c r="V67" s="2485"/>
      <c r="W67" s="2485"/>
      <c r="X67" s="2485"/>
      <c r="Y67" s="2485"/>
      <c r="Z67" s="2485"/>
      <c r="AA67" s="2485"/>
      <c r="AB67" s="2485"/>
      <c r="AC67" s="2485"/>
    </row>
    <row r="68" spans="1:29" ht="21.75" thickBot="1">
      <c r="A68" s="656" t="s">
        <v>1798</v>
      </c>
      <c r="B68" s="384"/>
      <c r="C68" s="657"/>
      <c r="D68" s="657"/>
      <c r="E68" s="657"/>
      <c r="F68" s="658"/>
      <c r="G68" s="658"/>
      <c r="H68" s="657"/>
      <c r="I68" s="657"/>
      <c r="J68" s="884"/>
      <c r="K68" s="885"/>
      <c r="L68" s="886"/>
      <c r="M68" s="884"/>
      <c r="N68" s="2535"/>
      <c r="O68" s="2535"/>
      <c r="P68" s="2535"/>
      <c r="Q68" s="2506"/>
      <c r="R68" s="2485"/>
      <c r="S68" s="2485"/>
      <c r="T68" s="2485"/>
      <c r="U68" s="2485"/>
      <c r="V68" s="2485"/>
      <c r="W68" s="2485"/>
      <c r="X68" s="2485"/>
      <c r="Y68" s="2485"/>
      <c r="Z68" s="2485"/>
      <c r="AA68" s="2485"/>
      <c r="AB68" s="2485"/>
      <c r="AC68" s="2485"/>
    </row>
    <row r="69" spans="1:29" s="441" customFormat="1" ht="15">
      <c r="A69" s="1627" t="s">
        <v>1904</v>
      </c>
      <c r="B69" s="1044"/>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4"/>
      <c r="N70" s="6"/>
      <c r="O70" s="1095"/>
      <c r="P70" s="2506"/>
      <c r="Q70" s="2437"/>
      <c r="R70" s="2437"/>
      <c r="S70" s="2437"/>
      <c r="T70" s="2437"/>
      <c r="U70" s="2437"/>
      <c r="V70" s="2437"/>
      <c r="W70" s="2437"/>
      <c r="X70" s="2437"/>
      <c r="Y70" s="2437"/>
      <c r="Z70" s="2437"/>
      <c r="AA70" s="2437"/>
      <c r="AB70" s="2437"/>
      <c r="AC70" s="2437"/>
    </row>
    <row r="71" spans="1:29" s="102" customFormat="1" ht="15.75" thickBot="1">
      <c r="A71" s="448" t="s">
        <v>1716</v>
      </c>
      <c r="B71" s="449"/>
      <c r="C71" s="450"/>
      <c r="D71" s="451"/>
      <c r="E71" s="451"/>
      <c r="F71" s="451"/>
      <c r="G71" s="451"/>
      <c r="H71" s="451"/>
      <c r="I71" s="451"/>
      <c r="J71" s="451"/>
      <c r="K71" s="451"/>
      <c r="L71" s="451"/>
      <c r="M71" s="452"/>
      <c r="N71" s="451"/>
      <c r="O71" s="887"/>
      <c r="P71" s="2506"/>
      <c r="Q71" s="2506"/>
      <c r="R71" s="2437"/>
      <c r="S71" s="2437"/>
      <c r="T71" s="2437"/>
      <c r="U71" s="2437"/>
      <c r="V71" s="2437"/>
      <c r="W71" s="2437"/>
      <c r="X71" s="2437"/>
      <c r="Y71" s="2437"/>
      <c r="Z71" s="2437"/>
      <c r="AA71" s="2437"/>
      <c r="AB71" s="2437"/>
      <c r="AC71" s="2437"/>
    </row>
    <row r="72" spans="1:29" s="102" customFormat="1" ht="15">
      <c r="A72" s="454" t="s">
        <v>1681</v>
      </c>
      <c r="B72" s="443"/>
      <c r="C72" s="455" t="s">
        <v>1776</v>
      </c>
      <c r="D72" s="31"/>
      <c r="E72" s="31"/>
      <c r="F72" s="31"/>
      <c r="G72" s="31"/>
      <c r="H72" s="31"/>
      <c r="I72" s="31"/>
      <c r="J72" s="31"/>
      <c r="K72" s="31"/>
      <c r="L72" s="456"/>
      <c r="M72" s="457"/>
      <c r="N72" s="2518"/>
      <c r="O72" s="2518"/>
      <c r="P72" s="2542"/>
      <c r="Q72" s="2506"/>
      <c r="R72" s="2437"/>
      <c r="S72" s="2437"/>
      <c r="T72" s="2437"/>
      <c r="U72" s="2437"/>
      <c r="V72" s="2437"/>
      <c r="W72" s="2437"/>
      <c r="X72" s="2437"/>
      <c r="Y72" s="2437"/>
      <c r="Z72" s="2437"/>
      <c r="AA72" s="2437"/>
      <c r="AB72" s="2437"/>
      <c r="AC72" s="2437"/>
    </row>
    <row r="73" spans="1:29" s="102" customFormat="1" ht="15.75" thickBot="1">
      <c r="A73" s="454"/>
      <c r="B73" s="443"/>
      <c r="C73" s="562">
        <v>100</v>
      </c>
      <c r="D73" s="445"/>
      <c r="E73" s="445"/>
      <c r="F73" s="445"/>
      <c r="G73" s="445"/>
      <c r="H73" s="445"/>
      <c r="I73" s="445"/>
      <c r="J73" s="445"/>
      <c r="K73" s="445"/>
      <c r="L73" s="445"/>
      <c r="M73" s="447"/>
      <c r="N73" s="2518"/>
      <c r="O73" s="2518"/>
      <c r="P73" s="2506"/>
      <c r="Q73" s="2506"/>
      <c r="R73" s="2437"/>
      <c r="S73" s="2437"/>
      <c r="T73" s="2437"/>
      <c r="U73" s="2437"/>
      <c r="V73" s="2437"/>
      <c r="W73" s="2437"/>
      <c r="X73" s="2437"/>
      <c r="Y73" s="2437"/>
      <c r="Z73" s="2437"/>
      <c r="AA73" s="2437"/>
      <c r="AB73" s="2437"/>
      <c r="AC73" s="2437"/>
    </row>
    <row r="74" spans="1:29">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5.75"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7.75"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5.75"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5.75"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5.75"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5.75"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5.75"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5.75"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5.75"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7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7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7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2" customFormat="1" ht="15.75"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7"/>
      <c r="S95" s="2437"/>
      <c r="T95" s="2437"/>
      <c r="U95" s="2437"/>
      <c r="V95" s="2437"/>
      <c r="W95" s="2437"/>
      <c r="X95" s="2437"/>
      <c r="Y95" s="2437"/>
      <c r="Z95" s="2437"/>
      <c r="AA95" s="2437"/>
      <c r="AB95" s="2437"/>
      <c r="AC95" s="2437"/>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7"/>
      <c r="S96" s="2437"/>
      <c r="T96" s="2437"/>
      <c r="U96" s="2437"/>
      <c r="V96" s="2437"/>
      <c r="W96" s="2437"/>
      <c r="X96" s="2437"/>
      <c r="Y96" s="2437"/>
      <c r="Z96" s="2437"/>
      <c r="AA96" s="2437"/>
      <c r="AB96" s="2437"/>
      <c r="AC96" s="2437"/>
    </row>
    <row r="97" spans="1:29" s="102" customFormat="1" ht="27.75"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7"/>
      <c r="S97" s="2437"/>
      <c r="T97" s="2437"/>
      <c r="U97" s="2437"/>
      <c r="V97" s="2437"/>
      <c r="W97" s="2437"/>
      <c r="X97" s="2437"/>
      <c r="Y97" s="2437"/>
      <c r="Z97" s="2437"/>
      <c r="AA97" s="2437"/>
      <c r="AB97" s="2437"/>
      <c r="AC97" s="2437"/>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7"/>
      <c r="S98" s="2437"/>
      <c r="T98" s="2437"/>
      <c r="U98" s="2437"/>
      <c r="V98" s="2437"/>
      <c r="W98" s="2437"/>
      <c r="X98" s="2437"/>
      <c r="Y98" s="2437"/>
      <c r="Z98" s="2437"/>
      <c r="AA98" s="2437"/>
      <c r="AB98" s="2437"/>
      <c r="AC98" s="2437"/>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3"/>
      <c r="N101" s="2521"/>
      <c r="O101" s="2521"/>
      <c r="P101" s="2521"/>
      <c r="Q101" s="2513"/>
      <c r="R101" s="2491"/>
      <c r="S101" s="2491"/>
      <c r="T101" s="2491"/>
      <c r="U101" s="2491"/>
      <c r="V101" s="2491"/>
      <c r="W101" s="2491"/>
      <c r="X101" s="2491"/>
      <c r="Y101" s="2491"/>
      <c r="Z101" s="2491"/>
      <c r="AA101" s="2491"/>
      <c r="AB101" s="2491"/>
      <c r="AC101" s="2491"/>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3"/>
      <c r="N102" s="2521"/>
      <c r="O102" s="2521"/>
      <c r="P102" s="2521"/>
      <c r="Q102" s="2513"/>
      <c r="R102" s="2491"/>
      <c r="S102" s="2491"/>
      <c r="T102" s="2491"/>
      <c r="U102" s="2491"/>
      <c r="V102" s="2491"/>
      <c r="W102" s="2491"/>
      <c r="X102" s="2491"/>
      <c r="Y102" s="2491"/>
      <c r="Z102" s="2491"/>
      <c r="AA102" s="2491"/>
      <c r="AB102" s="2491"/>
      <c r="AC102" s="2491"/>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5.75"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5"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5.75"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5"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5.75"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5.75"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5.75"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5"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5.75"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5"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5.75"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7"/>
      <c r="B1" s="927" t="s">
        <v>2083</v>
      </c>
      <c r="C1" s="3489" t="s">
        <v>2084</v>
      </c>
      <c r="D1" s="3490"/>
      <c r="E1" s="3490"/>
      <c r="F1" s="3490"/>
      <c r="G1" s="3490"/>
      <c r="H1" s="3490"/>
      <c r="I1" s="3490"/>
      <c r="J1" s="3490"/>
      <c r="K1" s="3490"/>
      <c r="L1" s="3490"/>
      <c r="M1" s="3490"/>
      <c r="N1" s="3490"/>
      <c r="O1" s="3490"/>
      <c r="P1" s="3490"/>
      <c r="Q1" s="3490"/>
      <c r="R1" s="3490"/>
      <c r="S1" s="3491"/>
      <c r="T1" s="927" t="s">
        <v>2085</v>
      </c>
    </row>
    <row r="2" spans="1:45" s="624" customFormat="1">
      <c r="A2" s="928"/>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9" t="str">
        <f>S3&amp;"(含)"&amp;"-"</f>
        <v>(含)-</v>
      </c>
      <c r="T2" s="62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9" customFormat="1">
      <c r="A3" s="930"/>
      <c r="B3" s="625"/>
      <c r="C3" s="626"/>
      <c r="D3" s="627"/>
      <c r="E3" s="627"/>
      <c r="F3" s="1217"/>
      <c r="G3" s="1217"/>
      <c r="H3" s="1217"/>
      <c r="I3" s="1217"/>
      <c r="J3" s="1217"/>
      <c r="K3" s="1217"/>
      <c r="L3" s="1218"/>
      <c r="M3" s="1219"/>
      <c r="N3" s="1219"/>
      <c r="O3" s="1217"/>
      <c r="P3" s="1217"/>
      <c r="Q3" s="1217"/>
      <c r="R3" s="1217"/>
      <c r="S3" s="1220"/>
      <c r="T3" s="628"/>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9"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2087</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2088</v>
      </c>
      <c r="C7" s="849"/>
      <c r="D7" s="843"/>
      <c r="E7" s="843"/>
      <c r="F7" s="1229"/>
      <c r="G7" s="1229"/>
      <c r="H7" s="1229"/>
      <c r="I7" s="1229"/>
      <c r="J7" s="1229"/>
      <c r="K7" s="1229"/>
      <c r="L7" s="1229"/>
      <c r="M7" s="1230"/>
      <c r="N7" s="1231"/>
      <c r="O7" s="1232"/>
      <c r="P7" s="1232"/>
      <c r="Q7" s="1233"/>
      <c r="R7" s="1234"/>
      <c r="S7" s="1235"/>
      <c r="T7" s="630"/>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2089</v>
      </c>
      <c r="C9" s="849"/>
      <c r="D9" s="843"/>
      <c r="E9" s="843"/>
      <c r="F9" s="1229"/>
      <c r="G9" s="1229"/>
      <c r="H9" s="1229"/>
      <c r="I9" s="1229"/>
      <c r="J9" s="1229"/>
      <c r="K9" s="1229"/>
      <c r="L9" s="1236"/>
      <c r="M9" s="1230"/>
      <c r="N9" s="1231"/>
      <c r="O9" s="1232"/>
      <c r="P9" s="1232"/>
      <c r="Q9" s="1233"/>
      <c r="R9" s="1234"/>
      <c r="S9" s="1235"/>
      <c r="T9" s="630"/>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4"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4"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1"/>
      <c r="B19" s="150"/>
      <c r="C19" s="150"/>
      <c r="D19" s="1985" t="s">
        <v>2095</v>
      </c>
      <c r="E19" s="1250"/>
      <c r="F19" s="1250"/>
      <c r="G19" s="1250"/>
      <c r="H19" s="994"/>
      <c r="I19" s="150"/>
      <c r="J19" s="150"/>
      <c r="K19" s="150"/>
      <c r="L19" s="150"/>
      <c r="M19" s="150"/>
      <c r="N19" s="150"/>
      <c r="O19" s="150"/>
      <c r="P19" s="150"/>
      <c r="Q19" s="150"/>
      <c r="R19" s="150"/>
      <c r="S19" s="121"/>
    </row>
    <row r="20" spans="1:45" ht="16.5" thickBot="1">
      <c r="A20" s="631" t="s">
        <v>2096</v>
      </c>
      <c r="B20" s="285" t="e">
        <f ca="1">IF(D20="——",S22,S22-F20)</f>
        <v>#REF!</v>
      </c>
      <c r="C20" s="150"/>
      <c r="D20" s="1986"/>
      <c r="E20" s="1251"/>
      <c r="F20" s="927" t="e">
        <f ca="1">SUMIF(INDIRECT("'"&amp;H20&amp;"'"&amp;"!A:A"),"承租人权益价值",INDIRECT("'"&amp;H20&amp;"'"&amp;"!c:c"))</f>
        <v>#REF!</v>
      </c>
      <c r="G20" s="927" t="s">
        <v>2097</v>
      </c>
      <c r="H20" s="1987"/>
      <c r="I20" s="150"/>
      <c r="J20" s="150"/>
      <c r="K20" s="150"/>
      <c r="L20" s="150"/>
      <c r="M20" s="150"/>
      <c r="N20" s="150"/>
      <c r="O20" s="150"/>
      <c r="P20" s="150"/>
      <c r="Q20" s="150"/>
      <c r="R20" s="150"/>
      <c r="S20" s="121"/>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1"/>
    </row>
    <row r="22" spans="1:45">
      <c r="A22" s="307" t="s">
        <v>2099</v>
      </c>
      <c r="B22" s="21">
        <f>SUM(B24:B10000)</f>
        <v>0</v>
      </c>
      <c r="C22" s="3486" t="s">
        <v>27</v>
      </c>
      <c r="D22" s="3487"/>
      <c r="E22" s="3487"/>
      <c r="F22" s="3487"/>
      <c r="G22" s="3487"/>
      <c r="H22" s="3487"/>
      <c r="I22" s="3487"/>
      <c r="J22" s="3487"/>
      <c r="K22" s="3487"/>
      <c r="L22" s="3487"/>
      <c r="M22" s="3487"/>
      <c r="N22" s="3487"/>
      <c r="O22" s="3487"/>
      <c r="P22" s="3487"/>
      <c r="Q22" s="348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5" customFormat="1">
      <c r="A24" s="632" t="s">
        <v>2105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2081</v>
      </c>
      <c r="B1" s="4"/>
      <c r="C1" s="4"/>
      <c r="D1" s="4"/>
      <c r="E1" s="4"/>
      <c r="F1" s="2542"/>
      <c r="G1" s="2542"/>
      <c r="H1" s="2542"/>
      <c r="I1" s="2542"/>
      <c r="J1" s="2542"/>
      <c r="K1" s="2542"/>
      <c r="L1" s="2542"/>
      <c r="M1" s="2542"/>
      <c r="N1" s="2542"/>
      <c r="O1" s="2542"/>
      <c r="P1" s="2542"/>
    </row>
    <row r="2" spans="1:16" ht="15.75">
      <c r="A2" s="1981" t="s">
        <v>2073</v>
      </c>
      <c r="B2" s="2385">
        <f ca="1">SUMIF(B6:B13,"&lt;&gt;#ref!",B6:B13)</f>
        <v>4769</v>
      </c>
      <c r="C2" s="1981" t="s">
        <v>2074</v>
      </c>
      <c r="D2" s="1981" t="s">
        <v>2075</v>
      </c>
      <c r="E2" s="2395">
        <f ca="1">SUMIF(E6:E13,"&lt;&gt;#ref!",E6:E13)</f>
        <v>47794.89</v>
      </c>
      <c r="F2" s="2542"/>
      <c r="G2" s="2542"/>
      <c r="H2" s="2542"/>
      <c r="I2" s="2542"/>
      <c r="J2" s="2542"/>
      <c r="K2" s="2542"/>
      <c r="L2" s="2542"/>
      <c r="M2" s="2542"/>
      <c r="N2" s="2542"/>
      <c r="O2" s="2542"/>
      <c r="P2" s="2542"/>
    </row>
    <row r="3" spans="1:16" ht="15.75">
      <c r="A3" s="1981" t="s">
        <v>2076</v>
      </c>
      <c r="B3" s="2385">
        <f ca="1">ROUND(B2*10000/E2,0)</f>
        <v>998</v>
      </c>
      <c r="C3" s="1981"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2"/>
      <c r="D5" s="2542"/>
      <c r="E5" s="2394" t="s">
        <v>2079</v>
      </c>
      <c r="F5" s="2542"/>
      <c r="G5" s="2542"/>
      <c r="H5" s="2542"/>
      <c r="I5" s="2542"/>
      <c r="J5" s="2542"/>
      <c r="K5" s="2542"/>
      <c r="L5" s="2542"/>
      <c r="M5" s="2542"/>
      <c r="N5" s="2542"/>
      <c r="O5" s="2542"/>
      <c r="P5" s="2542"/>
    </row>
    <row r="6" spans="1:16" ht="15.75">
      <c r="A6" s="2392" t="s">
        <v>2080</v>
      </c>
      <c r="B6" s="2385">
        <f ca="1">SUMIF(INDIRECT("'"&amp;A6&amp;"'"&amp;"!A:A"),"总价",INDIRECT("'"&amp;A6&amp;"'"&amp;"!B:B"))</f>
        <v>4769</v>
      </c>
      <c r="C6" s="1981" t="s">
        <v>2074</v>
      </c>
      <c r="D6" s="2542"/>
      <c r="E6" s="2395">
        <f ca="1">SUMIF(INDIRECT("'"&amp;A6&amp;"'"&amp;"!C:C"),"建筑面积",INDIRECT("'"&amp;A6&amp;"'"&amp;"!D:D"))</f>
        <v>47794.89</v>
      </c>
      <c r="F6" s="2542"/>
      <c r="G6" s="2542"/>
      <c r="H6" s="2542"/>
      <c r="I6" s="2542"/>
      <c r="J6" s="2542"/>
      <c r="K6" s="2542"/>
      <c r="L6" s="2542"/>
      <c r="M6" s="2542"/>
      <c r="N6" s="2542"/>
      <c r="O6" s="2542"/>
      <c r="P6" s="2542"/>
    </row>
    <row r="7" spans="1:16" ht="15.75">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501" t="s">
        <v>2609</v>
      </c>
      <c r="B20" s="3496" t="s">
        <v>2630</v>
      </c>
      <c r="C20" s="2840" t="s">
        <v>2441</v>
      </c>
      <c r="D20" s="2841"/>
      <c r="E20" s="2842">
        <v>1</v>
      </c>
      <c r="F20" s="2843" t="s">
        <v>2442</v>
      </c>
      <c r="G20" s="2843"/>
    </row>
    <row r="21" spans="1:13" ht="19.5" customHeight="1">
      <c r="A21" s="3502"/>
      <c r="B21" s="3495"/>
      <c r="C21" s="2844" t="s">
        <v>2443</v>
      </c>
      <c r="D21" s="2845"/>
      <c r="E21" s="2846">
        <v>1</v>
      </c>
      <c r="F21" s="2843" t="s">
        <v>2444</v>
      </c>
      <c r="G21" s="2843"/>
    </row>
    <row r="22" spans="1:13" ht="19.5" customHeight="1">
      <c r="A22" s="3502"/>
      <c r="B22" s="3495"/>
      <c r="C22" s="2844" t="s">
        <v>2445</v>
      </c>
      <c r="D22" s="2845"/>
      <c r="E22" s="2846">
        <v>0.9</v>
      </c>
      <c r="F22" s="2843" t="s">
        <v>2446</v>
      </c>
      <c r="G22" s="2843"/>
    </row>
    <row r="23" spans="1:13" ht="19.5" customHeight="1">
      <c r="A23" s="3502"/>
      <c r="B23" s="3495"/>
      <c r="C23" s="2844" t="s">
        <v>2447</v>
      </c>
      <c r="D23" s="2845"/>
      <c r="E23" s="2846">
        <v>0.9</v>
      </c>
      <c r="F23" s="2843" t="s">
        <v>2448</v>
      </c>
      <c r="G23" s="2843"/>
    </row>
    <row r="24" spans="1:13" ht="19.5" customHeight="1">
      <c r="A24" s="3502"/>
      <c r="B24" s="3495"/>
      <c r="C24" s="2844" t="s">
        <v>2449</v>
      </c>
      <c r="D24" s="2845"/>
      <c r="E24" s="2846">
        <v>0.8</v>
      </c>
      <c r="F24" s="2843" t="s">
        <v>2450</v>
      </c>
      <c r="G24" s="2843"/>
    </row>
    <row r="25" spans="1:13" ht="19.5" customHeight="1" thickBot="1">
      <c r="A25" s="3503"/>
      <c r="B25" s="3497"/>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498" t="s">
        <v>2633</v>
      </c>
      <c r="B27" s="3496" t="s">
        <v>2614</v>
      </c>
      <c r="C27" s="2840" t="s">
        <v>2454</v>
      </c>
      <c r="D27" s="2841"/>
      <c r="E27" s="2842">
        <v>1</v>
      </c>
      <c r="F27" s="2843" t="s">
        <v>2455</v>
      </c>
      <c r="G27" s="2843"/>
    </row>
    <row r="28" spans="1:13" ht="19.5" customHeight="1">
      <c r="A28" s="3499"/>
      <c r="B28" s="3495"/>
      <c r="C28" s="2844" t="s">
        <v>2456</v>
      </c>
      <c r="D28" s="2845"/>
      <c r="E28" s="2846">
        <v>1</v>
      </c>
      <c r="F28" s="2843" t="s">
        <v>2457</v>
      </c>
      <c r="G28" s="2843"/>
    </row>
    <row r="29" spans="1:13" ht="19.5" customHeight="1">
      <c r="A29" s="3499"/>
      <c r="B29" s="3495"/>
      <c r="C29" s="2844" t="s">
        <v>2458</v>
      </c>
      <c r="D29" s="2845"/>
      <c r="E29" s="2846">
        <v>0.8</v>
      </c>
      <c r="F29" s="2843" t="s">
        <v>2459</v>
      </c>
      <c r="G29" s="2843"/>
    </row>
    <row r="30" spans="1:13" ht="19.5" customHeight="1">
      <c r="A30" s="3499"/>
      <c r="B30" s="3495"/>
      <c r="C30" s="2844" t="s">
        <v>2460</v>
      </c>
      <c r="D30" s="2845"/>
      <c r="E30" s="2846">
        <v>0.8</v>
      </c>
      <c r="F30" s="2843" t="s">
        <v>2461</v>
      </c>
      <c r="G30" s="2843"/>
    </row>
    <row r="31" spans="1:13" ht="19.5" customHeight="1">
      <c r="A31" s="3499"/>
      <c r="B31" s="3495"/>
      <c r="C31" s="2844" t="s">
        <v>2462</v>
      </c>
      <c r="D31" s="2845"/>
      <c r="E31" s="2846">
        <v>0.8</v>
      </c>
      <c r="F31" s="2843" t="s">
        <v>2463</v>
      </c>
      <c r="G31" s="2843"/>
    </row>
    <row r="32" spans="1:13" ht="19.5" customHeight="1">
      <c r="A32" s="3499"/>
      <c r="B32" s="3495"/>
      <c r="C32" s="2844" t="s">
        <v>2464</v>
      </c>
      <c r="D32" s="2845"/>
      <c r="E32" s="2846">
        <v>0.7</v>
      </c>
      <c r="F32" s="2843" t="s">
        <v>2465</v>
      </c>
      <c r="G32" s="2843"/>
    </row>
    <row r="33" spans="1:7" ht="19.5" customHeight="1">
      <c r="A33" s="3499"/>
      <c r="B33" s="3495"/>
      <c r="C33" s="2844" t="s">
        <v>2466</v>
      </c>
      <c r="D33" s="2845"/>
      <c r="E33" s="2846">
        <v>0.8</v>
      </c>
      <c r="F33" s="2843" t="s">
        <v>2467</v>
      </c>
      <c r="G33" s="2843"/>
    </row>
    <row r="34" spans="1:7" ht="19.5" customHeight="1">
      <c r="A34" s="3499"/>
      <c r="B34" s="3495"/>
      <c r="C34" s="2844" t="s">
        <v>2468</v>
      </c>
      <c r="D34" s="2845"/>
      <c r="E34" s="2846">
        <v>0.6</v>
      </c>
      <c r="F34" s="2843" t="s">
        <v>2469</v>
      </c>
      <c r="G34" s="2843"/>
    </row>
    <row r="35" spans="1:7" ht="19.5" customHeight="1">
      <c r="A35" s="3499"/>
      <c r="B35" s="3495"/>
      <c r="C35" s="2844" t="s">
        <v>2470</v>
      </c>
      <c r="D35" s="2845"/>
      <c r="E35" s="2846">
        <v>0.2</v>
      </c>
      <c r="F35" s="2843" t="s">
        <v>2471</v>
      </c>
      <c r="G35" s="2843"/>
    </row>
    <row r="36" spans="1:7" ht="19.5" customHeight="1">
      <c r="A36" s="3499"/>
      <c r="B36" s="3495"/>
      <c r="C36" s="2844" t="s">
        <v>2472</v>
      </c>
      <c r="D36" s="2845"/>
      <c r="E36" s="2846">
        <v>0.2</v>
      </c>
      <c r="F36" s="2843" t="s">
        <v>2473</v>
      </c>
      <c r="G36" s="2843"/>
    </row>
    <row r="37" spans="1:7" ht="19.5" customHeight="1">
      <c r="A37" s="3499"/>
      <c r="B37" s="3493" t="s">
        <v>2634</v>
      </c>
      <c r="C37" s="2844" t="s">
        <v>2474</v>
      </c>
      <c r="D37" s="2845"/>
      <c r="E37" s="2846">
        <v>0.6</v>
      </c>
      <c r="F37" s="2843" t="s">
        <v>2475</v>
      </c>
      <c r="G37" s="2843"/>
    </row>
    <row r="38" spans="1:7" ht="19.5" customHeight="1">
      <c r="A38" s="3499"/>
      <c r="B38" s="3495"/>
      <c r="C38" s="2844" t="s">
        <v>2476</v>
      </c>
      <c r="D38" s="2845"/>
      <c r="E38" s="2846">
        <v>0.6</v>
      </c>
      <c r="F38" s="2843" t="s">
        <v>2477</v>
      </c>
      <c r="G38" s="2843"/>
    </row>
    <row r="39" spans="1:7" ht="19.5" customHeight="1" thickBot="1">
      <c r="A39" s="3500"/>
      <c r="B39" s="3497"/>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501" t="s">
        <v>2612</v>
      </c>
      <c r="B41" s="3496" t="s">
        <v>2636</v>
      </c>
      <c r="C41" s="2840" t="s">
        <v>2481</v>
      </c>
      <c r="D41" s="2841"/>
      <c r="E41" s="2842">
        <v>1</v>
      </c>
      <c r="F41" s="2843" t="s">
        <v>2482</v>
      </c>
      <c r="G41" s="2843"/>
    </row>
    <row r="42" spans="1:7" ht="19.5" customHeight="1">
      <c r="A42" s="3502"/>
      <c r="B42" s="3495"/>
      <c r="C42" s="2844" t="s">
        <v>2483</v>
      </c>
      <c r="D42" s="2845"/>
      <c r="E42" s="2846">
        <v>1</v>
      </c>
      <c r="F42" s="2843" t="s">
        <v>2484</v>
      </c>
      <c r="G42" s="2843"/>
    </row>
    <row r="43" spans="1:7" ht="19.5" customHeight="1">
      <c r="A43" s="3502"/>
      <c r="B43" s="3494"/>
      <c r="C43" s="2844" t="s">
        <v>2485</v>
      </c>
      <c r="D43" s="2845"/>
      <c r="E43" s="2846">
        <v>1.5</v>
      </c>
      <c r="F43" s="2843" t="s">
        <v>2486</v>
      </c>
      <c r="G43" s="2843"/>
    </row>
    <row r="44" spans="1:7" ht="19.5" customHeight="1">
      <c r="A44" s="3502"/>
      <c r="B44" s="2855" t="s">
        <v>2637</v>
      </c>
      <c r="C44" s="2844" t="s">
        <v>2638</v>
      </c>
      <c r="D44" s="2845"/>
      <c r="E44" s="2846">
        <v>2</v>
      </c>
      <c r="F44" s="2843" t="s">
        <v>2487</v>
      </c>
      <c r="G44" s="2843"/>
    </row>
    <row r="45" spans="1:7" ht="19.5" customHeight="1">
      <c r="A45" s="3502"/>
      <c r="B45" s="3493" t="s">
        <v>2639</v>
      </c>
      <c r="C45" s="2844" t="s">
        <v>2488</v>
      </c>
      <c r="D45" s="2845"/>
      <c r="E45" s="2846">
        <v>1</v>
      </c>
      <c r="F45" s="2843" t="s">
        <v>2489</v>
      </c>
      <c r="G45" s="2843"/>
    </row>
    <row r="46" spans="1:7" ht="19.5" customHeight="1">
      <c r="A46" s="3502"/>
      <c r="B46" s="3495"/>
      <c r="C46" s="2844" t="s">
        <v>2490</v>
      </c>
      <c r="D46" s="2845"/>
      <c r="E46" s="2846">
        <v>1</v>
      </c>
      <c r="F46" s="2843" t="s">
        <v>2491</v>
      </c>
      <c r="G46" s="2843"/>
    </row>
    <row r="47" spans="1:7" ht="19.5" customHeight="1">
      <c r="A47" s="3502"/>
      <c r="B47" s="3495"/>
      <c r="C47" s="2844" t="s">
        <v>2492</v>
      </c>
      <c r="D47" s="2845"/>
      <c r="E47" s="2846">
        <v>1</v>
      </c>
      <c r="F47" s="2843" t="s">
        <v>2493</v>
      </c>
      <c r="G47" s="2843"/>
    </row>
    <row r="48" spans="1:7" ht="19.5" customHeight="1">
      <c r="A48" s="3502"/>
      <c r="B48" s="3495"/>
      <c r="C48" s="2844" t="s">
        <v>2494</v>
      </c>
      <c r="D48" s="2845"/>
      <c r="E48" s="2846">
        <v>1</v>
      </c>
      <c r="F48" s="2843" t="s">
        <v>2495</v>
      </c>
      <c r="G48" s="2843"/>
    </row>
    <row r="49" spans="1:7" ht="19.5" customHeight="1">
      <c r="A49" s="3502"/>
      <c r="B49" s="3495"/>
      <c r="C49" s="2844" t="s">
        <v>2496</v>
      </c>
      <c r="D49" s="2845"/>
      <c r="E49" s="2846">
        <v>1</v>
      </c>
      <c r="F49" s="2843" t="s">
        <v>2497</v>
      </c>
      <c r="G49" s="2843"/>
    </row>
    <row r="50" spans="1:7" ht="19.5" customHeight="1">
      <c r="A50" s="3502"/>
      <c r="B50" s="3495"/>
      <c r="C50" s="2844" t="s">
        <v>2498</v>
      </c>
      <c r="D50" s="2845"/>
      <c r="E50" s="2846">
        <v>1</v>
      </c>
      <c r="F50" s="2843" t="s">
        <v>2499</v>
      </c>
      <c r="G50" s="2843"/>
    </row>
    <row r="51" spans="1:7" ht="19.5" customHeight="1" thickBot="1">
      <c r="A51" s="3503"/>
      <c r="B51" s="3497"/>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493" t="s">
        <v>2653</v>
      </c>
      <c r="C73" s="2829" t="s">
        <v>2654</v>
      </c>
      <c r="D73" s="2829" t="s">
        <v>2655</v>
      </c>
      <c r="E73" s="2855">
        <v>0.2</v>
      </c>
      <c r="F73" s="2855">
        <v>25</v>
      </c>
    </row>
    <row r="74" spans="1:7" ht="24">
      <c r="A74" s="2855">
        <v>2</v>
      </c>
      <c r="B74" s="3495"/>
      <c r="C74" s="2829" t="s">
        <v>2656</v>
      </c>
      <c r="D74" s="2829" t="s">
        <v>2657</v>
      </c>
      <c r="E74" s="2855">
        <v>0.2</v>
      </c>
      <c r="F74" s="2855">
        <v>25</v>
      </c>
    </row>
    <row r="75" spans="1:7" ht="24">
      <c r="A75" s="2855">
        <v>3</v>
      </c>
      <c r="B75" s="3495"/>
      <c r="C75" s="2829" t="s">
        <v>2658</v>
      </c>
      <c r="D75" s="2829" t="s">
        <v>2659</v>
      </c>
      <c r="E75" s="2855">
        <v>0.2</v>
      </c>
      <c r="F75" s="2855">
        <v>25</v>
      </c>
    </row>
    <row r="76" spans="1:7" ht="13.5">
      <c r="A76" s="2855">
        <v>4</v>
      </c>
      <c r="B76" s="3495"/>
      <c r="C76" s="2829" t="s">
        <v>2660</v>
      </c>
      <c r="D76" s="2829" t="s">
        <v>2661</v>
      </c>
      <c r="E76" s="2855">
        <v>0.15</v>
      </c>
      <c r="F76" s="2855">
        <v>20</v>
      </c>
    </row>
    <row r="77" spans="1:7" ht="24">
      <c r="A77" s="2855">
        <v>5</v>
      </c>
      <c r="B77" s="3495"/>
      <c r="C77" s="2829" t="s">
        <v>2662</v>
      </c>
      <c r="D77" s="2829" t="s">
        <v>2663</v>
      </c>
      <c r="E77" s="2855">
        <v>0.15</v>
      </c>
      <c r="F77" s="2855">
        <v>20</v>
      </c>
    </row>
    <row r="78" spans="1:7" ht="24">
      <c r="A78" s="2855">
        <v>6</v>
      </c>
      <c r="B78" s="3495"/>
      <c r="C78" s="2829" t="s">
        <v>2664</v>
      </c>
      <c r="D78" s="2829" t="s">
        <v>2665</v>
      </c>
      <c r="E78" s="2855">
        <v>0.15</v>
      </c>
      <c r="F78" s="2855">
        <v>20</v>
      </c>
    </row>
    <row r="79" spans="1:7" ht="24">
      <c r="A79" s="2855">
        <v>7</v>
      </c>
      <c r="B79" s="3495"/>
      <c r="C79" s="2829" t="s">
        <v>2666</v>
      </c>
      <c r="D79" s="2829" t="s">
        <v>2667</v>
      </c>
      <c r="E79" s="2855">
        <v>0.15</v>
      </c>
      <c r="F79" s="2855">
        <v>20</v>
      </c>
    </row>
    <row r="80" spans="1:7" ht="24">
      <c r="A80" s="2855">
        <v>8</v>
      </c>
      <c r="B80" s="3495"/>
      <c r="C80" s="2829" t="s">
        <v>2668</v>
      </c>
      <c r="D80" s="2829" t="s">
        <v>2669</v>
      </c>
      <c r="E80" s="2855">
        <v>0.1</v>
      </c>
      <c r="F80" s="2855">
        <v>15</v>
      </c>
    </row>
    <row r="81" spans="1:6" ht="24">
      <c r="A81" s="2855">
        <v>9</v>
      </c>
      <c r="B81" s="3495"/>
      <c r="C81" s="2829" t="s">
        <v>2670</v>
      </c>
      <c r="D81" s="2829" t="s">
        <v>2671</v>
      </c>
      <c r="E81" s="2855">
        <v>0.1</v>
      </c>
      <c r="F81" s="2855">
        <v>15</v>
      </c>
    </row>
    <row r="82" spans="1:6" ht="24">
      <c r="A82" s="2855">
        <v>10</v>
      </c>
      <c r="B82" s="3495"/>
      <c r="C82" s="2829" t="s">
        <v>2672</v>
      </c>
      <c r="D82" s="2829" t="s">
        <v>2673</v>
      </c>
      <c r="E82" s="2855">
        <v>0.1</v>
      </c>
      <c r="F82" s="2855">
        <v>15</v>
      </c>
    </row>
    <row r="83" spans="1:6" ht="24">
      <c r="A83" s="2855">
        <v>11</v>
      </c>
      <c r="B83" s="3495"/>
      <c r="C83" s="2829" t="s">
        <v>2674</v>
      </c>
      <c r="D83" s="2829" t="s">
        <v>2675</v>
      </c>
      <c r="E83" s="2855">
        <v>0.1</v>
      </c>
      <c r="F83" s="2855">
        <v>15</v>
      </c>
    </row>
    <row r="84" spans="1:6" ht="24">
      <c r="A84" s="2855">
        <v>12</v>
      </c>
      <c r="B84" s="3495"/>
      <c r="C84" s="2829" t="s">
        <v>2676</v>
      </c>
      <c r="D84" s="2829" t="s">
        <v>2677</v>
      </c>
      <c r="E84" s="2855">
        <v>0.1</v>
      </c>
      <c r="F84" s="2855">
        <v>15</v>
      </c>
    </row>
    <row r="85" spans="1:6" ht="13.5">
      <c r="A85" s="2855">
        <v>13</v>
      </c>
      <c r="B85" s="3495"/>
      <c r="C85" s="2829" t="s">
        <v>2678</v>
      </c>
      <c r="D85" s="2829" t="s">
        <v>2679</v>
      </c>
      <c r="E85" s="2855">
        <v>0.1</v>
      </c>
      <c r="F85" s="2855">
        <v>15</v>
      </c>
    </row>
    <row r="86" spans="1:6" ht="13.5">
      <c r="A86" s="2855">
        <v>14</v>
      </c>
      <c r="B86" s="3495"/>
      <c r="C86" s="2829" t="s">
        <v>2680</v>
      </c>
      <c r="D86" s="2829" t="s">
        <v>2681</v>
      </c>
      <c r="E86" s="2855">
        <v>0.1</v>
      </c>
      <c r="F86" s="2855">
        <v>15</v>
      </c>
    </row>
    <row r="87" spans="1:6" ht="13.5">
      <c r="A87" s="2855">
        <v>15</v>
      </c>
      <c r="B87" s="3495"/>
      <c r="C87" s="2829" t="s">
        <v>2682</v>
      </c>
      <c r="D87" s="2829" t="s">
        <v>2683</v>
      </c>
      <c r="E87" s="2855">
        <v>0.1</v>
      </c>
      <c r="F87" s="2855">
        <v>15</v>
      </c>
    </row>
    <row r="88" spans="1:6" ht="24">
      <c r="A88" s="2855">
        <v>16</v>
      </c>
      <c r="B88" s="3495"/>
      <c r="C88" s="2829" t="s">
        <v>2684</v>
      </c>
      <c r="D88" s="2829" t="s">
        <v>2685</v>
      </c>
      <c r="E88" s="2855">
        <v>0.1</v>
      </c>
      <c r="F88" s="2855">
        <v>15</v>
      </c>
    </row>
    <row r="89" spans="1:6" ht="24">
      <c r="A89" s="2855">
        <v>17</v>
      </c>
      <c r="B89" s="3494"/>
      <c r="C89" s="2829" t="s">
        <v>2686</v>
      </c>
      <c r="D89" s="2829" t="s">
        <v>2687</v>
      </c>
      <c r="E89" s="2855">
        <v>0.1</v>
      </c>
      <c r="F89" s="2855">
        <v>15</v>
      </c>
    </row>
    <row r="90" spans="1:6" ht="13.5">
      <c r="A90" s="2855">
        <v>18</v>
      </c>
      <c r="B90" s="3493" t="s">
        <v>2688</v>
      </c>
      <c r="C90" s="2829" t="s">
        <v>2689</v>
      </c>
      <c r="D90" s="2829" t="s">
        <v>2690</v>
      </c>
      <c r="E90" s="2855">
        <v>0.2</v>
      </c>
      <c r="F90" s="2855">
        <v>25</v>
      </c>
    </row>
    <row r="91" spans="1:6" ht="24">
      <c r="A91" s="2855">
        <v>19</v>
      </c>
      <c r="B91" s="3495"/>
      <c r="C91" s="2829" t="s">
        <v>2691</v>
      </c>
      <c r="D91" s="2829" t="s">
        <v>2692</v>
      </c>
      <c r="E91" s="2855">
        <v>0.2</v>
      </c>
      <c r="F91" s="2855">
        <v>25</v>
      </c>
    </row>
    <row r="92" spans="1:6" ht="13.5">
      <c r="A92" s="2855">
        <v>20</v>
      </c>
      <c r="B92" s="3495"/>
      <c r="C92" s="2829" t="s">
        <v>2693</v>
      </c>
      <c r="D92" s="2829" t="s">
        <v>2694</v>
      </c>
      <c r="E92" s="2855">
        <v>0.15</v>
      </c>
      <c r="F92" s="2855">
        <v>20</v>
      </c>
    </row>
    <row r="93" spans="1:6" ht="13.5">
      <c r="A93" s="2855">
        <v>21</v>
      </c>
      <c r="B93" s="3495"/>
      <c r="C93" s="2829" t="s">
        <v>2695</v>
      </c>
      <c r="D93" s="2829" t="s">
        <v>2696</v>
      </c>
      <c r="E93" s="2855">
        <v>0.15</v>
      </c>
      <c r="F93" s="2855">
        <v>20</v>
      </c>
    </row>
    <row r="94" spans="1:6" ht="13.5">
      <c r="A94" s="2855">
        <v>22</v>
      </c>
      <c r="B94" s="3495"/>
      <c r="C94" s="2829" t="s">
        <v>2697</v>
      </c>
      <c r="D94" s="2829" t="s">
        <v>2698</v>
      </c>
      <c r="E94" s="2855">
        <v>0.15</v>
      </c>
      <c r="F94" s="2855">
        <v>20</v>
      </c>
    </row>
    <row r="95" spans="1:6" ht="36">
      <c r="A95" s="2855">
        <v>23</v>
      </c>
      <c r="B95" s="3495"/>
      <c r="C95" s="2829" t="s">
        <v>2699</v>
      </c>
      <c r="D95" s="2829" t="s">
        <v>2700</v>
      </c>
      <c r="E95" s="2855">
        <v>0.15</v>
      </c>
      <c r="F95" s="2855">
        <v>20</v>
      </c>
    </row>
    <row r="96" spans="1:6" ht="13.5">
      <c r="A96" s="2855">
        <v>24</v>
      </c>
      <c r="B96" s="3495"/>
      <c r="C96" s="2829" t="s">
        <v>2701</v>
      </c>
      <c r="D96" s="2829" t="s">
        <v>2702</v>
      </c>
      <c r="E96" s="2855">
        <v>0.1</v>
      </c>
      <c r="F96" s="2855">
        <v>15</v>
      </c>
    </row>
    <row r="97" spans="1:6" ht="13.5">
      <c r="A97" s="2855">
        <v>25</v>
      </c>
      <c r="B97" s="3495"/>
      <c r="C97" s="2829" t="s">
        <v>2703</v>
      </c>
      <c r="D97" s="2829" t="s">
        <v>2704</v>
      </c>
      <c r="E97" s="2855">
        <v>0.1</v>
      </c>
      <c r="F97" s="2855">
        <v>15</v>
      </c>
    </row>
    <row r="98" spans="1:6" ht="24">
      <c r="A98" s="2855">
        <v>26</v>
      </c>
      <c r="B98" s="3495"/>
      <c r="C98" s="2829" t="s">
        <v>2705</v>
      </c>
      <c r="D98" s="2829" t="s">
        <v>2706</v>
      </c>
      <c r="E98" s="2855">
        <v>0.1</v>
      </c>
      <c r="F98" s="2855">
        <v>15</v>
      </c>
    </row>
    <row r="99" spans="1:6" ht="24">
      <c r="A99" s="2855">
        <v>27</v>
      </c>
      <c r="B99" s="3495"/>
      <c r="C99" s="2829" t="s">
        <v>2707</v>
      </c>
      <c r="D99" s="2829" t="s">
        <v>2708</v>
      </c>
      <c r="E99" s="2855">
        <v>0.1</v>
      </c>
      <c r="F99" s="2855">
        <v>15</v>
      </c>
    </row>
    <row r="100" spans="1:6" ht="13.5">
      <c r="A100" s="2855">
        <v>28</v>
      </c>
      <c r="B100" s="3495"/>
      <c r="C100" s="2829" t="s">
        <v>2709</v>
      </c>
      <c r="D100" s="2829" t="s">
        <v>2710</v>
      </c>
      <c r="E100" s="2855">
        <v>0.1</v>
      </c>
      <c r="F100" s="2855">
        <v>15</v>
      </c>
    </row>
    <row r="101" spans="1:6" ht="13.5">
      <c r="A101" s="2855">
        <v>29</v>
      </c>
      <c r="B101" s="3495"/>
      <c r="C101" s="2829" t="s">
        <v>2711</v>
      </c>
      <c r="D101" s="2829" t="s">
        <v>2712</v>
      </c>
      <c r="E101" s="2855">
        <v>0.1</v>
      </c>
      <c r="F101" s="2855">
        <v>15</v>
      </c>
    </row>
    <row r="102" spans="1:6" ht="13.5">
      <c r="A102" s="2855">
        <v>30</v>
      </c>
      <c r="B102" s="3495"/>
      <c r="C102" s="2829" t="s">
        <v>2713</v>
      </c>
      <c r="D102" s="2829" t="s">
        <v>2714</v>
      </c>
      <c r="E102" s="2855">
        <v>0.1</v>
      </c>
      <c r="F102" s="2855">
        <v>15</v>
      </c>
    </row>
    <row r="103" spans="1:6" ht="24">
      <c r="A103" s="2855">
        <v>31</v>
      </c>
      <c r="B103" s="3495"/>
      <c r="C103" s="2829" t="s">
        <v>2715</v>
      </c>
      <c r="D103" s="2829" t="s">
        <v>2716</v>
      </c>
      <c r="E103" s="2855">
        <v>0.1</v>
      </c>
      <c r="F103" s="2855">
        <v>15</v>
      </c>
    </row>
    <row r="104" spans="1:6" ht="24">
      <c r="A104" s="2855">
        <v>32</v>
      </c>
      <c r="B104" s="3495"/>
      <c r="C104" s="2829" t="s">
        <v>2717</v>
      </c>
      <c r="D104" s="2829" t="s">
        <v>2718</v>
      </c>
      <c r="E104" s="2855">
        <v>0.1</v>
      </c>
      <c r="F104" s="2855">
        <v>15</v>
      </c>
    </row>
    <row r="105" spans="1:6" ht="24">
      <c r="A105" s="2855">
        <v>33</v>
      </c>
      <c r="B105" s="3495"/>
      <c r="C105" s="2829" t="s">
        <v>2719</v>
      </c>
      <c r="D105" s="2829" t="s">
        <v>2720</v>
      </c>
      <c r="E105" s="2855">
        <v>0.1</v>
      </c>
      <c r="F105" s="2855">
        <v>15</v>
      </c>
    </row>
    <row r="106" spans="1:6" ht="24">
      <c r="A106" s="2855">
        <v>34</v>
      </c>
      <c r="B106" s="3494"/>
      <c r="C106" s="2829" t="s">
        <v>2721</v>
      </c>
      <c r="D106" s="2829" t="s">
        <v>2722</v>
      </c>
      <c r="E106" s="2855">
        <v>0.1</v>
      </c>
      <c r="F106" s="2855">
        <v>15</v>
      </c>
    </row>
    <row r="107" spans="1:6" ht="24">
      <c r="A107" s="2855">
        <v>35</v>
      </c>
      <c r="B107" s="3493" t="s">
        <v>2723</v>
      </c>
      <c r="C107" s="2855" t="s">
        <v>2724</v>
      </c>
      <c r="D107" s="2829" t="s">
        <v>2725</v>
      </c>
      <c r="E107" s="2855">
        <v>0.15</v>
      </c>
      <c r="F107" s="2855">
        <v>20</v>
      </c>
    </row>
    <row r="108" spans="1:6" ht="13.5">
      <c r="A108" s="2855">
        <v>36</v>
      </c>
      <c r="B108" s="3495"/>
      <c r="C108" s="2855" t="s">
        <v>2726</v>
      </c>
      <c r="D108" s="2829" t="s">
        <v>2727</v>
      </c>
      <c r="E108" s="2855">
        <v>0.15</v>
      </c>
      <c r="F108" s="2855">
        <v>20</v>
      </c>
    </row>
    <row r="109" spans="1:6" ht="13.5">
      <c r="A109" s="2855">
        <v>37</v>
      </c>
      <c r="B109" s="3495"/>
      <c r="C109" s="2855" t="s">
        <v>2728</v>
      </c>
      <c r="D109" s="2829" t="s">
        <v>2729</v>
      </c>
      <c r="E109" s="2855">
        <v>0.15</v>
      </c>
      <c r="F109" s="2855">
        <v>20</v>
      </c>
    </row>
    <row r="110" spans="1:6" ht="13.5">
      <c r="A110" s="2855">
        <v>38</v>
      </c>
      <c r="B110" s="3495"/>
      <c r="C110" s="2855" t="s">
        <v>2730</v>
      </c>
      <c r="D110" s="2829" t="s">
        <v>2731</v>
      </c>
      <c r="E110" s="2855">
        <v>0.1</v>
      </c>
      <c r="F110" s="2855">
        <v>15</v>
      </c>
    </row>
    <row r="111" spans="1:6" ht="24">
      <c r="A111" s="2855">
        <v>39</v>
      </c>
      <c r="B111" s="3495"/>
      <c r="C111" s="2855" t="s">
        <v>2732</v>
      </c>
      <c r="D111" s="2829" t="s">
        <v>2733</v>
      </c>
      <c r="E111" s="2855">
        <v>0.1</v>
      </c>
      <c r="F111" s="2855">
        <v>15</v>
      </c>
    </row>
    <row r="112" spans="1:6" ht="24">
      <c r="A112" s="2855">
        <v>40</v>
      </c>
      <c r="B112" s="3494"/>
      <c r="C112" s="2855" t="s">
        <v>2734</v>
      </c>
      <c r="D112" s="2829" t="s">
        <v>2735</v>
      </c>
      <c r="E112" s="2855">
        <v>0.1</v>
      </c>
      <c r="F112" s="2855">
        <v>15</v>
      </c>
    </row>
    <row r="113" spans="1:6" ht="13.5">
      <c r="A113" s="2855">
        <v>41</v>
      </c>
      <c r="B113" s="3492" t="s">
        <v>2736</v>
      </c>
      <c r="C113" s="2855" t="s">
        <v>2737</v>
      </c>
      <c r="D113" s="2829" t="s">
        <v>2738</v>
      </c>
      <c r="E113" s="2855">
        <v>0.1</v>
      </c>
      <c r="F113" s="2855">
        <v>15</v>
      </c>
    </row>
    <row r="114" spans="1:6" ht="13.5">
      <c r="A114" s="2855">
        <v>42</v>
      </c>
      <c r="B114" s="3492"/>
      <c r="C114" s="2855" t="s">
        <v>2739</v>
      </c>
      <c r="D114" s="2829" t="s">
        <v>2740</v>
      </c>
      <c r="E114" s="2855">
        <v>0.1</v>
      </c>
      <c r="F114" s="2855">
        <v>15</v>
      </c>
    </row>
    <row r="115" spans="1:6" ht="24">
      <c r="A115" s="2855">
        <v>43</v>
      </c>
      <c r="B115" s="3492"/>
      <c r="C115" s="2855" t="s">
        <v>2741</v>
      </c>
      <c r="D115" s="2829" t="s">
        <v>2742</v>
      </c>
      <c r="E115" s="2855">
        <v>0.1</v>
      </c>
      <c r="F115" s="2855">
        <v>15</v>
      </c>
    </row>
    <row r="116" spans="1:6" ht="13.5">
      <c r="A116" s="2855">
        <v>44</v>
      </c>
      <c r="B116" s="3493" t="s">
        <v>2743</v>
      </c>
      <c r="C116" s="2855" t="s">
        <v>2744</v>
      </c>
      <c r="D116" s="2829" t="s">
        <v>2745</v>
      </c>
      <c r="E116" s="2855">
        <v>0.1</v>
      </c>
      <c r="F116" s="2855">
        <v>15</v>
      </c>
    </row>
    <row r="117" spans="1:6" ht="24">
      <c r="A117" s="2855">
        <v>45</v>
      </c>
      <c r="B117" s="3494"/>
      <c r="C117" s="2829" t="s">
        <v>2746</v>
      </c>
      <c r="D117" s="2829" t="s">
        <v>2747</v>
      </c>
      <c r="E117" s="2855">
        <v>0.1</v>
      </c>
      <c r="F117" s="2855">
        <v>15</v>
      </c>
    </row>
    <row r="118" spans="1:6" ht="24">
      <c r="A118" s="2855">
        <v>46</v>
      </c>
      <c r="B118" s="3493" t="s">
        <v>2748</v>
      </c>
      <c r="C118" s="2855" t="s">
        <v>2749</v>
      </c>
      <c r="D118" s="2829" t="s">
        <v>2750</v>
      </c>
      <c r="E118" s="2855">
        <v>0.1</v>
      </c>
      <c r="F118" s="2855">
        <v>15</v>
      </c>
    </row>
    <row r="119" spans="1:6" ht="24">
      <c r="A119" s="2855">
        <v>47</v>
      </c>
      <c r="B119" s="3494"/>
      <c r="C119" s="2855" t="s">
        <v>2751</v>
      </c>
      <c r="D119" s="2829" t="s">
        <v>2752</v>
      </c>
      <c r="E119" s="2855">
        <v>0.1</v>
      </c>
      <c r="F119" s="2855">
        <v>15</v>
      </c>
    </row>
    <row r="120" spans="1:6" ht="13.5">
      <c r="A120" s="2855">
        <v>48</v>
      </c>
      <c r="B120" s="3493" t="s">
        <v>2753</v>
      </c>
      <c r="C120" s="2855" t="s">
        <v>2754</v>
      </c>
      <c r="D120" s="2829" t="s">
        <v>2755</v>
      </c>
      <c r="E120" s="2855">
        <v>0.1</v>
      </c>
      <c r="F120" s="2855">
        <v>15</v>
      </c>
    </row>
    <row r="121" spans="1:6" ht="13.5">
      <c r="A121" s="2855">
        <v>49</v>
      </c>
      <c r="B121" s="3494"/>
      <c r="C121" s="2855" t="s">
        <v>2756</v>
      </c>
      <c r="D121" s="2829" t="s">
        <v>2757</v>
      </c>
      <c r="E121" s="2855">
        <v>0.1</v>
      </c>
      <c r="F121" s="2855">
        <v>15</v>
      </c>
    </row>
    <row r="122" spans="1:6" ht="24">
      <c r="A122" s="2855">
        <v>50</v>
      </c>
      <c r="B122" s="3492" t="s">
        <v>2758</v>
      </c>
      <c r="C122" s="2855" t="s">
        <v>2759</v>
      </c>
      <c r="D122" s="2829" t="s">
        <v>2760</v>
      </c>
      <c r="E122" s="2855">
        <v>0.1</v>
      </c>
      <c r="F122" s="2855">
        <v>15</v>
      </c>
    </row>
    <row r="123" spans="1:6" ht="24">
      <c r="A123" s="2855">
        <v>51</v>
      </c>
      <c r="B123" s="3492"/>
      <c r="C123" s="2855" t="s">
        <v>2761</v>
      </c>
      <c r="D123" s="2829" t="s">
        <v>2762</v>
      </c>
      <c r="E123" s="2855">
        <v>0.1</v>
      </c>
      <c r="F123" s="2855">
        <v>15</v>
      </c>
    </row>
    <row r="124" spans="1:6" ht="24">
      <c r="A124" s="2855">
        <v>52</v>
      </c>
      <c r="B124" s="3492" t="s">
        <v>2763</v>
      </c>
      <c r="C124" s="2855" t="s">
        <v>2764</v>
      </c>
      <c r="D124" s="2829" t="s">
        <v>2765</v>
      </c>
      <c r="E124" s="2855">
        <v>0.1</v>
      </c>
      <c r="F124" s="2855">
        <v>15</v>
      </c>
    </row>
    <row r="125" spans="1:6" ht="24">
      <c r="A125" s="2855">
        <v>53</v>
      </c>
      <c r="B125" s="3492"/>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492" t="s">
        <v>2771</v>
      </c>
      <c r="C127" s="2855" t="s">
        <v>2772</v>
      </c>
      <c r="D127" s="2829" t="s">
        <v>2773</v>
      </c>
      <c r="E127" s="2855">
        <v>0.1</v>
      </c>
      <c r="F127" s="2855">
        <v>15</v>
      </c>
    </row>
    <row r="128" spans="1:6" ht="13.5">
      <c r="A128" s="2855">
        <v>56</v>
      </c>
      <c r="B128" s="3492"/>
      <c r="C128" s="2855" t="s">
        <v>2774</v>
      </c>
      <c r="D128" s="2829" t="s">
        <v>2775</v>
      </c>
      <c r="E128" s="2855">
        <v>0.1</v>
      </c>
      <c r="F128" s="2855">
        <v>15</v>
      </c>
    </row>
    <row r="129" spans="1:6" ht="24">
      <c r="A129" s="2855">
        <v>57</v>
      </c>
      <c r="B129" s="3492"/>
      <c r="C129" s="2855" t="s">
        <v>2776</v>
      </c>
      <c r="D129" s="2829" t="s">
        <v>2777</v>
      </c>
      <c r="E129" s="2855">
        <v>0.1</v>
      </c>
      <c r="F129" s="2855">
        <v>15</v>
      </c>
    </row>
    <row r="130" spans="1:6" ht="24">
      <c r="A130" s="2855">
        <v>58</v>
      </c>
      <c r="B130" s="3492" t="s">
        <v>2778</v>
      </c>
      <c r="C130" s="2855" t="s">
        <v>2779</v>
      </c>
      <c r="D130" s="2829" t="s">
        <v>2780</v>
      </c>
      <c r="E130" s="2855">
        <v>0.1</v>
      </c>
      <c r="F130" s="2855">
        <v>15</v>
      </c>
    </row>
    <row r="131" spans="1:6" ht="13.5">
      <c r="A131" s="2855">
        <v>59</v>
      </c>
      <c r="B131" s="3492"/>
      <c r="C131" s="2855" t="s">
        <v>2781</v>
      </c>
      <c r="D131" s="2829" t="s">
        <v>2782</v>
      </c>
      <c r="E131" s="2855">
        <v>0.1</v>
      </c>
      <c r="F131" s="2855">
        <v>15</v>
      </c>
    </row>
    <row r="132" spans="1:6" ht="13.5">
      <c r="A132" s="2855">
        <v>60</v>
      </c>
      <c r="B132" s="3493" t="s">
        <v>2783</v>
      </c>
      <c r="C132" s="2855" t="s">
        <v>2784</v>
      </c>
      <c r="D132" s="2829" t="s">
        <v>2785</v>
      </c>
      <c r="E132" s="2855">
        <v>0.1</v>
      </c>
      <c r="F132" s="2855">
        <v>15</v>
      </c>
    </row>
    <row r="133" spans="1:6" ht="13.5">
      <c r="A133" s="2855">
        <v>61</v>
      </c>
      <c r="B133" s="3494"/>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492" t="s">
        <v>2791</v>
      </c>
      <c r="C135" s="2855" t="s">
        <v>2792</v>
      </c>
      <c r="D135" s="2829" t="s">
        <v>2793</v>
      </c>
      <c r="E135" s="2855">
        <v>0.1</v>
      </c>
      <c r="F135" s="2855">
        <v>15</v>
      </c>
    </row>
    <row r="136" spans="1:6" ht="13.5">
      <c r="A136" s="2855">
        <v>64</v>
      </c>
      <c r="B136" s="3492"/>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5"/>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1.0512999999999999</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5"/>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5"/>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1</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56907</v>
      </c>
      <c r="C2" s="2" t="s">
        <v>106</v>
      </c>
      <c r="D2" s="190"/>
      <c r="E2" s="190"/>
      <c r="F2" s="190"/>
      <c r="G2" s="190"/>
    </row>
    <row r="3" spans="1:7" s="191" customFormat="1" ht="18" customHeight="1" thickBot="1">
      <c r="A3" s="194" t="s">
        <v>58</v>
      </c>
      <c r="B3" s="195">
        <f ca="1">ROUND(B2*10000/'数据-汇总表'!E3,0)</f>
        <v>11763</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160</v>
      </c>
      <c r="F9" s="212"/>
      <c r="G9" s="217"/>
    </row>
    <row r="10" spans="1:7" s="205" customFormat="1" ht="13.5" customHeight="1">
      <c r="A10" s="731" t="s">
        <v>356</v>
      </c>
      <c r="B10" s="215" t="s">
        <v>67</v>
      </c>
      <c r="C10" s="216">
        <f>ROUND(D10*E10/10000,0)</f>
        <v>968</v>
      </c>
      <c r="D10" s="793">
        <f>'数据-汇总表'!E6</f>
        <v>48377.229999999996</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968</v>
      </c>
      <c r="D19" s="203">
        <f>'数据-汇总表'!E3</f>
        <v>48377.229999999996</v>
      </c>
      <c r="E19" s="202">
        <f>'数据-取费表'!B31</f>
        <v>200</v>
      </c>
      <c r="F19" s="222"/>
      <c r="G19" s="1" t="s">
        <v>436</v>
      </c>
    </row>
    <row r="20" spans="1:7" s="205" customFormat="1" ht="13.5" customHeight="1">
      <c r="A20" s="729" t="s">
        <v>419</v>
      </c>
      <c r="B20" s="201" t="s">
        <v>77</v>
      </c>
      <c r="C20" s="223">
        <f>ROUND((C5+C19)*F20,0)</f>
        <v>432</v>
      </c>
      <c r="D20" s="223"/>
      <c r="E20" s="223"/>
      <c r="F20" s="224">
        <f>'数据-取费表'!B37</f>
        <v>0.02</v>
      </c>
      <c r="G20" s="1002"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9">
        <f ca="1">ROUND(SUM(C23:C25),0)</f>
        <v>1372</v>
      </c>
      <c r="D22" s="226">
        <f ca="1">C26</f>
        <v>5.9999999999999995E-4</v>
      </c>
      <c r="E22" s="227" t="s">
        <v>99</v>
      </c>
      <c r="F22" s="228">
        <f ca="1">'数据-取费表'!B40</f>
        <v>3.1E-2</v>
      </c>
      <c r="G22" s="1002" t="str">
        <f>IF('数据-取费表'!B22&lt;=1,"单利计息","复利计息")</f>
        <v>复利计息</v>
      </c>
    </row>
    <row r="23" spans="1:7" s="205" customFormat="1" ht="13.5" customHeight="1">
      <c r="A23" s="732" t="s">
        <v>349</v>
      </c>
      <c r="B23" s="206" t="s">
        <v>423</v>
      </c>
      <c r="C23" s="1040">
        <f ca="1">ROUND(IF('数据-取费表'!B22&lt;=1,C5*F22*'数据-取费表'!B23,C5*(POWER((1+F22),'数据-取费表'!B23)-1)),0)</f>
        <v>1298</v>
      </c>
      <c r="D23" s="229"/>
      <c r="E23" s="229"/>
      <c r="F23" s="230"/>
      <c r="G23" s="231" t="s">
        <v>81</v>
      </c>
    </row>
    <row r="24" spans="1:7" s="205" customFormat="1" ht="13.5" customHeight="1">
      <c r="A24" s="732" t="s">
        <v>347</v>
      </c>
      <c r="B24" s="206" t="s">
        <v>418</v>
      </c>
      <c r="C24" s="1040">
        <f ca="1">ROUND(IF('数据-取费表'!B22&lt;=1,C19*F22*('数据-取费表'!B19/2+'数据-取费表'!B21),C19*(POWER((1+F22),('数据-取费表'!B19/2+'数据-取费表'!B21))-1)),0)</f>
        <v>61</v>
      </c>
      <c r="D24" s="229"/>
      <c r="E24" s="229"/>
      <c r="F24" s="230"/>
      <c r="G24" s="231" t="s">
        <v>82</v>
      </c>
    </row>
    <row r="25" spans="1:7" s="205" customFormat="1" ht="24">
      <c r="A25" s="732" t="s">
        <v>348</v>
      </c>
      <c r="B25" s="206" t="s">
        <v>420</v>
      </c>
      <c r="C25" s="1040">
        <f ca="1">ROUND(IF('数据-取费表'!B22&lt;=1,C20*F22*'数据-取费表'!B23/2,C20*(POWER((1+F22),'数据-取费表'!B23/2)-1)),0)</f>
        <v>13</v>
      </c>
      <c r="D25" s="229"/>
      <c r="E25" s="232"/>
      <c r="F25" s="230"/>
      <c r="G25" s="233" t="s">
        <v>83</v>
      </c>
    </row>
    <row r="26" spans="1:7" s="205" customFormat="1">
      <c r="A26" s="732" t="s">
        <v>350</v>
      </c>
      <c r="B26" s="206" t="s">
        <v>422</v>
      </c>
      <c r="C26" s="229">
        <f ca="1">ROUND(IF('数据-取费表'!B22&lt;=1,F21*F22*'数据-取费表'!B23/2,F21*(POWER((1+F22),'数据-取费表'!B23/2)-1)),4)</f>
        <v>5.9999999999999995E-4</v>
      </c>
      <c r="D26" s="229"/>
      <c r="E26" s="232"/>
      <c r="F26" s="230"/>
      <c r="G26" s="234"/>
    </row>
    <row r="27" spans="1:7" s="205" customFormat="1" ht="24.75">
      <c r="A27" s="729" t="s">
        <v>342</v>
      </c>
      <c r="B27" s="235" t="s">
        <v>85</v>
      </c>
      <c r="C27" s="236">
        <f>C28</f>
        <v>1761</v>
      </c>
      <c r="D27" s="226">
        <f>C29</f>
        <v>1.6000000000000001E-3</v>
      </c>
      <c r="E27" s="227" t="s">
        <v>99</v>
      </c>
      <c r="F27" s="237">
        <f>'数据-取费表'!Q16</f>
        <v>0.08</v>
      </c>
      <c r="G27" s="238" t="s">
        <v>431</v>
      </c>
    </row>
    <row r="28" spans="1:7" s="205" customFormat="1" ht="13.5" customHeight="1">
      <c r="A28" s="732" t="s">
        <v>349</v>
      </c>
      <c r="B28" s="239" t="s">
        <v>424</v>
      </c>
      <c r="C28" s="240">
        <f>ROUND((C5+C19+C20)*F27*'数据-取费表'!B21/'数据-取费表'!B20,0)</f>
        <v>1761</v>
      </c>
      <c r="D28" s="226"/>
      <c r="E28" s="227"/>
      <c r="F28" s="237"/>
      <c r="G28" s="238"/>
    </row>
    <row r="29" spans="1:7" s="205" customFormat="1" ht="13.5" customHeight="1">
      <c r="A29" s="732" t="s">
        <v>347</v>
      </c>
      <c r="B29" s="239" t="s">
        <v>425</v>
      </c>
      <c r="C29" s="229">
        <f>ROUND(C21*F27*'数据-取费表'!B21/'数据-取费表'!B20,4)</f>
        <v>1.6000000000000001E-3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27197</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26061</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23898</v>
      </c>
      <c r="D34" s="208"/>
      <c r="E34" s="211"/>
      <c r="F34" s="248">
        <f>IF('数据-取费表'!B24=0,1,'数据-取费表'!N16)</f>
        <v>1</v>
      </c>
      <c r="G34" s="210" t="s">
        <v>89</v>
      </c>
    </row>
    <row r="35" spans="1:7" ht="13.5" customHeight="1">
      <c r="A35" s="732" t="s">
        <v>351</v>
      </c>
      <c r="B35" s="206" t="s">
        <v>33</v>
      </c>
      <c r="C35" s="211">
        <f>ROUND(C34*F35,0)</f>
        <v>717</v>
      </c>
      <c r="D35" s="211"/>
      <c r="E35" s="211"/>
      <c r="F35" s="250">
        <f>'数据-取费表'!B33</f>
        <v>0.03</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968</v>
      </c>
      <c r="D37" s="208">
        <f>'数据-汇总表'!E3</f>
        <v>48377.229999999996</v>
      </c>
      <c r="E37" s="240">
        <f>'数据-取费表'!B35</f>
        <v>200</v>
      </c>
      <c r="F37" s="250"/>
      <c r="G37" s="252" t="s">
        <v>92</v>
      </c>
    </row>
    <row r="38" spans="1:7" ht="13.5" customHeight="1">
      <c r="A38" s="732" t="s">
        <v>354</v>
      </c>
      <c r="B38" s="206" t="s">
        <v>36</v>
      </c>
      <c r="C38" s="211">
        <f>ROUND(C34*F38,0)</f>
        <v>478</v>
      </c>
      <c r="D38" s="211"/>
      <c r="E38" s="211"/>
      <c r="F38" s="250">
        <f>'数据-取费表'!B36</f>
        <v>0.02</v>
      </c>
      <c r="G38" s="210" t="s">
        <v>90</v>
      </c>
    </row>
    <row r="39" spans="1:7" s="205" customFormat="1" ht="13.5" customHeight="1">
      <c r="A39" s="729" t="s">
        <v>338</v>
      </c>
      <c r="B39" s="201" t="s">
        <v>77</v>
      </c>
      <c r="C39" s="223">
        <f>ROUND(C33*F20,0)</f>
        <v>521</v>
      </c>
      <c r="D39" s="223"/>
      <c r="E39" s="223"/>
      <c r="F39" s="224"/>
      <c r="G39" s="1002"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824</v>
      </c>
      <c r="D41" s="226">
        <f ca="1">C44</f>
        <v>5.9999999999999995E-4</v>
      </c>
      <c r="E41" s="227" t="s">
        <v>102</v>
      </c>
      <c r="F41" s="228"/>
      <c r="G41" s="1002" t="str">
        <f>IF('数据-取费表'!B22&lt;=1,"单利计息","复利计息")</f>
        <v>复利计息</v>
      </c>
    </row>
    <row r="42" spans="1:7" ht="13.5" customHeight="1">
      <c r="A42" s="732" t="s">
        <v>349</v>
      </c>
      <c r="B42" s="206" t="s">
        <v>423</v>
      </c>
      <c r="C42" s="229">
        <f ca="1">ROUND(IF('数据-取费表'!B22&lt;=1,C33*F22*'数据-取费表'!B21/2,C33*(POWER((1+F22),'数据-取费表'!B21/2)-1)),0)</f>
        <v>808</v>
      </c>
      <c r="D42" s="229"/>
      <c r="E42" s="229"/>
      <c r="F42" s="230"/>
      <c r="G42" s="3392" t="s">
        <v>94</v>
      </c>
    </row>
    <row r="43" spans="1:7" ht="13.5" customHeight="1">
      <c r="A43" s="732" t="s">
        <v>347</v>
      </c>
      <c r="B43" s="206" t="s">
        <v>426</v>
      </c>
      <c r="C43" s="229">
        <f ca="1">ROUND(IF('数据-取费表'!B22&lt;=1,C39*F22*'数据-取费表'!B21/2,C39*(POWER((1+F22),'数据-取费表'!B21/2)-1)),0)</f>
        <v>16</v>
      </c>
      <c r="D43" s="229"/>
      <c r="E43" s="229"/>
      <c r="F43" s="230"/>
      <c r="G43" s="3393"/>
    </row>
    <row r="44" spans="1:7" ht="13.5" customHeight="1">
      <c r="A44" s="732" t="s">
        <v>348</v>
      </c>
      <c r="B44" s="206" t="s">
        <v>428</v>
      </c>
      <c r="C44" s="229">
        <f ca="1">ROUND(IF('数据-取费表'!B22&lt;=1,C40*F22*'数据-取费表'!B21/2,C40*(POWER((1+F22),'数据-取费表'!B21/2)-1)),4)</f>
        <v>5.9999999999999995E-4</v>
      </c>
      <c r="D44" s="229"/>
      <c r="E44" s="229"/>
      <c r="F44" s="230"/>
      <c r="G44" s="3394"/>
    </row>
    <row r="45" spans="1:7" s="205" customFormat="1" ht="13.5" customHeight="1">
      <c r="A45" s="729" t="s">
        <v>341</v>
      </c>
      <c r="B45" s="235" t="s">
        <v>85</v>
      </c>
      <c r="C45" s="236">
        <f>C46</f>
        <v>2127</v>
      </c>
      <c r="D45" s="226">
        <f>C47</f>
        <v>1.6000000000000001E-3</v>
      </c>
      <c r="E45" s="227" t="s">
        <v>102</v>
      </c>
      <c r="F45" s="237"/>
      <c r="G45" s="238" t="s">
        <v>434</v>
      </c>
    </row>
    <row r="46" spans="1:7" s="205" customFormat="1" ht="13.5" customHeight="1">
      <c r="A46" s="732" t="s">
        <v>349</v>
      </c>
      <c r="B46" s="239" t="s">
        <v>427</v>
      </c>
      <c r="C46" s="240">
        <f>ROUND((C33+C39)*F27,0)</f>
        <v>2127</v>
      </c>
      <c r="D46" s="254"/>
      <c r="E46" s="227"/>
      <c r="F46" s="237"/>
      <c r="G46" s="238"/>
    </row>
    <row r="47" spans="1:7" s="205" customFormat="1" ht="13.5" customHeight="1">
      <c r="A47" s="732" t="s">
        <v>347</v>
      </c>
      <c r="B47" s="239" t="s">
        <v>429</v>
      </c>
      <c r="C47" s="229">
        <f>ROUND(C40*F27,4)</f>
        <v>1.6000000000000001E-3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31946</v>
      </c>
      <c r="D49" s="223"/>
      <c r="E49" s="223"/>
      <c r="F49" s="255"/>
      <c r="G49" s="225" t="s">
        <v>435</v>
      </c>
    </row>
    <row r="50" spans="1:7" s="249" customFormat="1" ht="24">
      <c r="A50" s="729" t="s">
        <v>344</v>
      </c>
      <c r="B50" s="201" t="s">
        <v>97</v>
      </c>
      <c r="C50" s="223"/>
      <c r="D50" s="223"/>
      <c r="E50" s="223"/>
      <c r="F50" s="255">
        <f>IF('数据-取费表'!B24=0,'数据-取费表'!N16,1)</f>
        <v>0.93</v>
      </c>
      <c r="G50" s="238" t="s">
        <v>98</v>
      </c>
    </row>
    <row r="51" spans="1:7" ht="16.5" customHeight="1">
      <c r="A51" s="729" t="s">
        <v>345</v>
      </c>
      <c r="B51" s="201" t="s">
        <v>105</v>
      </c>
      <c r="C51" s="223">
        <f ca="1">ROUND(C49*F50,0)</f>
        <v>29710</v>
      </c>
      <c r="D51" s="223"/>
      <c r="E51" s="223"/>
      <c r="F51" s="255"/>
      <c r="G51" s="225" t="s">
        <v>37</v>
      </c>
    </row>
    <row r="52" spans="1:7" s="199" customFormat="1" ht="16.5" thickBot="1">
      <c r="A52" s="256" t="s">
        <v>38</v>
      </c>
      <c r="B52" s="257"/>
      <c r="C52" s="258">
        <f ca="1">C31+C51</f>
        <v>56907</v>
      </c>
      <c r="D52" s="257"/>
      <c r="E52" s="257"/>
      <c r="F52" s="257"/>
      <c r="G52" s="259"/>
    </row>
    <row r="55" spans="1:7" ht="15">
      <c r="B55" s="261" t="s">
        <v>39</v>
      </c>
      <c r="C55" s="262"/>
    </row>
    <row r="56" spans="1:7">
      <c r="B56" s="264" t="s">
        <v>40</v>
      </c>
      <c r="C56" s="265">
        <f ca="1">ROUND(C51/C52,3)</f>
        <v>0.52200000000000002</v>
      </c>
    </row>
    <row r="57" spans="1:7">
      <c r="B57" s="264" t="s">
        <v>41</v>
      </c>
      <c r="C57" s="266">
        <f ca="1">1-C56</f>
        <v>0.47799999999999998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topLeftCell="A10" zoomScaleNormal="80" zoomScaleSheetLayoutView="100" workbookViewId="0">
      <selection activeCell="L36" sqref="L36"/>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6" customWidth="1"/>
    <col min="33" max="36" width="9.375" style="1892" customWidth="1"/>
    <col min="37" max="38" width="9.375" style="1842" customWidth="1"/>
    <col min="39" max="16384" width="12" style="1842"/>
  </cols>
  <sheetData>
    <row r="1" spans="1:36" ht="28.5">
      <c r="A1" s="187" t="s">
        <v>1926</v>
      </c>
      <c r="B1" s="188"/>
      <c r="C1" s="192" t="s">
        <v>1927</v>
      </c>
      <c r="D1" s="332">
        <f>SUM(D33:D34,D37:D42)</f>
        <v>47794.89</v>
      </c>
      <c r="E1" s="1839"/>
      <c r="F1" s="1839"/>
      <c r="G1" s="1839"/>
      <c r="H1" s="1839"/>
      <c r="I1" s="1839"/>
      <c r="J1" s="1839"/>
      <c r="K1" s="1054"/>
      <c r="L1" s="1840" t="s">
        <v>1928</v>
      </c>
      <c r="M1" s="808">
        <f>SUMPRODUCT((区片价!B5:B9=I2)*(区片价!C3:G3=E2)*(区片价!C5:G9))</f>
        <v>0</v>
      </c>
      <c r="N1" s="811">
        <f>SUMPRODUCT((因素修正幅度!B5:B9=I2)*(因素修正幅度!C3:G3=E2)*(因素修正幅度!C5:G9))</f>
        <v>0</v>
      </c>
      <c r="O1" s="1841"/>
      <c r="P1" s="1841"/>
      <c r="Q1" s="1054"/>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2" t="s">
        <v>1934</v>
      </c>
      <c r="B2" s="195">
        <f>C30</f>
        <v>4769</v>
      </c>
      <c r="C2" s="1843" t="s">
        <v>1935</v>
      </c>
      <c r="D2" s="161" t="s">
        <v>1936</v>
      </c>
      <c r="E2" s="3118" t="s">
        <v>3</v>
      </c>
      <c r="F2" s="161" t="s">
        <v>1937</v>
      </c>
      <c r="G2" s="162" t="str">
        <f>IF(E2="商业",项目基本情况!B37,IF(E2="办公",项目基本情况!C37,IF(E2="住宅",项目基本情况!D37,IF(E2="工业",项目基本情况!E37,项目基本情况!F37))))</f>
        <v>七级</v>
      </c>
      <c r="H2" s="161" t="s">
        <v>1938</v>
      </c>
      <c r="I2" s="162" t="str">
        <f>IF(E2="商业",项目基本情况!B38,IF(E2="办公",项目基本情况!C38,IF(E2="住宅",项目基本情况!D38,IF(E2="工业",项目基本情况!E38,项目基本情况!F38))))</f>
        <v>Ⅶ-BDA南</v>
      </c>
      <c r="J2" s="1839"/>
      <c r="K2" s="1054"/>
      <c r="L2" s="1844" t="s">
        <v>1939</v>
      </c>
      <c r="M2" s="809">
        <f>SUMPRODUCT((区片价!B10:B29=I2)*(区片价!C3:G3=E2)*(区片价!C10:G29))</f>
        <v>0</v>
      </c>
      <c r="N2" s="811">
        <f>SUMPRODUCT((因素修正幅度!B10:B29=I2)*(因素修正幅度!C3:G3=E2)*(因素修正幅度!C10:G29))</f>
        <v>0</v>
      </c>
      <c r="O2" s="1054"/>
      <c r="P2" s="1054"/>
      <c r="Q2" s="1054"/>
      <c r="R2" s="1126">
        <v>1</v>
      </c>
      <c r="S2" s="3061">
        <f>ROUND(SUMPRODUCT((B106:B110=R2)*(C105:N105=G2)*(C106:N110)),4)</f>
        <v>1.5019</v>
      </c>
      <c r="T2" s="3061">
        <f t="shared" ref="T2:T16" si="0">ROUND($C$5*$C$22*$C$23*$C$24*S2*$C$28,0)</f>
        <v>2731</v>
      </c>
      <c r="U2" s="1127"/>
      <c r="V2" s="3061">
        <f>ROUND(T2*U2/10000,0)</f>
        <v>0</v>
      </c>
      <c r="W2" s="1130"/>
      <c r="X2" s="1130"/>
      <c r="Y2" s="1130"/>
      <c r="Z2" s="1130"/>
      <c r="AA2" s="1130"/>
      <c r="AB2" s="1130"/>
      <c r="AC2" s="1131"/>
      <c r="AD2" s="1132"/>
      <c r="AE2" s="1132"/>
      <c r="AF2" s="1132"/>
      <c r="AG2" s="1132"/>
      <c r="AH2" s="1132"/>
      <c r="AI2" s="1132"/>
      <c r="AJ2" s="1133"/>
    </row>
    <row r="3" spans="1:36" ht="15.75">
      <c r="A3" s="194" t="s">
        <v>1940</v>
      </c>
      <c r="B3" s="195">
        <f>ROUND(B2*10000/D1,0)</f>
        <v>998</v>
      </c>
      <c r="C3" s="1843" t="s">
        <v>1941</v>
      </c>
      <c r="D3" s="161" t="s">
        <v>1942</v>
      </c>
      <c r="E3" s="3116" t="s">
        <v>2481</v>
      </c>
      <c r="F3" s="1845" t="s">
        <v>3611</v>
      </c>
      <c r="G3" s="706">
        <f>IF(F3="宗地容积率",'数据-汇总表'!I4,IF(F3="估价对象容积率",'数据-汇总表'!I6,'数据-汇总表'!I7))</f>
        <v>2</v>
      </c>
      <c r="H3" s="161" t="s">
        <v>1943</v>
      </c>
      <c r="I3" s="727"/>
      <c r="J3" s="1839" t="s">
        <v>1944</v>
      </c>
      <c r="K3" s="1054"/>
      <c r="L3" s="1844" t="s">
        <v>1945</v>
      </c>
      <c r="M3" s="809">
        <f>SUMPRODUCT((区片价!B30:B54=I2)*(区片价!C3:G3=E2)*(区片价!C30:G54))</f>
        <v>0</v>
      </c>
      <c r="N3" s="811">
        <f>SUMPRODUCT((因素修正幅度!B30:B54=I2)*(因素修正幅度!C3:G3=E2)*(因素修正幅度!C30:G54))</f>
        <v>0</v>
      </c>
      <c r="O3" s="1054"/>
      <c r="P3" s="1054"/>
      <c r="Q3" s="1054"/>
      <c r="R3" s="1126">
        <v>2</v>
      </c>
      <c r="S3" s="3061">
        <f>ROUND(SUMPRODUCT((B106:B110=R3)*(C105:N105=G2)*(C106:N110)),4)</f>
        <v>1.1838</v>
      </c>
      <c r="T3" s="3061">
        <f t="shared" si="0"/>
        <v>2153</v>
      </c>
      <c r="U3" s="1127"/>
      <c r="V3" s="3061">
        <f t="shared" ref="V3:V16" si="1">ROUND(T3*U3/10000,0)</f>
        <v>0</v>
      </c>
      <c r="W3" s="1130"/>
      <c r="X3" s="1130"/>
      <c r="Y3" s="1130"/>
      <c r="Z3" s="1130"/>
      <c r="AA3" s="1130"/>
      <c r="AB3" s="1130"/>
      <c r="AC3" s="1131"/>
      <c r="AD3" s="1132"/>
      <c r="AE3" s="1132"/>
      <c r="AF3" s="1132"/>
      <c r="AG3" s="1132"/>
      <c r="AH3" s="1132"/>
      <c r="AI3" s="1132"/>
      <c r="AJ3" s="1133"/>
    </row>
    <row r="4" spans="1:36" ht="15.75">
      <c r="A4" s="3511"/>
      <c r="B4" s="3512"/>
      <c r="C4" s="3512"/>
      <c r="D4" s="3513"/>
      <c r="E4" s="3513"/>
      <c r="F4" s="3513"/>
      <c r="G4" s="3513"/>
      <c r="H4" s="3513"/>
      <c r="I4" s="3513"/>
      <c r="J4" s="3514"/>
      <c r="K4" s="1054"/>
      <c r="L4" s="1844" t="s">
        <v>1946</v>
      </c>
      <c r="M4" s="809">
        <f>SUMPRODUCT((区片价!B55:B86=I2)*(区片价!C3:G3=E2)*(区片价!C55:G86))</f>
        <v>0</v>
      </c>
      <c r="N4" s="811">
        <f>SUMPRODUCT((因素修正幅度!B55:B86=I2)*(因素修正幅度!C3:G3=E2)*(因素修正幅度!C55:G86))</f>
        <v>0</v>
      </c>
      <c r="O4" s="1054"/>
      <c r="P4" s="1054"/>
      <c r="Q4" s="1054"/>
      <c r="R4" s="1126">
        <v>3</v>
      </c>
      <c r="S4" s="3061">
        <f>ROUND(SUMPRODUCT((B106:B110=R4)*(C105:N105=G2)*(C106:N110)),4)</f>
        <v>1.0004999999999999</v>
      </c>
      <c r="T4" s="3061">
        <f t="shared" si="0"/>
        <v>1820</v>
      </c>
      <c r="U4" s="1127"/>
      <c r="V4" s="3061">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7">
        <f>ROUND(IF(E2="商业",C6*C7*C17+C20,(IF(E2="住宅",C6*C13*C17+C20,IF(E2="办公",C6*C12*C17+C20,C6+C20)))),0)</f>
        <v>1728</v>
      </c>
      <c r="D5" s="1249">
        <f>ROUND(C6*C17+C20,0)</f>
        <v>1728</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4"/>
      <c r="P5" s="1054"/>
      <c r="Q5" s="1054"/>
      <c r="R5" s="1126">
        <v>4</v>
      </c>
      <c r="S5" s="3061">
        <f>ROUND(SUMPRODUCT((B106:B110=R5)*(C105:N105=G2)*(C106:N110)),4)</f>
        <v>0.88239999999999996</v>
      </c>
      <c r="T5" s="3061">
        <f t="shared" si="0"/>
        <v>1605</v>
      </c>
      <c r="U5" s="1127"/>
      <c r="V5" s="3061">
        <f t="shared" si="1"/>
        <v>0</v>
      </c>
      <c r="W5" s="1130"/>
      <c r="X5" s="1130"/>
      <c r="Y5" s="1130"/>
      <c r="Z5" s="1130"/>
      <c r="AA5" s="1130"/>
      <c r="AB5" s="1130"/>
      <c r="AC5" s="1852"/>
      <c r="AD5" s="1853"/>
      <c r="AE5" s="1853"/>
      <c r="AF5" s="1853"/>
      <c r="AG5" s="1853"/>
      <c r="AH5" s="1853"/>
      <c r="AI5" s="1853"/>
      <c r="AJ5" s="1854"/>
    </row>
    <row r="6" spans="1:36" ht="15.75" thickBot="1">
      <c r="A6" s="1856" t="s">
        <v>1949</v>
      </c>
      <c r="B6" s="1857" t="s">
        <v>1950</v>
      </c>
      <c r="C6" s="708">
        <f>SUMIF(L1:L12,G2,M1:M12)</f>
        <v>1770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4"/>
      <c r="P6" s="1054"/>
      <c r="Q6" s="1054"/>
      <c r="R6" s="1126">
        <v>5</v>
      </c>
      <c r="S6" s="3061">
        <f>ROUND(SUMPRODUCT((B106:B110=R6)*(C105:N105=G2)*(C106:N110)),4)</f>
        <v>0.84799999999999998</v>
      </c>
      <c r="T6" s="3061">
        <f t="shared" si="0"/>
        <v>1542</v>
      </c>
      <c r="U6" s="1127"/>
      <c r="V6" s="3061">
        <f t="shared" si="1"/>
        <v>0</v>
      </c>
      <c r="W6" s="1130"/>
      <c r="X6" s="1130"/>
      <c r="Y6" s="1130"/>
      <c r="Z6" s="1130"/>
      <c r="AA6" s="1130"/>
      <c r="AB6" s="1130"/>
      <c r="AC6" s="1852"/>
      <c r="AD6" s="1853"/>
      <c r="AE6" s="1853"/>
      <c r="AF6" s="1853"/>
      <c r="AG6" s="1853"/>
      <c r="AH6" s="1853"/>
      <c r="AI6" s="1853"/>
      <c r="AJ6" s="1854"/>
    </row>
    <row r="7" spans="1:36" ht="24.75" thickBot="1">
      <c r="A7" s="3010" t="s">
        <v>3239</v>
      </c>
      <c r="B7" s="1862" t="s">
        <v>1952</v>
      </c>
      <c r="C7" s="709" t="e">
        <f>IF(C8="不临65条商业街",1,ROUND(1+(1.6*E8+1.2*E9+0.8*E10+0.4*E11)*C9,4))</f>
        <v>#DIV/0!</v>
      </c>
      <c r="D7" s="1863" t="s">
        <v>1953</v>
      </c>
      <c r="E7" s="728"/>
      <c r="F7" s="1864"/>
      <c r="G7" s="1865"/>
      <c r="H7" s="1865"/>
      <c r="I7" s="1865"/>
      <c r="J7" s="1866"/>
      <c r="K7" s="1289"/>
      <c r="L7" s="1844" t="s">
        <v>1954</v>
      </c>
      <c r="M7" s="809">
        <f>SUMPRODUCT((区片价!B190:B233=I2)*(区片价!C3:G3=E2)*(区片价!C190:G233))</f>
        <v>1770</v>
      </c>
      <c r="N7" s="811">
        <f>SUMPRODUCT((因素修正幅度!B190:B233=I2)*(因素修正幅度!C3:G3=E2)*(因素修正幅度!C190:G233))</f>
        <v>0.05</v>
      </c>
      <c r="O7" s="1054"/>
      <c r="P7" s="1054"/>
      <c r="Q7" s="1054"/>
      <c r="R7" s="1126">
        <v>6</v>
      </c>
      <c r="S7" s="3115"/>
      <c r="T7" s="3061">
        <f t="shared" si="0"/>
        <v>0</v>
      </c>
      <c r="U7" s="1127"/>
      <c r="V7" s="3061">
        <f t="shared" si="1"/>
        <v>0</v>
      </c>
      <c r="W7" s="1264" t="s">
        <v>1955</v>
      </c>
      <c r="X7" s="1128" t="str">
        <f>G2</f>
        <v>七级</v>
      </c>
      <c r="Y7" s="1128" t="s">
        <v>1956</v>
      </c>
      <c r="Z7" s="1129">
        <f>G3</f>
        <v>2</v>
      </c>
      <c r="AA7" s="1130"/>
      <c r="AB7" s="1130"/>
      <c r="AC7" s="1131"/>
      <c r="AD7" s="1132"/>
      <c r="AE7" s="1132"/>
      <c r="AF7" s="1132"/>
      <c r="AG7" s="1132"/>
      <c r="AH7" s="1132"/>
      <c r="AI7" s="1132"/>
      <c r="AJ7" s="1133"/>
    </row>
    <row r="8" spans="1:36" ht="15">
      <c r="A8" s="3007"/>
      <c r="B8" s="161" t="s">
        <v>1957</v>
      </c>
      <c r="C8" s="1867"/>
      <c r="D8" s="710" t="s">
        <v>112</v>
      </c>
      <c r="E8" s="711" t="e">
        <f>ROUND(C11/E7,4)</f>
        <v>#DIV/0!</v>
      </c>
      <c r="F8" s="1868" t="s">
        <v>1958</v>
      </c>
      <c r="G8" s="1869"/>
      <c r="H8" s="1869"/>
      <c r="I8" s="1869"/>
      <c r="J8" s="1870"/>
      <c r="K8" s="1054"/>
      <c r="L8" s="1844" t="s">
        <v>1959</v>
      </c>
      <c r="M8" s="809">
        <f>SUMPRODUCT((区片价!B234:B276=I2)*(区片价!C3:G3=E2)*(区片价!C234:G276))</f>
        <v>0</v>
      </c>
      <c r="N8" s="811">
        <f>SUMPRODUCT((因素修正幅度!B234:B276=I2)*(因素修正幅度!C3:G3=E2)*(因素修正幅度!C234:G276))</f>
        <v>0</v>
      </c>
      <c r="O8" s="1054"/>
      <c r="P8" s="1054"/>
      <c r="Q8" s="1054"/>
      <c r="R8" s="1126">
        <v>7</v>
      </c>
      <c r="S8" s="1127"/>
      <c r="T8" s="3061">
        <f t="shared" si="0"/>
        <v>0</v>
      </c>
      <c r="U8" s="1127"/>
      <c r="V8" s="3061">
        <f t="shared" si="1"/>
        <v>0</v>
      </c>
      <c r="W8" s="3508" t="s">
        <v>1960</v>
      </c>
      <c r="X8" s="3509"/>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7"/>
      <c r="B9" s="161" t="s">
        <v>1973</v>
      </c>
      <c r="C9" s="712">
        <f>SUMIF(修正!C71:C138,C8,修正!E71:E138)</f>
        <v>0</v>
      </c>
      <c r="D9" s="162" t="s">
        <v>113</v>
      </c>
      <c r="E9" s="162" t="e">
        <f>ROUND(C11/E7,4)</f>
        <v>#DIV/0!</v>
      </c>
      <c r="F9" s="1868" t="s">
        <v>1974</v>
      </c>
      <c r="G9" s="1869"/>
      <c r="H9" s="1869"/>
      <c r="I9" s="1869"/>
      <c r="J9" s="1870"/>
      <c r="K9" s="1054"/>
      <c r="L9" s="1844" t="s">
        <v>1975</v>
      </c>
      <c r="M9" s="809">
        <f>SUMPRODUCT((区片价!B277:B326=I2)*(区片价!C3:G3=E2)*(区片价!C277:G326))</f>
        <v>0</v>
      </c>
      <c r="N9" s="811">
        <f>SUMPRODUCT((因素修正幅度!B277:B326=I2)*(因素修正幅度!C3:G3=E2)*(因素修正幅度!C277:G326))</f>
        <v>0</v>
      </c>
      <c r="O9" s="1054"/>
      <c r="P9" s="1054"/>
      <c r="Q9" s="1054"/>
      <c r="R9" s="1126">
        <v>8</v>
      </c>
      <c r="S9" s="1127"/>
      <c r="T9" s="3061">
        <f t="shared" si="0"/>
        <v>0</v>
      </c>
      <c r="U9" s="1127"/>
      <c r="V9" s="3061">
        <f t="shared" si="1"/>
        <v>0</v>
      </c>
      <c r="W9" s="3510"/>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SUMIF(修正!C71:C138,C8,修正!F71:F138)</f>
        <v>0</v>
      </c>
      <c r="D10" s="162" t="s">
        <v>114</v>
      </c>
      <c r="E10" s="162" t="e">
        <f>ROUND(C11/E7,4)</f>
        <v>#DIV/0!</v>
      </c>
      <c r="F10" s="1868" t="s">
        <v>1977</v>
      </c>
      <c r="G10" s="1869"/>
      <c r="H10" s="1869"/>
      <c r="I10" s="1869"/>
      <c r="J10" s="1870"/>
      <c r="K10" s="1054"/>
      <c r="L10" s="1844" t="s">
        <v>1978</v>
      </c>
      <c r="M10" s="809">
        <f>SUMPRODUCT((区片价!B327:B357=I2)*(区片价!C3:G3=E2)*(区片价!C327:G357))</f>
        <v>0</v>
      </c>
      <c r="N10" s="811">
        <f>SUMPRODUCT((因素修正幅度!B327:B357=I2)*(因素修正幅度!C3:G3=E2)*(因素修正幅度!C327:G357))</f>
        <v>0</v>
      </c>
      <c r="O10" s="1054"/>
      <c r="P10" s="1054"/>
      <c r="Q10" s="1054"/>
      <c r="R10" s="1126">
        <v>9</v>
      </c>
      <c r="S10" s="1127"/>
      <c r="T10" s="3061">
        <f t="shared" si="0"/>
        <v>0</v>
      </c>
      <c r="U10" s="1127"/>
      <c r="V10" s="3061">
        <f t="shared" si="1"/>
        <v>0</v>
      </c>
      <c r="W10" s="351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1979</v>
      </c>
      <c r="C11" s="713">
        <f>C10/4</f>
        <v>0</v>
      </c>
      <c r="D11" s="713" t="s">
        <v>115</v>
      </c>
      <c r="E11" s="713" t="e">
        <f>ROUND(C11/E7,4)</f>
        <v>#DIV/0!</v>
      </c>
      <c r="F11" s="1872" t="s">
        <v>1980</v>
      </c>
      <c r="G11" s="1873"/>
      <c r="H11" s="1873"/>
      <c r="I11" s="1873"/>
      <c r="J11" s="1874"/>
      <c r="K11" s="1054"/>
      <c r="L11" s="1844" t="s">
        <v>1981</v>
      </c>
      <c r="M11" s="809">
        <f>SUMPRODUCT((区片价!B358:B377=I2)*(区片价!C3:G3=E2)*(区片价!C358:G377))</f>
        <v>0</v>
      </c>
      <c r="N11" s="811">
        <f>SUMPRODUCT((因素修正幅度!B358:B377=I2)*(因素修正幅度!C3:G3=E2)*(因素修正幅度!C358:G377))</f>
        <v>0</v>
      </c>
      <c r="O11" s="1054"/>
      <c r="P11" s="1054"/>
      <c r="Q11" s="1054"/>
      <c r="R11" s="1126">
        <v>10</v>
      </c>
      <c r="S11" s="1127"/>
      <c r="T11" s="3061">
        <f t="shared" si="0"/>
        <v>0</v>
      </c>
      <c r="U11" s="1127"/>
      <c r="V11" s="3061">
        <f t="shared" si="1"/>
        <v>0</v>
      </c>
      <c r="W11" s="1130"/>
      <c r="X11" s="1130"/>
      <c r="Y11" s="1130"/>
      <c r="Z11" s="1130"/>
      <c r="AA11" s="1130"/>
      <c r="AB11" s="1130"/>
      <c r="AC11" s="1131"/>
      <c r="AD11" s="2551"/>
      <c r="AE11" s="2551"/>
      <c r="AF11" s="2551"/>
      <c r="AG11" s="2551"/>
      <c r="AH11" s="2551"/>
      <c r="AI11" s="2551"/>
      <c r="AJ11" s="2552"/>
    </row>
    <row r="12" spans="1:36" ht="25.5" thickBot="1">
      <c r="A12" s="3010" t="s">
        <v>3240</v>
      </c>
      <c r="B12" s="3011" t="s">
        <v>3241</v>
      </c>
      <c r="C12" s="3012"/>
      <c r="D12" s="3013" t="s">
        <v>3242</v>
      </c>
      <c r="E12" s="3014" t="s">
        <v>3243</v>
      </c>
      <c r="F12" s="3015"/>
      <c r="G12" s="3016"/>
      <c r="H12" s="3016"/>
      <c r="I12" s="3016"/>
      <c r="J12" s="3017"/>
      <c r="K12" s="1054"/>
      <c r="L12" s="1793" t="s">
        <v>1984</v>
      </c>
      <c r="M12" s="810">
        <f>SUMPRODUCT((区片价!B378:B384=I2)*(区片价!C3:G3=E2)*(区片价!C378:G384))</f>
        <v>0</v>
      </c>
      <c r="N12" s="811">
        <f>SUMPRODUCT((因素修正幅度!B378:B384=I2)*(因素修正幅度!C3:G3=E2)*(因素修正幅度!C378:G384))</f>
        <v>0</v>
      </c>
      <c r="O12" s="1054"/>
      <c r="P12" s="1054"/>
      <c r="Q12" s="1054"/>
      <c r="R12" s="1126">
        <v>11</v>
      </c>
      <c r="S12" s="1127"/>
      <c r="T12" s="3061">
        <f t="shared" si="0"/>
        <v>0</v>
      </c>
      <c r="U12" s="1127"/>
      <c r="V12" s="3061">
        <f t="shared" si="1"/>
        <v>0</v>
      </c>
      <c r="W12" s="1130"/>
      <c r="X12" s="1130"/>
      <c r="Y12" s="1130"/>
      <c r="Z12" s="1130"/>
      <c r="AA12" s="1130"/>
      <c r="AB12" s="1130"/>
      <c r="AC12" s="1131"/>
      <c r="AD12" s="2551"/>
      <c r="AE12" s="2551"/>
      <c r="AF12" s="2551"/>
      <c r="AG12" s="2551"/>
      <c r="AH12" s="2551"/>
      <c r="AI12" s="2551"/>
      <c r="AJ12" s="2552"/>
    </row>
    <row r="13" spans="1:36" ht="15.75" thickBot="1">
      <c r="A13" s="3010" t="s">
        <v>3244</v>
      </c>
      <c r="B13" s="1875" t="s">
        <v>1982</v>
      </c>
      <c r="C13" s="709">
        <f>ROUND(C16*D16*E16*F16*G16*H16*I16*J16,4)</f>
        <v>0</v>
      </c>
      <c r="D13" s="1876" t="s">
        <v>1983</v>
      </c>
      <c r="E13" s="1877"/>
      <c r="F13" s="1877"/>
      <c r="G13" s="1878"/>
      <c r="H13" s="1878"/>
      <c r="I13" s="1878"/>
      <c r="J13" s="1879"/>
      <c r="K13" s="1054"/>
      <c r="L13" s="3"/>
      <c r="M13" s="4"/>
      <c r="N13" s="3008"/>
      <c r="O13" s="1054"/>
      <c r="P13" s="1054"/>
      <c r="Q13" s="1054"/>
      <c r="R13" s="1126">
        <v>12</v>
      </c>
      <c r="S13" s="1127"/>
      <c r="T13" s="3061">
        <f t="shared" si="0"/>
        <v>0</v>
      </c>
      <c r="U13" s="1127"/>
      <c r="V13" s="3061">
        <f t="shared" si="1"/>
        <v>0</v>
      </c>
      <c r="W13" s="1130"/>
      <c r="X13" s="1130"/>
      <c r="Y13" s="1130"/>
      <c r="Z13" s="1130"/>
      <c r="AA13" s="1130"/>
      <c r="AB13" s="1130"/>
      <c r="AC13" s="1131"/>
      <c r="AD13" s="2551"/>
      <c r="AE13" s="2551"/>
      <c r="AF13" s="2551"/>
      <c r="AG13" s="2551"/>
      <c r="AH13" s="2551"/>
      <c r="AI13" s="2551"/>
      <c r="AJ13" s="2552"/>
    </row>
    <row r="14" spans="1:36" ht="15">
      <c r="A14" s="3006"/>
      <c r="B14" s="1880" t="s">
        <v>1985</v>
      </c>
      <c r="C14" s="1881" t="s">
        <v>1986</v>
      </c>
      <c r="D14" s="1258" t="s">
        <v>1987</v>
      </c>
      <c r="E14" s="27" t="s">
        <v>1988</v>
      </c>
      <c r="F14" s="3018" t="s">
        <v>3245</v>
      </c>
      <c r="G14" s="3018" t="s">
        <v>3245</v>
      </c>
      <c r="H14" s="3018" t="s">
        <v>3245</v>
      </c>
      <c r="I14" s="3018" t="s">
        <v>3245</v>
      </c>
      <c r="J14" s="3018" t="s">
        <v>3245</v>
      </c>
      <c r="K14" s="1054"/>
      <c r="L14" s="1054"/>
      <c r="M14" s="1054"/>
      <c r="N14" s="1054"/>
      <c r="O14" s="1054"/>
      <c r="P14" s="1054"/>
      <c r="Q14" s="1054"/>
      <c r="R14" s="1126">
        <v>13</v>
      </c>
      <c r="S14" s="1127"/>
      <c r="T14" s="3061">
        <f t="shared" si="0"/>
        <v>0</v>
      </c>
      <c r="U14" s="1127"/>
      <c r="V14" s="3061">
        <f t="shared" si="1"/>
        <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3246</v>
      </c>
      <c r="G15" s="1925"/>
      <c r="H15" s="3019"/>
      <c r="I15" s="3020"/>
      <c r="J15" s="3021"/>
      <c r="K15" s="1054"/>
      <c r="L15" s="1054"/>
      <c r="M15" s="1054"/>
      <c r="N15" s="1054"/>
      <c r="O15" s="1054"/>
      <c r="P15" s="1054"/>
      <c r="Q15" s="1054"/>
      <c r="R15" s="1126">
        <v>14</v>
      </c>
      <c r="S15" s="1127"/>
      <c r="T15" s="3061">
        <f t="shared" si="0"/>
        <v>0</v>
      </c>
      <c r="U15" s="1127"/>
      <c r="V15" s="3061">
        <f t="shared" si="1"/>
        <v>0</v>
      </c>
      <c r="W15" s="1130"/>
      <c r="X15" s="1130"/>
      <c r="Y15" s="1130"/>
      <c r="Z15" s="1130"/>
      <c r="AA15" s="1130"/>
      <c r="AB15" s="1130"/>
      <c r="AC15" s="1131"/>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4"/>
      <c r="L16" s="1841"/>
      <c r="M16" s="1841"/>
      <c r="N16" s="1841"/>
      <c r="O16" s="1841"/>
      <c r="P16" s="1841"/>
      <c r="Q16" s="1054"/>
      <c r="R16" s="1126">
        <v>15</v>
      </c>
      <c r="S16" s="1127"/>
      <c r="T16" s="3061">
        <f t="shared" si="0"/>
        <v>0</v>
      </c>
      <c r="U16" s="1127"/>
      <c r="V16" s="3061">
        <f t="shared" si="1"/>
        <v>0</v>
      </c>
      <c r="W16" s="1130"/>
      <c r="X16" s="1130"/>
      <c r="Y16" s="1130"/>
      <c r="Z16" s="1130"/>
      <c r="AA16" s="1130"/>
      <c r="AB16" s="1130"/>
      <c r="AC16" s="1131"/>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f>ROUND(G18/I18,2)</f>
        <v>0</v>
      </c>
      <c r="F17" s="3026" t="s">
        <v>3252</v>
      </c>
      <c r="G17" s="3034" t="e">
        <f>ROUND(E19/G19,2)</f>
        <v>#DIV/0!</v>
      </c>
      <c r="H17" s="3034"/>
      <c r="I17" s="3034"/>
      <c r="J17" s="3035"/>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4.25">
      <c r="A18" s="3036"/>
      <c r="B18" s="2307"/>
      <c r="C18" s="3032"/>
      <c r="D18" s="3027" t="s">
        <v>3250</v>
      </c>
      <c r="E18" s="2354"/>
      <c r="F18" s="3028" t="s">
        <v>3253</v>
      </c>
      <c r="G18" s="3032">
        <f>ROUND(1-(1/(POWER(1+G24,E18))),4)</f>
        <v>0</v>
      </c>
      <c r="H18" s="3028" t="s">
        <v>3255</v>
      </c>
      <c r="I18" s="3032">
        <f>ROUND(1-(1/(POWER(1+G24,J24))),4)</f>
        <v>0.91279999999999994</v>
      </c>
      <c r="J18" s="3037"/>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50"/>
    </row>
    <row r="19" spans="1:37" s="1855" customFormat="1" ht="15" thickBot="1">
      <c r="A19" s="3038"/>
      <c r="B19" s="3039"/>
      <c r="C19" s="3040"/>
      <c r="D19" s="3040" t="s">
        <v>3251</v>
      </c>
      <c r="E19" s="3041"/>
      <c r="F19" s="3042" t="s">
        <v>3254</v>
      </c>
      <c r="G19" s="3041"/>
      <c r="H19" s="3040"/>
      <c r="I19" s="3040"/>
      <c r="J19" s="3043"/>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3"/>
      <c r="AH19" s="1977"/>
      <c r="AI19" s="560"/>
      <c r="AJ19" s="560"/>
      <c r="AK19" s="1896"/>
    </row>
    <row r="20" spans="1:37" s="1855" customFormat="1" ht="14.25">
      <c r="A20" s="3515" t="s">
        <v>3256</v>
      </c>
      <c r="B20" s="158" t="s">
        <v>1994</v>
      </c>
      <c r="C20" s="3029">
        <f>ROUND(IF(F21="与级别开发程度一致",0,(G21-E21)/C21),0)</f>
        <v>-42</v>
      </c>
      <c r="D20" s="3044" t="s">
        <v>1998</v>
      </c>
      <c r="E20" s="3045"/>
      <c r="F20" s="3521" t="s">
        <v>1995</v>
      </c>
      <c r="G20" s="3522"/>
      <c r="H20" s="3030" t="s">
        <v>3653</v>
      </c>
      <c r="I20" s="3030" t="s">
        <v>3654</v>
      </c>
      <c r="J20" s="3031" t="s">
        <v>3655</v>
      </c>
      <c r="K20" s="1886" t="s">
        <v>3656</v>
      </c>
      <c r="L20" s="1886" t="s">
        <v>3657</v>
      </c>
      <c r="M20" s="1886" t="s">
        <v>3658</v>
      </c>
      <c r="N20" s="1886" t="s">
        <v>3659</v>
      </c>
      <c r="O20" s="1887"/>
      <c r="P20" s="1841"/>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5" customFormat="1" ht="26.25" thickBot="1">
      <c r="A21" s="3516"/>
      <c r="B21" s="1999" t="s">
        <v>1997</v>
      </c>
      <c r="C21" s="2000">
        <f>IF(E3="M4科研用地",SUMPRODUCT((修正!A2:A7=E3)*(修正!B1:M1=G2)*(修正!B2:M7)),SUMPRODUCT((修正!A2:A7=E2)*(修正!B1:M1=G2)*(修正!B2:M7)))</f>
        <v>1.2</v>
      </c>
      <c r="D21" s="178" t="str">
        <f>IF(OR(G2="八级",G2="九级",G2="十级",G2="十一级",G2="十二级"),"五通一平","七通一平")</f>
        <v>七通一平</v>
      </c>
      <c r="E21" s="1990">
        <f>SUMPRODUCT((修正!B1:M1=G2)*(修正!B17:M17))</f>
        <v>315</v>
      </c>
      <c r="F21" s="1991" t="s">
        <v>3652</v>
      </c>
      <c r="G21" s="1992">
        <f>SUM(H21:O21)</f>
        <v>265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40</v>
      </c>
      <c r="N21" s="2000">
        <f>SUMPRODUCT((七通一平=N20)*(修正!B1:M1=G2)*(修正!B8:M16))</f>
        <v>15</v>
      </c>
      <c r="O21" s="2002">
        <f>SUMPRODUCT((七通一平=O20)*(修正!B1:M1=G2)*(修正!B8:M16))</f>
        <v>0</v>
      </c>
      <c r="P21" s="1841"/>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5" customFormat="1" ht="15.75" thickBot="1">
      <c r="A22" s="1993" t="s">
        <v>363</v>
      </c>
      <c r="B22" s="1994" t="s">
        <v>2000</v>
      </c>
      <c r="C22" s="1995">
        <f>SUMIF(修正!C20:C51,E3,修正!E20:E51)</f>
        <v>1</v>
      </c>
      <c r="D22" s="1996"/>
      <c r="E22" s="1997"/>
      <c r="F22" s="1997"/>
      <c r="G22" s="1997"/>
      <c r="H22" s="1997"/>
      <c r="I22" s="1997"/>
      <c r="J22" s="1998"/>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6.25" thickBot="1">
      <c r="A23" s="1889" t="s">
        <v>364</v>
      </c>
      <c r="B23" s="1890" t="s">
        <v>2001</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3" t="s">
        <v>2002</v>
      </c>
      <c r="E23" s="715">
        <v>44197</v>
      </c>
      <c r="F23" s="1893" t="s">
        <v>2003</v>
      </c>
      <c r="G23" s="716">
        <f>'数据-取费表'!B2</f>
        <v>45607</v>
      </c>
      <c r="H23" s="3046" t="s">
        <v>3258</v>
      </c>
      <c r="I23" s="3047" t="str">
        <f>IF(H23="季度增幅（自定义）",SUMIF(N25:N28,E2,O25:O28),"")</f>
        <v/>
      </c>
      <c r="J23" s="3139" t="s">
        <v>3257</v>
      </c>
      <c r="K23" s="1059"/>
      <c r="L23" s="1894" t="s">
        <v>2004</v>
      </c>
      <c r="M23" s="1238">
        <f>ROUND(SUMIF(地价!B2:G2,E2,地价!B16:G16),0)</f>
        <v>318</v>
      </c>
      <c r="N23" s="1895" t="s">
        <v>2005</v>
      </c>
      <c r="O23" s="717">
        <f>ROUNDDOWN(DATEDIF(E23,G23,"M")/3,0)</f>
        <v>15</v>
      </c>
      <c r="P23" s="1055"/>
      <c r="Q23" s="2550"/>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75" thickBot="1">
      <c r="A24" s="1897" t="s">
        <v>365</v>
      </c>
      <c r="B24" s="1898" t="s">
        <v>2006</v>
      </c>
      <c r="C24" s="718">
        <f>ROUND(POWER(1+G24,J24-I24)*(POWER(1+G24,I24)-1)/(POWER(1+G24,J24)-1),4)</f>
        <v>0.95009999999999994</v>
      </c>
      <c r="D24" s="1899" t="s">
        <v>2007</v>
      </c>
      <c r="E24" s="1245">
        <f>存贷款利率!E27/100</f>
        <v>4.3499999999999997E-2</v>
      </c>
      <c r="F24" s="1899" t="s">
        <v>1999</v>
      </c>
      <c r="G24" s="722">
        <f>SUMIF(M30:Q30,E2,M33:Q33)</f>
        <v>0.05</v>
      </c>
      <c r="H24" s="1899" t="s">
        <v>2008</v>
      </c>
      <c r="I24" s="723">
        <f>SUMIF('数据-取费表'!C6:C15,E2,'数据-取费表'!F6:F15)/COUNTIF('数据-取费表'!C6:C15,E2)</f>
        <v>41.38</v>
      </c>
      <c r="J24" s="724">
        <f>IF(E2="住宅",70,IF(E2="商业",40,50))</f>
        <v>50</v>
      </c>
      <c r="K24" s="1059"/>
      <c r="L24" s="1900" t="s">
        <v>2009</v>
      </c>
      <c r="M24" s="1239">
        <f>ROUND(SUMPRODUCT((地价!A4:A16=YEAR(G23)&amp;"-"&amp;ROUNDUP(MONTH(G23)/3,0))*(地价!B2:G2=E2)*(地价!B4:G16)),0)</f>
        <v>0</v>
      </c>
      <c r="N24" s="1901" t="s">
        <v>2010</v>
      </c>
      <c r="O24" s="1902" t="s">
        <v>2011</v>
      </c>
      <c r="P24" s="1903" t="s">
        <v>2012</v>
      </c>
      <c r="Q24" s="1841"/>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5">
      <c r="A25" s="1904" t="s">
        <v>366</v>
      </c>
      <c r="B25" s="1905" t="s">
        <v>3337</v>
      </c>
      <c r="C25" s="460">
        <f>IF(B25="容积率修正",IF(G3&lt;10,D26,J26),C27)</f>
        <v>0.82269999999999999</v>
      </c>
      <c r="D25" s="1906"/>
      <c r="E25" s="1906"/>
      <c r="F25" s="1906"/>
      <c r="G25" s="1906"/>
      <c r="H25" s="1906"/>
      <c r="I25" s="1906"/>
      <c r="J25" s="1907"/>
      <c r="K25" s="1059"/>
      <c r="L25" s="2550"/>
      <c r="M25" s="2550"/>
      <c r="N25" s="1908" t="s">
        <v>2013</v>
      </c>
      <c r="O25" s="1090"/>
      <c r="P25" s="1091">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25">
      <c r="A26" s="1803" t="s">
        <v>2014</v>
      </c>
      <c r="B26" s="1909" t="s">
        <v>2015</v>
      </c>
      <c r="C26" s="1909" t="s">
        <v>3259</v>
      </c>
      <c r="D26" s="1260">
        <f>IF(E26=G26,F26,IF(G3&lt;10,ROUND(F26+(H26-F26)*(G3-E26)/(G26-E26),4),"——"))</f>
        <v>0.82269999999999999</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1909" t="s">
        <v>3260</v>
      </c>
      <c r="J26" s="373" t="str">
        <f>IF(G3&gt;=10,D115,"——")</f>
        <v>——</v>
      </c>
      <c r="K26" s="1059"/>
      <c r="L26" s="2550"/>
      <c r="M26" s="2550"/>
      <c r="N26" s="1908" t="s">
        <v>2016</v>
      </c>
      <c r="O26" s="1090"/>
      <c r="P26" s="1091">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75" thickBot="1">
      <c r="A27" s="1803" t="s">
        <v>2017</v>
      </c>
      <c r="B27" s="1910" t="s">
        <v>2018</v>
      </c>
      <c r="C27" s="789">
        <f>ROUND(IF(I3&lt;6,SUMPRODUCT((B106:B110=I3)*(C105:N105=G2)*(C106:N110)),SUMIF(C105:N105,G2,C112:N112)),4)</f>
        <v>0</v>
      </c>
      <c r="D27" s="1839"/>
      <c r="E27" s="1839"/>
      <c r="F27" s="1911"/>
      <c r="G27" s="1912"/>
      <c r="H27" s="1913"/>
      <c r="I27" s="1914"/>
      <c r="J27" s="1915"/>
      <c r="K27" s="1054"/>
      <c r="L27" s="1841"/>
      <c r="M27" s="1841"/>
      <c r="N27" s="1908" t="s">
        <v>2019</v>
      </c>
      <c r="O27" s="1090"/>
      <c r="P27" s="1091">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75" thickBot="1">
      <c r="A28" s="1897" t="s">
        <v>367</v>
      </c>
      <c r="B28" s="1890" t="s">
        <v>2020</v>
      </c>
      <c r="C28" s="714">
        <f>SUMIF(A47:A101,E2,B47:B101)</f>
        <v>1.024</v>
      </c>
      <c r="D28" s="1891"/>
      <c r="E28" s="1916"/>
      <c r="F28" s="1916"/>
      <c r="G28" s="1916"/>
      <c r="H28" s="1916"/>
      <c r="I28" s="1916"/>
      <c r="J28" s="1917"/>
      <c r="K28" s="1059"/>
      <c r="L28" s="2550"/>
      <c r="M28" s="2550"/>
      <c r="N28" s="1918" t="s">
        <v>2021</v>
      </c>
      <c r="O28" s="1092"/>
      <c r="P28" s="1093">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75" thickBot="1">
      <c r="A29" s="1897" t="s">
        <v>368</v>
      </c>
      <c r="B29" s="1919" t="s">
        <v>2022</v>
      </c>
      <c r="C29" s="719"/>
      <c r="D29" s="1865"/>
      <c r="E29" s="1865"/>
      <c r="F29" s="1920"/>
      <c r="G29" s="1865"/>
      <c r="H29" s="1865"/>
      <c r="I29" s="1865"/>
      <c r="J29" s="1866"/>
      <c r="K29" s="1054"/>
      <c r="L29" s="1841"/>
      <c r="M29" s="1841"/>
      <c r="N29" s="2547" t="s">
        <v>2023</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5">
      <c r="A30" s="1921"/>
      <c r="B30" s="1909" t="s">
        <v>2024</v>
      </c>
      <c r="C30" s="2142">
        <f>IF(B25="容积率修正",E33+SUM(E37:E42),SUM(V2:V16)+SUM(E37:E42))</f>
        <v>4769</v>
      </c>
      <c r="D30" s="1922"/>
      <c r="E30" s="1839"/>
      <c r="F30" s="1923"/>
      <c r="G30" s="1839"/>
      <c r="H30" s="1839"/>
      <c r="I30" s="1839"/>
      <c r="J30" s="1924"/>
      <c r="K30" s="1054"/>
      <c r="L30" s="3053" t="s">
        <v>1936</v>
      </c>
      <c r="M30" s="3054" t="s">
        <v>1990</v>
      </c>
      <c r="N30" s="3054" t="s">
        <v>1991</v>
      </c>
      <c r="O30" s="3054" t="s">
        <v>1992</v>
      </c>
      <c r="P30" s="3054" t="s">
        <v>1993</v>
      </c>
      <c r="Q30" s="3057" t="s">
        <v>3264</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75" thickBot="1">
      <c r="A31" s="1921"/>
      <c r="B31" s="1925" t="s">
        <v>2025</v>
      </c>
      <c r="C31" s="720">
        <f>E34+SUM(I37:I42)</f>
        <v>80</v>
      </c>
      <c r="D31" s="1926"/>
      <c r="E31" s="1927"/>
      <c r="F31" s="1928"/>
      <c r="G31" s="1927"/>
      <c r="H31" s="1927"/>
      <c r="I31" s="1927"/>
      <c r="J31" s="1929"/>
      <c r="K31" s="1054"/>
      <c r="L31" s="3055" t="s">
        <v>1996</v>
      </c>
      <c r="M31" s="161">
        <v>0.25</v>
      </c>
      <c r="N31" s="161">
        <v>0.2</v>
      </c>
      <c r="O31" s="161">
        <v>0.15</v>
      </c>
      <c r="P31" s="161">
        <v>0.1</v>
      </c>
      <c r="Q31" s="3050">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4"/>
      <c r="L32" s="3056" t="s">
        <v>1999</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4.25">
      <c r="A33" s="1935"/>
      <c r="B33" s="1936" t="s">
        <v>2030</v>
      </c>
      <c r="C33" s="166">
        <f>ROUND(C5*C22*C23*C24*C25*C28,0)</f>
        <v>1496</v>
      </c>
      <c r="D33" s="1937">
        <f>'数据-汇总表'!F19</f>
        <v>28321.48</v>
      </c>
      <c r="E33" s="725">
        <f>ROUND(C33*D33/10000,0)</f>
        <v>4237</v>
      </c>
      <c r="F33" s="3048" t="s">
        <v>3262</v>
      </c>
      <c r="G33" s="1938"/>
      <c r="H33" s="1938"/>
      <c r="I33" s="1938"/>
      <c r="J33" s="1939"/>
      <c r="K33" s="1054"/>
      <c r="L33" s="3051" t="s">
        <v>3265</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5" thickBot="1">
      <c r="A34" s="1940"/>
      <c r="B34" s="1941" t="s">
        <v>2031</v>
      </c>
      <c r="C34" s="178">
        <f>ROUND(IF(E2="工业",C33*M42,IF(B25="楼层修正",SUM(V2:V16)*M41*10000/D34,C33*M41)),0)</f>
        <v>224</v>
      </c>
      <c r="D34" s="1942"/>
      <c r="E34" s="725">
        <f>ROUND(IF(B25="楼层修正",SUM(V2:V16)*M40,C34*D34/10000),0)</f>
        <v>0</v>
      </c>
      <c r="F34" s="1943" t="s">
        <v>2032</v>
      </c>
      <c r="G34" s="1944"/>
      <c r="H34" s="1944"/>
      <c r="I34" s="1944"/>
      <c r="J34" s="1945"/>
      <c r="K34" s="1054"/>
      <c r="L34" s="3051" t="s">
        <v>3266</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2033</v>
      </c>
      <c r="C35" s="3049" t="s">
        <v>3263</v>
      </c>
      <c r="D35" s="1878"/>
      <c r="E35" s="1948"/>
      <c r="F35" s="1948"/>
      <c r="G35" s="1876" t="s">
        <v>2034</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24.75" thickBot="1">
      <c r="A36" s="1935"/>
      <c r="B36" s="1950"/>
      <c r="C36" s="435" t="s">
        <v>2027</v>
      </c>
      <c r="D36" s="432" t="s">
        <v>2028</v>
      </c>
      <c r="E36" s="432" t="s">
        <v>2029</v>
      </c>
      <c r="F36" s="332" t="s">
        <v>2035</v>
      </c>
      <c r="G36" s="1951" t="s">
        <v>2027</v>
      </c>
      <c r="H36" s="1951" t="s">
        <v>2028</v>
      </c>
      <c r="I36" s="1951" t="s">
        <v>2029</v>
      </c>
      <c r="J36" s="234"/>
      <c r="K36" s="1961" t="s">
        <v>3267</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75" thickBot="1">
      <c r="A37" s="3519"/>
      <c r="B37" s="1952" t="s">
        <v>2036</v>
      </c>
      <c r="C37" s="166">
        <f>ROUND(D5*C22*C23*C24*C28*F37,0)</f>
        <v>1091</v>
      </c>
      <c r="D37" s="1937"/>
      <c r="E37" s="162">
        <f>ROUND(C37*D37/10000,0)</f>
        <v>0</v>
      </c>
      <c r="F37" s="162">
        <f>SUMIF(修正!A57:A68,G2,修正!B57:B68)</f>
        <v>0.6</v>
      </c>
      <c r="G37" s="162">
        <f>ROUND(IF(E2="工业",C37*$M$42,C37*$M$41),0)</f>
        <v>164</v>
      </c>
      <c r="H37" s="162">
        <f>D37</f>
        <v>0</v>
      </c>
      <c r="I37" s="162">
        <f>ROUND(G37*H37/10000,0)</f>
        <v>0</v>
      </c>
      <c r="J37" s="2752"/>
      <c r="K37" s="3059" t="s">
        <v>3268</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520"/>
      <c r="B38" s="1881" t="s">
        <v>2037</v>
      </c>
      <c r="C38" s="166">
        <f>ROUND(D5*C22*C23*C24*C28*F38,0)</f>
        <v>546</v>
      </c>
      <c r="D38" s="1937"/>
      <c r="E38" s="162">
        <f t="shared" ref="E38:E42" si="4">ROUND(C38*D38/10000,0)</f>
        <v>0</v>
      </c>
      <c r="F38" s="162">
        <f>SUMIF(修正!A57:A68,G2,修正!C57:C68)</f>
        <v>0.3</v>
      </c>
      <c r="G38" s="162">
        <f>ROUND(IF(E2="工业",C38*$M$42,C38*$M$41),0)</f>
        <v>82</v>
      </c>
      <c r="H38" s="162">
        <f t="shared" ref="H38:H42" si="5">D38</f>
        <v>0</v>
      </c>
      <c r="I38" s="162">
        <f t="shared" ref="I38:I42" si="6">ROUND(G38*H38/10000,0)</f>
        <v>0</v>
      </c>
      <c r="J38" s="2751"/>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5" thickBot="1">
      <c r="A39" s="3520"/>
      <c r="B39" s="1881" t="s">
        <v>3261</v>
      </c>
      <c r="C39" s="166">
        <f>ROUND(D5*C22*C23*C24*C28*F39,0)</f>
        <v>455</v>
      </c>
      <c r="D39" s="1937"/>
      <c r="E39" s="162">
        <f t="shared" si="4"/>
        <v>0</v>
      </c>
      <c r="F39" s="162">
        <f>SUMIF(修正!A57:A68,G2,修正!D57:D68)</f>
        <v>0.25</v>
      </c>
      <c r="G39" s="162">
        <f>ROUND(IF(E2="工业",C39*$M$42,C39*$M$41),0)</f>
        <v>68</v>
      </c>
      <c r="H39" s="162">
        <f t="shared" si="5"/>
        <v>0</v>
      </c>
      <c r="I39" s="162">
        <f t="shared" si="6"/>
        <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2038</v>
      </c>
      <c r="C40" s="162">
        <f>ROUND(D5*C22*C23*C24*C28*F40,0)</f>
        <v>455</v>
      </c>
      <c r="D40" s="1937"/>
      <c r="E40" s="162">
        <f t="shared" si="4"/>
        <v>0</v>
      </c>
      <c r="F40" s="166">
        <f>SUMIF(修正!A57:A68,G2,修正!E57:E68)</f>
        <v>0.25</v>
      </c>
      <c r="G40" s="162">
        <f>ROUND(IF(E2="工业",C40*$M$42,C40*$M$41),0)</f>
        <v>68</v>
      </c>
      <c r="H40" s="162">
        <f t="shared" si="5"/>
        <v>0</v>
      </c>
      <c r="I40" s="162">
        <f t="shared" si="6"/>
        <v>0</v>
      </c>
      <c r="J40" s="937"/>
      <c r="L40" s="1954" t="s">
        <v>2039</v>
      </c>
      <c r="M40" s="1955"/>
      <c r="Z40" s="1055"/>
      <c r="AA40" s="1055"/>
      <c r="AB40" s="1055"/>
      <c r="AC40" s="1055"/>
      <c r="AD40" s="1055"/>
      <c r="AE40" s="1055"/>
      <c r="AF40" s="1055"/>
      <c r="AG40" s="1055"/>
      <c r="AH40" s="1055"/>
      <c r="AI40" s="1055"/>
      <c r="AJ40" s="1055"/>
    </row>
    <row r="41" spans="1:37" s="1054" customFormat="1">
      <c r="A41" s="1953"/>
      <c r="B41" s="1881" t="s">
        <v>2040</v>
      </c>
      <c r="C41" s="162">
        <f>ROUND(D5*C22*C23*C44*C28*F41,0)</f>
        <v>455</v>
      </c>
      <c r="D41" s="1937"/>
      <c r="E41" s="162">
        <f t="shared" si="4"/>
        <v>0</v>
      </c>
      <c r="F41" s="166">
        <f>SUMIF(修正!A57:A68,G2,修正!F57:F68)</f>
        <v>0.25</v>
      </c>
      <c r="G41" s="162">
        <f>ROUND(IF(E2="工业",C41*$M$42,C41*$M$41),0)</f>
        <v>68</v>
      </c>
      <c r="H41" s="162">
        <f t="shared" si="5"/>
        <v>0</v>
      </c>
      <c r="I41" s="162">
        <f t="shared" si="6"/>
        <v>0</v>
      </c>
      <c r="J41" s="937"/>
      <c r="L41" s="3060" t="s">
        <v>3269</v>
      </c>
      <c r="M41" s="1956">
        <v>0.25</v>
      </c>
      <c r="Z41" s="1055"/>
      <c r="AA41" s="1055"/>
      <c r="AB41" s="1055"/>
      <c r="AC41" s="1055"/>
      <c r="AD41" s="1055"/>
      <c r="AE41" s="1055"/>
      <c r="AF41" s="1055"/>
      <c r="AG41" s="1055"/>
      <c r="AH41" s="1055"/>
      <c r="AI41" s="1055"/>
      <c r="AJ41" s="1055"/>
    </row>
    <row r="42" spans="1:37" s="1054" customFormat="1" ht="13.5" thickBot="1">
      <c r="A42" s="1940"/>
      <c r="B42" s="1957" t="s">
        <v>2041</v>
      </c>
      <c r="C42" s="178">
        <f>ROUND(D5*C22*C23*C44*C28*F42,0)</f>
        <v>273</v>
      </c>
      <c r="D42" s="3561">
        <f>'数据-汇总表'!E20</f>
        <v>19473.41</v>
      </c>
      <c r="E42" s="178">
        <f t="shared" si="4"/>
        <v>532</v>
      </c>
      <c r="F42" s="721">
        <f>SUMIF(修正!A57:A68,G2,修正!G57:G68)</f>
        <v>0.15</v>
      </c>
      <c r="G42" s="178">
        <f>ROUND(IF(E2="工业",C42*$M$42,C42*$M$41),0)</f>
        <v>41</v>
      </c>
      <c r="H42" s="178">
        <f t="shared" si="5"/>
        <v>19473.41</v>
      </c>
      <c r="I42" s="178">
        <f t="shared" si="6"/>
        <v>80</v>
      </c>
      <c r="J42" s="1958"/>
      <c r="L42" s="1959" t="s">
        <v>1993</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9" t="s">
        <v>2122</v>
      </c>
      <c r="C44" s="332">
        <f>ROUND(POWER(1+E44,H44-G44)*(POWER(1+E44,G44)-1)/(POWER(1+E44,H44)-1),4)</f>
        <v>0.95009999999999994</v>
      </c>
      <c r="D44" s="162" t="s">
        <v>1999</v>
      </c>
      <c r="E44" s="1988">
        <f>G24</f>
        <v>0.05</v>
      </c>
      <c r="F44" s="162" t="s">
        <v>2008</v>
      </c>
      <c r="G44" s="174">
        <f>项目基本情况!H15</f>
        <v>41.38</v>
      </c>
      <c r="H44" s="162">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75" thickBot="1">
      <c r="A47" s="1962" t="s">
        <v>2042</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hidden="1">
      <c r="A48" s="1964" t="s">
        <v>2043</v>
      </c>
      <c r="B48" s="1965">
        <f>1+E50</f>
        <v>1</v>
      </c>
      <c r="C48" s="1723"/>
      <c r="D48" s="697"/>
      <c r="E48" s="698"/>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hidden="1">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5"/>
      <c r="AB49" s="1055"/>
      <c r="AC49" s="1055"/>
      <c r="AD49" s="1055"/>
      <c r="AE49" s="1055"/>
      <c r="AF49" s="1055"/>
      <c r="AG49" s="1055"/>
      <c r="AH49" s="1055"/>
      <c r="AI49" s="1055"/>
      <c r="AJ49" s="1055"/>
      <c r="AK49" s="1055"/>
    </row>
    <row r="50" spans="1:37" s="1054" customFormat="1" ht="38.25" hidden="1">
      <c r="A50" s="1967" t="s">
        <v>2052</v>
      </c>
      <c r="B50" s="1970" t="str">
        <f>估价对象房地状况!C4</f>
        <v>估价对象位于XX商圈，周边商业氛围成熟，人流量大，商业繁华度好</v>
      </c>
      <c r="C50" s="1884"/>
      <c r="D50" s="1000">
        <f t="shared" ref="D50:D58" si="7">SUMIF($J$49:$N$49,C50,J50:N50)</f>
        <v>0</v>
      </c>
      <c r="E50" s="700">
        <f>ROUND(SUM(D50:D58),4)</f>
        <v>0</v>
      </c>
      <c r="F50" s="1672" t="str">
        <f>IF(E2="商业",SUMIF(L1:L12,G2,N1:N12),"——")</f>
        <v>——</v>
      </c>
      <c r="G50" s="998"/>
      <c r="H50" s="1001" t="str">
        <f t="shared" ref="H50:H58" si="8">IFERROR(ROUNDDOWN($F$50*I50/2,4),"——")</f>
        <v>——</v>
      </c>
      <c r="I50" s="3066">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38.25" hidden="1">
      <c r="A51" s="1967" t="s">
        <v>2053</v>
      </c>
      <c r="B51" s="1259" t="str">
        <f>估价对象房地状况!C18</f>
        <v>估价对象周边道路状况、公共交通通达情况、停车便捷程度，综合评价交通便捷度较好</v>
      </c>
      <c r="C51" s="1884"/>
      <c r="D51" s="1000">
        <f t="shared" si="7"/>
        <v>0</v>
      </c>
      <c r="E51" s="701"/>
      <c r="F51" s="1672"/>
      <c r="G51" s="998"/>
      <c r="H51" s="1001" t="str">
        <f t="shared" si="8"/>
        <v>——</v>
      </c>
      <c r="I51" s="3066">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hidden="1">
      <c r="A52" s="3068" t="s">
        <v>3271</v>
      </c>
      <c r="B52" s="1259">
        <f>估价对象房地状况!C19</f>
        <v>0</v>
      </c>
      <c r="C52" s="1884"/>
      <c r="D52" s="1000">
        <f t="shared" si="7"/>
        <v>0</v>
      </c>
      <c r="E52" s="701"/>
      <c r="F52" s="1672"/>
      <c r="G52" s="998"/>
      <c r="H52" s="1001" t="str">
        <f t="shared" si="8"/>
        <v>——</v>
      </c>
      <c r="I52" s="3066">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hidden="1">
      <c r="A53" s="1967" t="s">
        <v>2054</v>
      </c>
      <c r="B53" s="1971" t="s">
        <v>2055</v>
      </c>
      <c r="C53" s="1884"/>
      <c r="D53" s="1000">
        <f t="shared" si="7"/>
        <v>0</v>
      </c>
      <c r="E53" s="701"/>
      <c r="F53" s="1672"/>
      <c r="G53" s="998"/>
      <c r="H53" s="1001" t="str">
        <f t="shared" si="8"/>
        <v>——</v>
      </c>
      <c r="I53" s="3066">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hidden="1">
      <c r="A54" s="1967" t="s">
        <v>2056</v>
      </c>
      <c r="B54" s="1259">
        <f>估价对象房地状况!C24</f>
        <v>0</v>
      </c>
      <c r="C54" s="1884"/>
      <c r="D54" s="1000">
        <f t="shared" si="7"/>
        <v>0</v>
      </c>
      <c r="E54" s="701"/>
      <c r="F54" s="1672"/>
      <c r="G54" s="998"/>
      <c r="H54" s="1001" t="str">
        <f t="shared" si="8"/>
        <v>——</v>
      </c>
      <c r="I54" s="3066">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hidden="1">
      <c r="A55" s="1967" t="s">
        <v>2057</v>
      </c>
      <c r="B55" s="1972" t="s">
        <v>2058</v>
      </c>
      <c r="C55" s="1884"/>
      <c r="D55" s="1000">
        <f t="shared" si="7"/>
        <v>0</v>
      </c>
      <c r="E55" s="701"/>
      <c r="F55" s="1672"/>
      <c r="G55" s="998"/>
      <c r="H55" s="1001" t="str">
        <f t="shared" si="8"/>
        <v>——</v>
      </c>
      <c r="I55" s="3066">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5.5" hidden="1">
      <c r="A56" s="1973" t="s">
        <v>2059</v>
      </c>
      <c r="B56" s="1237" t="str">
        <f>估价对象房地状况!C21</f>
        <v>估价对象所在区域公共配套设施齐备情况</v>
      </c>
      <c r="C56" s="1884"/>
      <c r="D56" s="1000">
        <f t="shared" si="7"/>
        <v>0</v>
      </c>
      <c r="E56" s="701"/>
      <c r="F56" s="1672"/>
      <c r="G56" s="998"/>
      <c r="H56" s="1001" t="str">
        <f t="shared" si="8"/>
        <v>——</v>
      </c>
      <c r="I56" s="3066">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5.5" hidden="1">
      <c r="A57" s="1973" t="s">
        <v>2060</v>
      </c>
      <c r="B57" s="1259" t="str">
        <f>估价对象房地状况!C22</f>
        <v>估价对象所在区域基础设施水平</v>
      </c>
      <c r="C57" s="1884"/>
      <c r="D57" s="1000">
        <f t="shared" si="7"/>
        <v>0</v>
      </c>
      <c r="E57" s="701"/>
      <c r="F57" s="1672"/>
      <c r="G57" s="998"/>
      <c r="H57" s="1001" t="str">
        <f t="shared" si="8"/>
        <v>——</v>
      </c>
      <c r="I57" s="3066">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6.25" hidden="1" thickBot="1">
      <c r="A58" s="1974" t="s">
        <v>2061</v>
      </c>
      <c r="B58" s="1975" t="str">
        <f>估价对象房地状况!C20</f>
        <v>区域自然环境：；人文环境；综合评价环境状况一般</v>
      </c>
      <c r="C58" s="1884"/>
      <c r="D58" s="1000">
        <f t="shared" si="7"/>
        <v>0</v>
      </c>
      <c r="E58" s="702"/>
      <c r="F58" s="1672"/>
      <c r="G58" s="998"/>
      <c r="H58" s="1001" t="str">
        <f t="shared" si="8"/>
        <v>——</v>
      </c>
      <c r="I58" s="3067">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hidden="1">
      <c r="A59" s="1964" t="s">
        <v>2062</v>
      </c>
      <c r="B59" s="1965">
        <f>1+E61</f>
        <v>1</v>
      </c>
      <c r="C59" s="697"/>
      <c r="D59" s="697"/>
      <c r="E59" s="698"/>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hidden="1">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5"/>
      <c r="AB60" s="1055"/>
      <c r="AC60" s="1055"/>
      <c r="AD60" s="1055"/>
      <c r="AE60" s="1055"/>
      <c r="AF60" s="1055"/>
      <c r="AG60" s="1055"/>
      <c r="AH60" s="1055"/>
      <c r="AI60" s="1055"/>
      <c r="AJ60" s="1055"/>
      <c r="AK60" s="1055"/>
    </row>
    <row r="61" spans="1:37" s="1054" customFormat="1" ht="38.25" hidden="1">
      <c r="A61" s="1967" t="s">
        <v>2064</v>
      </c>
      <c r="B61" s="1970" t="str">
        <f>估价对象房地状况!C17</f>
        <v>估价对象位于XX商圈，周边办公楼项目较多，入驻率高，办公集聚程度较好</v>
      </c>
      <c r="C61" s="1884"/>
      <c r="D61" s="1000">
        <f t="shared" ref="D61:D69" si="12">SUMIF($J$60:$N$60,C61,J61:N61)</f>
        <v>0</v>
      </c>
      <c r="E61" s="700">
        <f>ROUND(SUM(D61:D69),4)</f>
        <v>0</v>
      </c>
      <c r="F61" s="1672" t="str">
        <f>IF(E2="办公",SUMIF(L1:L12,G2,N1:N12),"——")</f>
        <v>——</v>
      </c>
      <c r="G61" s="998"/>
      <c r="H61" s="1001" t="str">
        <f t="shared" ref="H61:H69" si="13">IFERROR(ROUNDDOWN($F$61*I61/2,4),"——")</f>
        <v>——</v>
      </c>
      <c r="I61" s="3066">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38.25" hidden="1">
      <c r="A62" s="1967" t="s">
        <v>2053</v>
      </c>
      <c r="B62" s="1259" t="str">
        <f>估价对象房地状况!C18</f>
        <v>估价对象周边道路状况、公共交通通达情况、停车便捷程度，综合评价交通便捷度较好</v>
      </c>
      <c r="C62" s="1884"/>
      <c r="D62" s="1000">
        <f t="shared" si="12"/>
        <v>0</v>
      </c>
      <c r="E62" s="701"/>
      <c r="F62" s="1672"/>
      <c r="G62" s="998"/>
      <c r="H62" s="1001" t="str">
        <f t="shared" si="13"/>
        <v>——</v>
      </c>
      <c r="I62" s="3066">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hidden="1">
      <c r="A63" s="3068" t="s">
        <v>3271</v>
      </c>
      <c r="B63" s="1259">
        <f>估价对象房地状况!C19</f>
        <v>0</v>
      </c>
      <c r="C63" s="1884"/>
      <c r="D63" s="1000">
        <f t="shared" si="12"/>
        <v>0</v>
      </c>
      <c r="E63" s="701"/>
      <c r="F63" s="1672"/>
      <c r="G63" s="998"/>
      <c r="H63" s="1001" t="str">
        <f t="shared" si="13"/>
        <v>——</v>
      </c>
      <c r="I63" s="3066">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hidden="1">
      <c r="A64" s="1967" t="s">
        <v>2054</v>
      </c>
      <c r="B64" s="1971" t="s">
        <v>2055</v>
      </c>
      <c r="C64" s="1884"/>
      <c r="D64" s="1000">
        <f t="shared" si="12"/>
        <v>0</v>
      </c>
      <c r="E64" s="701"/>
      <c r="F64" s="1672"/>
      <c r="G64" s="998"/>
      <c r="H64" s="1001" t="str">
        <f t="shared" si="13"/>
        <v>——</v>
      </c>
      <c r="I64" s="3066">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hidden="1">
      <c r="A65" s="1967" t="s">
        <v>2056</v>
      </c>
      <c r="B65" s="1259">
        <f>估价对象房地状况!C24</f>
        <v>0</v>
      </c>
      <c r="C65" s="1884"/>
      <c r="D65" s="1000">
        <f t="shared" si="12"/>
        <v>0</v>
      </c>
      <c r="E65" s="701"/>
      <c r="F65" s="1672"/>
      <c r="G65" s="998"/>
      <c r="H65" s="1001" t="str">
        <f t="shared" si="13"/>
        <v>——</v>
      </c>
      <c r="I65" s="3066">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hidden="1">
      <c r="A66" s="1967" t="s">
        <v>2057</v>
      </c>
      <c r="B66" s="1972" t="s">
        <v>2058</v>
      </c>
      <c r="C66" s="1884"/>
      <c r="D66" s="1000">
        <f t="shared" si="12"/>
        <v>0</v>
      </c>
      <c r="E66" s="701"/>
      <c r="F66" s="1672"/>
      <c r="G66" s="998"/>
      <c r="H66" s="1001" t="str">
        <f t="shared" si="13"/>
        <v>——</v>
      </c>
      <c r="I66" s="3066">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5.5" hidden="1">
      <c r="A67" s="1967" t="s">
        <v>2059</v>
      </c>
      <c r="B67" s="1237" t="str">
        <f>估价对象房地状况!C21</f>
        <v>估价对象所在区域公共配套设施齐备情况</v>
      </c>
      <c r="C67" s="1884"/>
      <c r="D67" s="1000">
        <f t="shared" si="12"/>
        <v>0</v>
      </c>
      <c r="E67" s="701"/>
      <c r="F67" s="1672"/>
      <c r="G67" s="998"/>
      <c r="H67" s="1001" t="str">
        <f t="shared" si="13"/>
        <v>——</v>
      </c>
      <c r="I67" s="3066">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5.5" hidden="1">
      <c r="A68" s="1967" t="s">
        <v>2060</v>
      </c>
      <c r="B68" s="1237" t="str">
        <f>估价对象房地状况!C22</f>
        <v>估价对象所在区域基础设施水平</v>
      </c>
      <c r="C68" s="1884"/>
      <c r="D68" s="1000">
        <f t="shared" si="12"/>
        <v>0</v>
      </c>
      <c r="E68" s="701"/>
      <c r="F68" s="1672"/>
      <c r="G68" s="998"/>
      <c r="H68" s="1001" t="str">
        <f t="shared" si="13"/>
        <v>——</v>
      </c>
      <c r="I68" s="3066">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6.25" hidden="1" thickBot="1">
      <c r="A69" s="1974" t="s">
        <v>2061</v>
      </c>
      <c r="B69" s="1976" t="str">
        <f>估价对象房地状况!C20</f>
        <v>区域自然环境：；人文环境；综合评价环境状况一般</v>
      </c>
      <c r="C69" s="1884"/>
      <c r="D69" s="1000">
        <f t="shared" si="12"/>
        <v>0</v>
      </c>
      <c r="E69" s="702"/>
      <c r="F69" s="1672"/>
      <c r="G69" s="998"/>
      <c r="H69" s="1001" t="str">
        <f t="shared" si="13"/>
        <v>——</v>
      </c>
      <c r="I69" s="3067">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hidden="1">
      <c r="A70" s="1964" t="s">
        <v>2065</v>
      </c>
      <c r="B70" s="1965">
        <f>1+E72</f>
        <v>1</v>
      </c>
      <c r="C70" s="697"/>
      <c r="D70" s="697"/>
      <c r="E70" s="698"/>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hidden="1">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5"/>
      <c r="AB71" s="1055"/>
      <c r="AC71" s="1055"/>
      <c r="AD71" s="1055"/>
      <c r="AE71" s="1055"/>
      <c r="AF71" s="1055"/>
      <c r="AG71" s="1055"/>
      <c r="AH71" s="1055"/>
      <c r="AI71" s="1055"/>
      <c r="AJ71" s="1055"/>
      <c r="AK71" s="1055"/>
    </row>
    <row r="72" spans="1:37" s="1054" customFormat="1" ht="51" hidden="1">
      <c r="A72" s="1967" t="s">
        <v>2066</v>
      </c>
      <c r="B72" s="1970" t="str">
        <f>估价对象房地状况!C15</f>
        <v>估价对象周边居住用地比例、居住小区规模和社区发展完善程度，综合评价居住社区成熟度一般</v>
      </c>
      <c r="C72" s="1884"/>
      <c r="D72" s="1000">
        <f t="shared" ref="D72:D80" si="17">SUMIF($J$71:$N$71,C72,J72:N72)</f>
        <v>0</v>
      </c>
      <c r="E72" s="700">
        <f>ROUND(SUM(D72:D80),4)</f>
        <v>0</v>
      </c>
      <c r="F72" s="1672" t="str">
        <f>IF(E2="住宅",SUMIF(L1:L12,G2,N1:N12),"——")</f>
        <v>——</v>
      </c>
      <c r="G72" s="998"/>
      <c r="H72" s="1001" t="str">
        <f t="shared" ref="H72:H80" si="18">IFERROR(ROUNDDOWN($F$72*I72/2,4),"——")</f>
        <v>——</v>
      </c>
      <c r="I72" s="3066">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38.25" hidden="1">
      <c r="A73" s="1967" t="s">
        <v>2053</v>
      </c>
      <c r="B73" s="1259" t="str">
        <f>估价对象房地状况!C18</f>
        <v>估价对象周边道路状况、公共交通通达情况、停车便捷程度，综合评价交通便捷度较好</v>
      </c>
      <c r="C73" s="1884"/>
      <c r="D73" s="1000">
        <f t="shared" si="17"/>
        <v>0</v>
      </c>
      <c r="E73" s="703"/>
      <c r="F73" s="1672"/>
      <c r="G73" s="998"/>
      <c r="H73" s="1001" t="str">
        <f t="shared" si="18"/>
        <v>——</v>
      </c>
      <c r="I73" s="3066">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1" customFormat="1" ht="36" hidden="1">
      <c r="A74" s="3068" t="s">
        <v>3271</v>
      </c>
      <c r="B74" s="1259">
        <f>估价对象房地状况!C19</f>
        <v>0</v>
      </c>
      <c r="C74" s="1884"/>
      <c r="D74" s="1000">
        <f t="shared" si="17"/>
        <v>0</v>
      </c>
      <c r="E74" s="703"/>
      <c r="F74" s="1672"/>
      <c r="G74" s="998"/>
      <c r="H74" s="1001" t="str">
        <f t="shared" si="18"/>
        <v>——</v>
      </c>
      <c r="I74" s="3066">
        <v>0.1</v>
      </c>
      <c r="J74" s="999">
        <f t="shared" si="19"/>
        <v>0</v>
      </c>
      <c r="K74" s="999">
        <f t="shared" si="20"/>
        <v>0</v>
      </c>
      <c r="L74" s="999">
        <v>0</v>
      </c>
      <c r="M74" s="999">
        <f t="shared" si="21"/>
        <v>0</v>
      </c>
      <c r="N74" s="999">
        <f t="shared" si="21"/>
        <v>0</v>
      </c>
      <c r="O74" s="1054"/>
      <c r="P74" s="1054"/>
      <c r="Q74" s="1054"/>
      <c r="AA74" s="1977"/>
      <c r="AB74" s="1055"/>
      <c r="AC74" s="1055"/>
      <c r="AD74" s="1055"/>
      <c r="AE74" s="1055"/>
      <c r="AF74" s="1055"/>
      <c r="AG74" s="1055"/>
      <c r="AH74" s="1977"/>
      <c r="AI74" s="1977"/>
      <c r="AJ74" s="1977"/>
      <c r="AK74" s="1977"/>
    </row>
    <row r="75" spans="1:37" ht="14.25" hidden="1">
      <c r="A75" s="1967" t="s">
        <v>2067</v>
      </c>
      <c r="B75" s="1259">
        <f>估价对象房地状况!C24</f>
        <v>0</v>
      </c>
      <c r="C75" s="1884"/>
      <c r="D75" s="1000">
        <f t="shared" si="17"/>
        <v>0</v>
      </c>
      <c r="E75" s="703"/>
      <c r="F75" s="1672"/>
      <c r="G75" s="998"/>
      <c r="H75" s="1001" t="str">
        <f t="shared" si="18"/>
        <v>——</v>
      </c>
      <c r="I75" s="3066">
        <v>0.05</v>
      </c>
      <c r="J75" s="999">
        <f t="shared" si="19"/>
        <v>0</v>
      </c>
      <c r="K75" s="999">
        <f t="shared" si="20"/>
        <v>0</v>
      </c>
      <c r="L75" s="999">
        <v>0</v>
      </c>
      <c r="M75" s="999">
        <f t="shared" si="21"/>
        <v>0</v>
      </c>
      <c r="N75" s="999">
        <f t="shared" si="21"/>
        <v>0</v>
      </c>
      <c r="O75" s="1054"/>
      <c r="P75" s="1054"/>
      <c r="Q75" s="1841"/>
      <c r="Z75" s="1842"/>
      <c r="AA75" s="1892"/>
      <c r="AG75" s="1056"/>
      <c r="AK75" s="1892"/>
    </row>
    <row r="76" spans="1:37" ht="25.5" hidden="1">
      <c r="A76" s="1967" t="s">
        <v>2059</v>
      </c>
      <c r="B76" s="1237" t="str">
        <f>估价对象房地状况!C21</f>
        <v>估价对象所在区域公共配套设施齐备情况</v>
      </c>
      <c r="C76" s="1884"/>
      <c r="D76" s="1000">
        <f t="shared" si="17"/>
        <v>0</v>
      </c>
      <c r="E76" s="703"/>
      <c r="F76" s="1672"/>
      <c r="G76" s="998"/>
      <c r="H76" s="1001" t="str">
        <f t="shared" si="18"/>
        <v>——</v>
      </c>
      <c r="I76" s="3066">
        <v>0.08</v>
      </c>
      <c r="J76" s="999">
        <f t="shared" si="19"/>
        <v>0</v>
      </c>
      <c r="K76" s="999">
        <f t="shared" si="20"/>
        <v>0</v>
      </c>
      <c r="L76" s="999">
        <v>0</v>
      </c>
      <c r="M76" s="999">
        <f t="shared" si="21"/>
        <v>0</v>
      </c>
      <c r="N76" s="999">
        <f t="shared" si="21"/>
        <v>0</v>
      </c>
      <c r="O76" s="1054"/>
      <c r="P76" s="1054"/>
      <c r="Z76" s="1842"/>
      <c r="AA76" s="1892"/>
      <c r="AG76" s="1056"/>
      <c r="AK76" s="1892"/>
    </row>
    <row r="77" spans="1:37" ht="25.5" hidden="1">
      <c r="A77" s="1967" t="s">
        <v>2060</v>
      </c>
      <c r="B77" s="1237" t="str">
        <f>估价对象房地状况!C22</f>
        <v>估价对象所在区域基础设施水平</v>
      </c>
      <c r="C77" s="1884"/>
      <c r="D77" s="1000">
        <f t="shared" si="17"/>
        <v>0</v>
      </c>
      <c r="E77" s="703"/>
      <c r="F77" s="1672"/>
      <c r="G77" s="998"/>
      <c r="H77" s="1001" t="str">
        <f t="shared" si="18"/>
        <v>——</v>
      </c>
      <c r="I77" s="3066">
        <v>0.09</v>
      </c>
      <c r="J77" s="999">
        <f t="shared" si="19"/>
        <v>0</v>
      </c>
      <c r="K77" s="999">
        <f t="shared" si="20"/>
        <v>0</v>
      </c>
      <c r="L77" s="999">
        <v>0</v>
      </c>
      <c r="M77" s="999">
        <f t="shared" si="21"/>
        <v>0</v>
      </c>
      <c r="N77" s="999">
        <f t="shared" si="21"/>
        <v>0</v>
      </c>
      <c r="O77" s="1054"/>
      <c r="P77" s="1054"/>
      <c r="Z77" s="1842"/>
      <c r="AA77" s="1892"/>
      <c r="AG77" s="1056"/>
      <c r="AK77" s="1892"/>
    </row>
    <row r="78" spans="1:37" ht="24" hidden="1">
      <c r="A78" s="1967" t="s">
        <v>2057</v>
      </c>
      <c r="B78" s="1972" t="s">
        <v>2058</v>
      </c>
      <c r="C78" s="1884"/>
      <c r="D78" s="1000">
        <f t="shared" si="17"/>
        <v>0</v>
      </c>
      <c r="E78" s="703"/>
      <c r="F78" s="1672"/>
      <c r="G78" s="998"/>
      <c r="H78" s="1001" t="str">
        <f t="shared" si="18"/>
        <v>——</v>
      </c>
      <c r="I78" s="3066">
        <v>0.05</v>
      </c>
      <c r="J78" s="999">
        <f t="shared" si="19"/>
        <v>0</v>
      </c>
      <c r="K78" s="999">
        <f t="shared" si="20"/>
        <v>0</v>
      </c>
      <c r="L78" s="999">
        <v>0</v>
      </c>
      <c r="M78" s="999">
        <f t="shared" si="21"/>
        <v>0</v>
      </c>
      <c r="N78" s="999">
        <f t="shared" si="21"/>
        <v>0</v>
      </c>
      <c r="O78" s="1841"/>
      <c r="P78" s="1841"/>
      <c r="Z78" s="1842"/>
      <c r="AA78" s="1892"/>
      <c r="AG78" s="1056"/>
      <c r="AK78" s="1892"/>
    </row>
    <row r="79" spans="1:37" ht="25.5" hidden="1">
      <c r="A79" s="1967" t="s">
        <v>2061</v>
      </c>
      <c r="B79" s="1970" t="str">
        <f>估价对象房地状况!C20</f>
        <v>区域自然环境：；人文环境；综合评价环境状况一般</v>
      </c>
      <c r="C79" s="1884"/>
      <c r="D79" s="1000">
        <f t="shared" si="17"/>
        <v>0</v>
      </c>
      <c r="E79" s="703"/>
      <c r="F79" s="1672"/>
      <c r="G79" s="998"/>
      <c r="H79" s="1001" t="str">
        <f t="shared" si="18"/>
        <v>——</v>
      </c>
      <c r="I79" s="3066">
        <v>0.12</v>
      </c>
      <c r="J79" s="999">
        <f t="shared" si="19"/>
        <v>0</v>
      </c>
      <c r="K79" s="999">
        <f t="shared" si="20"/>
        <v>0</v>
      </c>
      <c r="L79" s="999">
        <v>0</v>
      </c>
      <c r="M79" s="999">
        <f t="shared" si="21"/>
        <v>0</v>
      </c>
      <c r="N79" s="999">
        <f t="shared" si="21"/>
        <v>0</v>
      </c>
      <c r="Z79" s="1842"/>
      <c r="AA79" s="1892"/>
      <c r="AG79" s="1056"/>
      <c r="AK79" s="1892"/>
    </row>
    <row r="80" spans="1:37" ht="24.75" hidden="1" thickBot="1">
      <c r="A80" s="1974" t="s">
        <v>2068</v>
      </c>
      <c r="B80" s="1978"/>
      <c r="C80" s="1884"/>
      <c r="D80" s="1000">
        <f t="shared" si="17"/>
        <v>0</v>
      </c>
      <c r="E80" s="704"/>
      <c r="F80" s="1672"/>
      <c r="G80" s="998"/>
      <c r="H80" s="1001" t="str">
        <f t="shared" si="18"/>
        <v>——</v>
      </c>
      <c r="I80" s="3067">
        <v>0.05</v>
      </c>
      <c r="J80" s="999">
        <f t="shared" si="19"/>
        <v>0</v>
      </c>
      <c r="K80" s="999">
        <f t="shared" si="20"/>
        <v>0</v>
      </c>
      <c r="L80" s="999">
        <v>0</v>
      </c>
      <c r="M80" s="999">
        <f t="shared" si="21"/>
        <v>0</v>
      </c>
      <c r="N80" s="999">
        <f t="shared" si="21"/>
        <v>0</v>
      </c>
      <c r="Z80" s="1842"/>
      <c r="AA80" s="1892"/>
      <c r="AG80" s="1056"/>
      <c r="AK80" s="1892"/>
    </row>
    <row r="81" spans="1:37" ht="15">
      <c r="A81" s="1964" t="s">
        <v>2069</v>
      </c>
      <c r="B81" s="1965">
        <f>1+E83</f>
        <v>1.024</v>
      </c>
      <c r="C81" s="697"/>
      <c r="D81" s="697"/>
      <c r="E81" s="698"/>
      <c r="F81" s="1966"/>
      <c r="G81" s="3"/>
      <c r="H81" s="3"/>
      <c r="I81" s="3"/>
      <c r="J81" s="4"/>
      <c r="K81" s="4"/>
      <c r="L81" s="4"/>
      <c r="M81" s="4"/>
      <c r="N81" s="4"/>
      <c r="Z81" s="1842"/>
      <c r="AA81" s="1892"/>
      <c r="AG81" s="1056"/>
      <c r="AK81" s="1892"/>
    </row>
    <row r="82" spans="1:37" ht="24.75">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6"/>
      <c r="AK82" s="1892"/>
    </row>
    <row r="83" spans="1:37" ht="38.25">
      <c r="A83" s="1967" t="s">
        <v>2070</v>
      </c>
      <c r="B83" s="1259" t="str">
        <f>估价对象房地状况!G15</f>
        <v>估价对象位于XX开发区，园区建设成熟度XX，产业集聚程度XX</v>
      </c>
      <c r="C83" s="1884" t="s">
        <v>3612</v>
      </c>
      <c r="D83" s="1000">
        <f t="shared" ref="D83:D90" si="22">SUMIF($J$82:$N$82,C83,J83:N83)</f>
        <v>6.4999999999999997E-3</v>
      </c>
      <c r="E83" s="700">
        <f>ROUND(SUM(D83:D90),4)</f>
        <v>2.4E-2</v>
      </c>
      <c r="F83" s="1672">
        <f>IF(E2="工业",SUMIF(L1:L12,G2,N1:N12),"——")</f>
        <v>0.05</v>
      </c>
      <c r="G83" s="998">
        <v>6.4999999999999997E-3</v>
      </c>
      <c r="H83" s="1001">
        <f t="shared" ref="H83:H90" si="23">IFERROR(ROUNDDOWN($F$83*I83/2,4),"——")</f>
        <v>6.4999999999999997E-3</v>
      </c>
      <c r="I83" s="3066">
        <v>0.26</v>
      </c>
      <c r="J83" s="999">
        <f t="shared" ref="J83:J90" si="24">K83+$G83</f>
        <v>1.2999999999999999E-2</v>
      </c>
      <c r="K83" s="999">
        <f t="shared" ref="K83:K90" si="25">$L83+$G83</f>
        <v>6.4999999999999997E-3</v>
      </c>
      <c r="L83" s="999">
        <v>0</v>
      </c>
      <c r="M83" s="999">
        <f t="shared" ref="M83:N90" si="26">L83-$G83</f>
        <v>-6.4999999999999997E-3</v>
      </c>
      <c r="N83" s="999">
        <f t="shared" si="26"/>
        <v>-1.2999999999999999E-2</v>
      </c>
      <c r="Z83" s="1842"/>
      <c r="AA83" s="1892"/>
      <c r="AG83" s="1056"/>
      <c r="AK83" s="1892"/>
    </row>
    <row r="84" spans="1:37" ht="38.25">
      <c r="A84" s="1967" t="s">
        <v>2053</v>
      </c>
      <c r="B84" s="1259" t="str">
        <f>估价对象房地状况!G16</f>
        <v>估价对象周边道路状况、公共交通通达情况、停车便捷程度，综合评价交通便捷度较好</v>
      </c>
      <c r="C84" s="1884" t="s">
        <v>3612</v>
      </c>
      <c r="D84" s="1000">
        <f t="shared" si="22"/>
        <v>7.4999999999999997E-3</v>
      </c>
      <c r="E84" s="703"/>
      <c r="F84" s="1672"/>
      <c r="G84" s="998">
        <v>7.4999999999999997E-3</v>
      </c>
      <c r="H84" s="1001">
        <f t="shared" si="23"/>
        <v>7.4999999999999997E-3</v>
      </c>
      <c r="I84" s="3066">
        <v>0.3</v>
      </c>
      <c r="J84" s="999">
        <f t="shared" si="24"/>
        <v>1.4999999999999999E-2</v>
      </c>
      <c r="K84" s="999">
        <f t="shared" si="25"/>
        <v>7.4999999999999997E-3</v>
      </c>
      <c r="L84" s="999">
        <v>0</v>
      </c>
      <c r="M84" s="999">
        <f t="shared" si="26"/>
        <v>-7.4999999999999997E-3</v>
      </c>
      <c r="N84" s="999">
        <f t="shared" si="26"/>
        <v>-1.4999999999999999E-2</v>
      </c>
      <c r="Z84" s="1842"/>
      <c r="AA84" s="1892"/>
      <c r="AG84" s="1056"/>
      <c r="AK84" s="1892"/>
    </row>
    <row r="85" spans="1:37" ht="36">
      <c r="A85" s="3068" t="s">
        <v>3272</v>
      </c>
      <c r="B85" s="1259">
        <f>估价对象房地状况!G17</f>
        <v>0</v>
      </c>
      <c r="C85" s="1884" t="s">
        <v>3612</v>
      </c>
      <c r="D85" s="1000">
        <f t="shared" si="22"/>
        <v>2.5000000000000001E-3</v>
      </c>
      <c r="E85" s="703"/>
      <c r="F85" s="1672"/>
      <c r="G85" s="998">
        <v>2.5000000000000001E-3</v>
      </c>
      <c r="H85" s="1001">
        <f t="shared" si="23"/>
        <v>2.5000000000000001E-3</v>
      </c>
      <c r="I85" s="3066">
        <v>0.1</v>
      </c>
      <c r="J85" s="999">
        <f t="shared" si="24"/>
        <v>5.0000000000000001E-3</v>
      </c>
      <c r="K85" s="999">
        <f t="shared" si="25"/>
        <v>2.5000000000000001E-3</v>
      </c>
      <c r="L85" s="999">
        <v>0</v>
      </c>
      <c r="M85" s="999">
        <f t="shared" si="26"/>
        <v>-2.5000000000000001E-3</v>
      </c>
      <c r="N85" s="999">
        <f t="shared" si="26"/>
        <v>-5.0000000000000001E-3</v>
      </c>
      <c r="Z85" s="1842"/>
      <c r="AA85" s="1892"/>
      <c r="AG85" s="1056"/>
      <c r="AK85" s="1892"/>
    </row>
    <row r="86" spans="1:37" ht="14.25">
      <c r="A86" s="1967" t="s">
        <v>2067</v>
      </c>
      <c r="B86" s="1259">
        <f>估价对象房地状况!G22</f>
        <v>0</v>
      </c>
      <c r="C86" s="1884" t="s">
        <v>3613</v>
      </c>
      <c r="D86" s="1000">
        <f t="shared" si="22"/>
        <v>0</v>
      </c>
      <c r="E86" s="703"/>
      <c r="F86" s="1672"/>
      <c r="G86" s="998">
        <v>1.1999999999999999E-3</v>
      </c>
      <c r="H86" s="1001">
        <f t="shared" si="23"/>
        <v>1.1999999999999999E-3</v>
      </c>
      <c r="I86" s="3066">
        <v>0.05</v>
      </c>
      <c r="J86" s="999">
        <f t="shared" si="24"/>
        <v>2.3999999999999998E-3</v>
      </c>
      <c r="K86" s="999">
        <f t="shared" si="25"/>
        <v>1.1999999999999999E-3</v>
      </c>
      <c r="L86" s="999">
        <v>0</v>
      </c>
      <c r="M86" s="999">
        <f t="shared" si="26"/>
        <v>-1.1999999999999999E-3</v>
      </c>
      <c r="N86" s="999">
        <f t="shared" si="26"/>
        <v>-2.3999999999999998E-3</v>
      </c>
      <c r="Z86" s="1842"/>
      <c r="AA86" s="1892"/>
      <c r="AG86" s="1056"/>
      <c r="AK86" s="1892"/>
    </row>
    <row r="87" spans="1:37" ht="25.5">
      <c r="A87" s="1967" t="s">
        <v>2059</v>
      </c>
      <c r="B87" s="1237" t="str">
        <f>估价对象房地状况!G19</f>
        <v>估价对象所在区域公共配套设施齐备情况</v>
      </c>
      <c r="C87" s="1884" t="s">
        <v>3613</v>
      </c>
      <c r="D87" s="1000">
        <f t="shared" si="22"/>
        <v>0</v>
      </c>
      <c r="E87" s="703"/>
      <c r="F87" s="1672"/>
      <c r="G87" s="998">
        <v>1.5E-3</v>
      </c>
      <c r="H87" s="1001">
        <f t="shared" si="23"/>
        <v>1.5E-3</v>
      </c>
      <c r="I87" s="3066">
        <v>0.06</v>
      </c>
      <c r="J87" s="999">
        <f t="shared" si="24"/>
        <v>3.0000000000000001E-3</v>
      </c>
      <c r="K87" s="999">
        <f t="shared" si="25"/>
        <v>1.5E-3</v>
      </c>
      <c r="L87" s="999">
        <v>0</v>
      </c>
      <c r="M87" s="999">
        <f t="shared" si="26"/>
        <v>-1.5E-3</v>
      </c>
      <c r="N87" s="999">
        <f t="shared" si="26"/>
        <v>-3.0000000000000001E-3</v>
      </c>
    </row>
    <row r="88" spans="1:37" ht="25.5">
      <c r="A88" s="1967" t="s">
        <v>2060</v>
      </c>
      <c r="B88" s="1237" t="str">
        <f>估价对象房地状况!G20</f>
        <v>估价对象所在区域基础设施水平</v>
      </c>
      <c r="C88" s="1884" t="s">
        <v>3618</v>
      </c>
      <c r="D88" s="1000">
        <f t="shared" si="22"/>
        <v>6.0000000000000001E-3</v>
      </c>
      <c r="E88" s="703"/>
      <c r="F88" s="1672"/>
      <c r="G88" s="998">
        <v>3.0000000000000001E-3</v>
      </c>
      <c r="H88" s="1001">
        <f t="shared" si="23"/>
        <v>3.0000000000000001E-3</v>
      </c>
      <c r="I88" s="3066">
        <v>0.12</v>
      </c>
      <c r="J88" s="999">
        <f t="shared" si="24"/>
        <v>6.0000000000000001E-3</v>
      </c>
      <c r="K88" s="999">
        <f t="shared" si="25"/>
        <v>3.0000000000000001E-3</v>
      </c>
      <c r="L88" s="999">
        <v>0</v>
      </c>
      <c r="M88" s="999">
        <f t="shared" si="26"/>
        <v>-3.0000000000000001E-3</v>
      </c>
      <c r="N88" s="999">
        <f t="shared" si="26"/>
        <v>-6.0000000000000001E-3</v>
      </c>
    </row>
    <row r="89" spans="1:37" ht="24">
      <c r="A89" s="1967" t="s">
        <v>2057</v>
      </c>
      <c r="B89" s="1972" t="s">
        <v>2071</v>
      </c>
      <c r="C89" s="1884" t="s">
        <v>3612</v>
      </c>
      <c r="D89" s="1000">
        <f t="shared" si="22"/>
        <v>1.5E-3</v>
      </c>
      <c r="E89" s="703"/>
      <c r="F89" s="1672"/>
      <c r="G89" s="998">
        <v>1.5E-3</v>
      </c>
      <c r="H89" s="1001">
        <f t="shared" si="23"/>
        <v>1.5E-3</v>
      </c>
      <c r="I89" s="3066">
        <v>0.06</v>
      </c>
      <c r="J89" s="999">
        <f t="shared" si="24"/>
        <v>3.0000000000000001E-3</v>
      </c>
      <c r="K89" s="999">
        <f t="shared" si="25"/>
        <v>1.5E-3</v>
      </c>
      <c r="L89" s="999">
        <v>0</v>
      </c>
      <c r="M89" s="999">
        <f t="shared" si="26"/>
        <v>-1.5E-3</v>
      </c>
      <c r="N89" s="999">
        <f t="shared" si="26"/>
        <v>-3.0000000000000001E-3</v>
      </c>
    </row>
    <row r="90" spans="1:37" ht="39" thickBot="1">
      <c r="A90" s="1974" t="s">
        <v>2072</v>
      </c>
      <c r="B90" s="1979" t="str">
        <f>估价对象房地状况!G18</f>
        <v>该园区内是否有污染型企业，绿化情况，卫生条件，整体环境状况判断</v>
      </c>
      <c r="C90" s="1884" t="s">
        <v>3613</v>
      </c>
      <c r="D90" s="1000">
        <f t="shared" si="22"/>
        <v>0</v>
      </c>
      <c r="E90" s="704"/>
      <c r="F90" s="1672"/>
      <c r="G90" s="998">
        <v>1.1999999999999999E-3</v>
      </c>
      <c r="H90" s="1001">
        <f t="shared" si="23"/>
        <v>1.1999999999999999E-3</v>
      </c>
      <c r="I90" s="3067">
        <v>0.05</v>
      </c>
      <c r="J90" s="999">
        <f t="shared" si="24"/>
        <v>2.3999999999999998E-3</v>
      </c>
      <c r="K90" s="999">
        <f t="shared" si="25"/>
        <v>1.1999999999999999E-3</v>
      </c>
      <c r="L90" s="999">
        <v>0</v>
      </c>
      <c r="M90" s="999">
        <f t="shared" si="26"/>
        <v>-1.1999999999999999E-3</v>
      </c>
      <c r="N90" s="999">
        <f t="shared" si="26"/>
        <v>-2.3999999999999998E-3</v>
      </c>
    </row>
    <row r="91" spans="1:37" ht="15">
      <c r="A91" s="3076" t="s">
        <v>2614</v>
      </c>
      <c r="B91" s="3077">
        <f>1+E93</f>
        <v>1</v>
      </c>
      <c r="C91" s="3070"/>
      <c r="D91" s="3071"/>
      <c r="E91" s="1672"/>
      <c r="F91" s="1672"/>
      <c r="G91" s="3072"/>
      <c r="H91" s="3073"/>
      <c r="I91" s="3074"/>
      <c r="J91" s="3075"/>
      <c r="K91" s="3075"/>
      <c r="L91" s="3075"/>
      <c r="M91" s="3075"/>
      <c r="N91" s="3075"/>
    </row>
    <row r="92" spans="1:37" ht="24.75">
      <c r="A92" s="3078" t="s">
        <v>3273</v>
      </c>
      <c r="B92" s="2307"/>
      <c r="C92" s="2307" t="s">
        <v>3282</v>
      </c>
      <c r="D92" s="2307" t="s">
        <v>3283</v>
      </c>
      <c r="E92" s="3050" t="s">
        <v>3284</v>
      </c>
      <c r="F92" s="3080" t="s">
        <v>3285</v>
      </c>
      <c r="G92" s="2307" t="s">
        <v>3286</v>
      </c>
      <c r="H92" s="3087" t="s">
        <v>3289</v>
      </c>
      <c r="I92" s="2307" t="s">
        <v>3290</v>
      </c>
      <c r="J92" s="2147" t="s">
        <v>3291</v>
      </c>
      <c r="K92" s="2147" t="s">
        <v>3292</v>
      </c>
      <c r="L92" s="2147" t="s">
        <v>3293</v>
      </c>
      <c r="M92" s="2147" t="s">
        <v>3294</v>
      </c>
      <c r="N92" s="2147" t="s">
        <v>3295</v>
      </c>
    </row>
    <row r="93" spans="1:37" ht="24">
      <c r="A93" s="3068" t="s">
        <v>3274</v>
      </c>
      <c r="B93" s="1218"/>
      <c r="C93" s="1884"/>
      <c r="D93" s="2307">
        <f>SUMIF($J$92:$N$92,C93,J93:N93)</f>
        <v>0</v>
      </c>
      <c r="E93" s="3081">
        <f>ROUND(SUM(D93:D101),4)</f>
        <v>0</v>
      </c>
      <c r="F93" s="1672"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38.25">
      <c r="A94" s="3078" t="s">
        <v>3275</v>
      </c>
      <c r="B94" s="3069" t="str">
        <f>估价对象房地状况!C18</f>
        <v>估价对象周边道路状况、公共交通通达情况、停车便捷程度，综合评价交通便捷度较好</v>
      </c>
      <c r="C94" s="1884"/>
      <c r="D94" s="2307">
        <f t="shared" ref="D94:D101" si="30">SUMIF($J$60:$N$60,C94,J94:N94)</f>
        <v>0</v>
      </c>
      <c r="E94" s="3082"/>
      <c r="F94" s="1672"/>
      <c r="G94" s="3072"/>
      <c r="H94" s="3117" t="str">
        <f>IFERROR(ROUNDDOWN($F$93*I94/2,4),"——")</f>
        <v>——</v>
      </c>
      <c r="I94" s="3066">
        <v>0.26</v>
      </c>
      <c r="J94" s="1909">
        <f t="shared" si="27"/>
        <v>0</v>
      </c>
      <c r="K94" s="1909">
        <f t="shared" si="28"/>
        <v>0</v>
      </c>
      <c r="L94" s="1909">
        <v>0</v>
      </c>
      <c r="M94" s="1909">
        <f t="shared" si="29"/>
        <v>0</v>
      </c>
      <c r="N94" s="1909">
        <f t="shared" si="29"/>
        <v>0</v>
      </c>
    </row>
    <row r="95" spans="1:37" ht="36">
      <c r="A95" s="3068" t="s">
        <v>3271</v>
      </c>
      <c r="B95" s="3069">
        <f>估价对象房地状况!C19</f>
        <v>0</v>
      </c>
      <c r="C95" s="1884"/>
      <c r="D95" s="2307">
        <f t="shared" si="30"/>
        <v>0</v>
      </c>
      <c r="E95" s="3082"/>
      <c r="F95" s="1672"/>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6.75">
      <c r="A96" s="3078" t="s">
        <v>3276</v>
      </c>
      <c r="B96" s="3084" t="s">
        <v>3287</v>
      </c>
      <c r="C96" s="1884"/>
      <c r="D96" s="2307">
        <f t="shared" si="30"/>
        <v>0</v>
      </c>
      <c r="E96" s="3082"/>
      <c r="F96" s="1672"/>
      <c r="G96" s="3072"/>
      <c r="H96" s="3117" t="str">
        <f t="shared" si="31"/>
        <v>——</v>
      </c>
      <c r="I96" s="3066">
        <v>0.05</v>
      </c>
      <c r="J96" s="1909">
        <f t="shared" si="27"/>
        <v>0</v>
      </c>
      <c r="K96" s="1909">
        <f t="shared" si="28"/>
        <v>0</v>
      </c>
      <c r="L96" s="1909">
        <v>0</v>
      </c>
      <c r="M96" s="1909">
        <f t="shared" si="29"/>
        <v>0</v>
      </c>
      <c r="N96" s="1909">
        <f t="shared" si="29"/>
        <v>0</v>
      </c>
    </row>
    <row r="97" spans="1:14" ht="24">
      <c r="A97" s="3078" t="s">
        <v>3277</v>
      </c>
      <c r="B97" s="3069">
        <f>估价对象房地状况!C24</f>
        <v>0</v>
      </c>
      <c r="C97" s="1884"/>
      <c r="D97" s="2307">
        <f t="shared" si="30"/>
        <v>0</v>
      </c>
      <c r="E97" s="3082"/>
      <c r="F97" s="1672"/>
      <c r="G97" s="3072"/>
      <c r="H97" s="3117" t="str">
        <f t="shared" si="31"/>
        <v>——</v>
      </c>
      <c r="I97" s="3066">
        <v>0.05</v>
      </c>
      <c r="J97" s="1909">
        <f t="shared" si="27"/>
        <v>0</v>
      </c>
      <c r="K97" s="1909">
        <f t="shared" si="28"/>
        <v>0</v>
      </c>
      <c r="L97" s="1909">
        <v>0</v>
      </c>
      <c r="M97" s="1909">
        <f t="shared" si="29"/>
        <v>0</v>
      </c>
      <c r="N97" s="1909">
        <f t="shared" si="29"/>
        <v>0</v>
      </c>
    </row>
    <row r="98" spans="1:14" ht="24">
      <c r="A98" s="3078" t="s">
        <v>3278</v>
      </c>
      <c r="B98" s="3085" t="s">
        <v>3288</v>
      </c>
      <c r="C98" s="1884"/>
      <c r="D98" s="2307">
        <f t="shared" si="30"/>
        <v>0</v>
      </c>
      <c r="E98" s="3082"/>
      <c r="F98" s="1672"/>
      <c r="G98" s="3072"/>
      <c r="H98" s="3117" t="str">
        <f t="shared" si="31"/>
        <v>——</v>
      </c>
      <c r="I98" s="3066">
        <v>0.06</v>
      </c>
      <c r="J98" s="1909">
        <f t="shared" si="27"/>
        <v>0</v>
      </c>
      <c r="K98" s="1909">
        <f t="shared" si="28"/>
        <v>0</v>
      </c>
      <c r="L98" s="1909">
        <v>0</v>
      </c>
      <c r="M98" s="1909">
        <f t="shared" si="29"/>
        <v>0</v>
      </c>
      <c r="N98" s="1909">
        <f t="shared" si="29"/>
        <v>0</v>
      </c>
    </row>
    <row r="99" spans="1:14" ht="25.5">
      <c r="A99" s="3078" t="s">
        <v>3279</v>
      </c>
      <c r="B99" s="3069" t="str">
        <f>估价对象房地状况!C21</f>
        <v>估价对象所在区域公共配套设施齐备情况</v>
      </c>
      <c r="C99" s="1884"/>
      <c r="D99" s="2307">
        <f t="shared" si="30"/>
        <v>0</v>
      </c>
      <c r="E99" s="3082"/>
      <c r="F99" s="1672"/>
      <c r="G99" s="3072"/>
      <c r="H99" s="3117" t="str">
        <f t="shared" si="31"/>
        <v>——</v>
      </c>
      <c r="I99" s="3066">
        <v>0.06</v>
      </c>
      <c r="J99" s="1909">
        <f t="shared" si="27"/>
        <v>0</v>
      </c>
      <c r="K99" s="1909">
        <f t="shared" si="28"/>
        <v>0</v>
      </c>
      <c r="L99" s="1909">
        <v>0</v>
      </c>
      <c r="M99" s="1909">
        <f t="shared" si="29"/>
        <v>0</v>
      </c>
      <c r="N99" s="1909">
        <f t="shared" si="29"/>
        <v>0</v>
      </c>
    </row>
    <row r="100" spans="1:14" ht="25.5">
      <c r="A100" s="3078" t="s">
        <v>3280</v>
      </c>
      <c r="B100" s="3069" t="str">
        <f>估价对象房地状况!C22</f>
        <v>估价对象所在区域基础设施水平</v>
      </c>
      <c r="C100" s="1884"/>
      <c r="D100" s="2307">
        <f t="shared" si="30"/>
        <v>0</v>
      </c>
      <c r="E100" s="3082"/>
      <c r="F100" s="1672"/>
      <c r="G100" s="3072"/>
      <c r="H100" s="3117" t="str">
        <f t="shared" si="31"/>
        <v>——</v>
      </c>
      <c r="I100" s="3066">
        <v>0.09</v>
      </c>
      <c r="J100" s="1909">
        <f t="shared" si="27"/>
        <v>0</v>
      </c>
      <c r="K100" s="1909">
        <f t="shared" si="28"/>
        <v>0</v>
      </c>
      <c r="L100" s="1909">
        <v>0</v>
      </c>
      <c r="M100" s="1909">
        <f t="shared" si="29"/>
        <v>0</v>
      </c>
      <c r="N100" s="1909">
        <f t="shared" si="29"/>
        <v>0</v>
      </c>
    </row>
    <row r="101" spans="1:14" ht="26.25" thickBot="1">
      <c r="A101" s="3079" t="s">
        <v>3281</v>
      </c>
      <c r="B101" s="3086" t="str">
        <f>估价对象房地状况!C20</f>
        <v>区域自然环境：；人文环境；综合评价环境状况一般</v>
      </c>
      <c r="C101" s="1884"/>
      <c r="D101" s="2307">
        <f t="shared" si="30"/>
        <v>0</v>
      </c>
      <c r="E101" s="3083"/>
      <c r="F101" s="1672"/>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517" t="s">
        <v>3296</v>
      </c>
      <c r="B103" s="3517"/>
      <c r="C103" s="3517"/>
      <c r="D103" s="3517"/>
      <c r="E103" s="3517"/>
      <c r="F103" s="3517"/>
      <c r="G103" s="3517"/>
      <c r="H103" s="3517"/>
      <c r="I103" s="3517"/>
      <c r="J103" s="3517"/>
      <c r="K103" s="1664"/>
      <c r="L103" s="1664"/>
      <c r="M103" s="1664"/>
      <c r="N103" s="1664"/>
    </row>
    <row r="104" spans="1:14">
      <c r="A104" s="3518" t="s">
        <v>3297</v>
      </c>
      <c r="B104" s="3518" t="s">
        <v>3298</v>
      </c>
      <c r="C104" s="3088" t="s">
        <v>3299</v>
      </c>
      <c r="D104" s="3089"/>
      <c r="E104" s="3089"/>
      <c r="F104" s="3089"/>
      <c r="G104" s="3089"/>
      <c r="H104" s="3089"/>
      <c r="I104" s="3089"/>
      <c r="J104" s="3090"/>
      <c r="K104" s="3091"/>
      <c r="L104" s="3091"/>
      <c r="M104" s="3091"/>
      <c r="N104" s="3091"/>
    </row>
    <row r="105" spans="1:14">
      <c r="A105" s="3518"/>
      <c r="B105" s="3518"/>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504"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05"/>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05"/>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05"/>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05"/>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05"/>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506"/>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507" t="s">
        <v>3313</v>
      </c>
      <c r="B113" s="3507"/>
      <c r="C113" s="3507"/>
      <c r="D113" s="3507"/>
      <c r="E113" s="3507"/>
      <c r="F113" s="3507"/>
      <c r="G113" s="3507"/>
      <c r="H113" s="3507"/>
      <c r="I113" s="3507"/>
      <c r="J113" s="3507"/>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3314</v>
      </c>
      <c r="B116" s="3112">
        <f>G3</f>
        <v>2</v>
      </c>
      <c r="C116" s="3097" t="s">
        <v>3315</v>
      </c>
      <c r="D116" s="3098">
        <f>SUMPRODUCT((A118:A122=F116)*(B117:M117=H116)*B118:M122)</f>
        <v>0.62519999999999998</v>
      </c>
      <c r="E116" s="161" t="s">
        <v>3316</v>
      </c>
      <c r="F116" s="3099" t="str">
        <f>E2</f>
        <v>工业</v>
      </c>
      <c r="G116" s="161" t="s">
        <v>3317</v>
      </c>
      <c r="H116" s="3099" t="str">
        <f>G2</f>
        <v>七级</v>
      </c>
      <c r="I116" s="161"/>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0.9748</v>
      </c>
      <c r="C118" s="3087">
        <f>B118</f>
        <v>0.9748</v>
      </c>
      <c r="D118" s="3087">
        <f>ROUND(0.949-0.014*B116,4)</f>
        <v>0.92100000000000004</v>
      </c>
      <c r="E118" s="3087">
        <f>D118</f>
        <v>0.92100000000000004</v>
      </c>
      <c r="F118" s="3087">
        <f>E118</f>
        <v>0.92100000000000004</v>
      </c>
      <c r="G118" s="3087">
        <f>F118</f>
        <v>0.92100000000000004</v>
      </c>
      <c r="H118" s="3087">
        <f>G118</f>
        <v>0.92100000000000004</v>
      </c>
      <c r="I118" s="3087">
        <f>ROUND(0.8486-0.018*B116,4)</f>
        <v>0.81259999999999999</v>
      </c>
      <c r="J118" s="3087">
        <f t="shared" ref="J118:M122" si="35">I118</f>
        <v>0.81259999999999999</v>
      </c>
      <c r="K118" s="3087">
        <f t="shared" si="35"/>
        <v>0.81259999999999999</v>
      </c>
      <c r="L118" s="3087">
        <f t="shared" si="35"/>
        <v>0.81259999999999999</v>
      </c>
      <c r="M118" s="3107">
        <f t="shared" si="35"/>
        <v>0.81259999999999999</v>
      </c>
      <c r="N118" s="3095"/>
    </row>
    <row r="119" spans="1:14">
      <c r="A119" s="3055" t="s">
        <v>3331</v>
      </c>
      <c r="B119" s="3087">
        <f>ROUND(0.993-0.0112*B116,4)</f>
        <v>0.97060000000000002</v>
      </c>
      <c r="C119" s="3087">
        <f>B119</f>
        <v>0.97060000000000002</v>
      </c>
      <c r="D119" s="3087">
        <f>ROUND(0.9415-0.0142*B116,4)</f>
        <v>0.91310000000000002</v>
      </c>
      <c r="E119" s="3087">
        <f t="shared" ref="E119:H120" si="36">D119</f>
        <v>0.91310000000000002</v>
      </c>
      <c r="F119" s="3087">
        <f t="shared" si="36"/>
        <v>0.91310000000000002</v>
      </c>
      <c r="G119" s="3087">
        <f t="shared" si="36"/>
        <v>0.91310000000000002</v>
      </c>
      <c r="H119" s="3087">
        <f t="shared" si="36"/>
        <v>0.91310000000000002</v>
      </c>
      <c r="I119" s="3087">
        <f>ROUND(0.838-0.0182*B116,4)</f>
        <v>0.80159999999999998</v>
      </c>
      <c r="J119" s="3087">
        <f t="shared" si="35"/>
        <v>0.80159999999999998</v>
      </c>
      <c r="K119" s="3087">
        <f t="shared" si="35"/>
        <v>0.80159999999999998</v>
      </c>
      <c r="L119" s="3087">
        <f t="shared" si="35"/>
        <v>0.80159999999999998</v>
      </c>
      <c r="M119" s="3107">
        <f t="shared" si="35"/>
        <v>0.80159999999999998</v>
      </c>
      <c r="N119" s="3095"/>
    </row>
    <row r="120" spans="1:14">
      <c r="A120" s="3055" t="s">
        <v>3332</v>
      </c>
      <c r="B120" s="3087">
        <f>ROUND(0.9448-0.0115*B116,4)</f>
        <v>0.92179999999999995</v>
      </c>
      <c r="C120" s="3087">
        <f>B120</f>
        <v>0.92179999999999995</v>
      </c>
      <c r="D120" s="3087">
        <f>ROUND(0.937-0.0145*B116,4)</f>
        <v>0.90800000000000003</v>
      </c>
      <c r="E120" s="3087">
        <f t="shared" si="36"/>
        <v>0.90800000000000003</v>
      </c>
      <c r="F120" s="3087">
        <f t="shared" si="36"/>
        <v>0.90800000000000003</v>
      </c>
      <c r="G120" s="3087">
        <f t="shared" si="36"/>
        <v>0.90800000000000003</v>
      </c>
      <c r="H120" s="3087">
        <f t="shared" si="36"/>
        <v>0.90800000000000003</v>
      </c>
      <c r="I120" s="3087">
        <f>ROUND(0.7965-0.0185*B116,4)</f>
        <v>0.75949999999999995</v>
      </c>
      <c r="J120" s="3087">
        <f t="shared" si="35"/>
        <v>0.75949999999999995</v>
      </c>
      <c r="K120" s="3087">
        <f t="shared" si="35"/>
        <v>0.75949999999999995</v>
      </c>
      <c r="L120" s="3087">
        <f t="shared" si="35"/>
        <v>0.75949999999999995</v>
      </c>
      <c r="M120" s="3107">
        <f t="shared" si="35"/>
        <v>0.75949999999999995</v>
      </c>
      <c r="N120" s="3095"/>
    </row>
    <row r="121" spans="1:14" ht="13.5" thickBot="1">
      <c r="A121" s="3108" t="s">
        <v>3333</v>
      </c>
      <c r="B121" s="3109">
        <f>ROUND(0.7836-0.012*B116,4)</f>
        <v>0.75960000000000005</v>
      </c>
      <c r="C121" s="3109">
        <f>B121</f>
        <v>0.75960000000000005</v>
      </c>
      <c r="D121" s="3109">
        <f>ROUND(0.753-0.015*B116,4)</f>
        <v>0.72299999999999998</v>
      </c>
      <c r="E121" s="3109">
        <f>D121</f>
        <v>0.72299999999999998</v>
      </c>
      <c r="F121" s="3109">
        <f>E121</f>
        <v>0.72299999999999998</v>
      </c>
      <c r="G121" s="3109">
        <f>ROUND(0.6612-0.018*B116,4)</f>
        <v>0.62519999999999998</v>
      </c>
      <c r="H121" s="3109">
        <f>G121</f>
        <v>0.62519999999999998</v>
      </c>
      <c r="I121" s="3109">
        <f>ROUND(0.5905-0.019*B116,4)</f>
        <v>0.55249999999999999</v>
      </c>
      <c r="J121" s="3109">
        <f t="shared" si="35"/>
        <v>0.55249999999999999</v>
      </c>
      <c r="K121" s="3109">
        <f t="shared" si="35"/>
        <v>0.55249999999999999</v>
      </c>
      <c r="L121" s="3109">
        <f t="shared" si="35"/>
        <v>0.55249999999999999</v>
      </c>
      <c r="M121" s="3110">
        <f t="shared" si="35"/>
        <v>0.55249999999999999</v>
      </c>
      <c r="N121" s="3095"/>
    </row>
    <row r="122" spans="1:14">
      <c r="A122" s="3111" t="s">
        <v>2614</v>
      </c>
      <c r="B122" s="3087">
        <f>ROUND(0.9404-0.0106*B116,4)</f>
        <v>0.91920000000000002</v>
      </c>
      <c r="C122" s="3087">
        <f>B122</f>
        <v>0.91920000000000002</v>
      </c>
      <c r="D122" s="3087">
        <f>ROUND(0.8955-0.0135*B116,4)</f>
        <v>0.86850000000000005</v>
      </c>
      <c r="E122" s="3087">
        <f t="shared" ref="E122:H122" si="37">D122</f>
        <v>0.86850000000000005</v>
      </c>
      <c r="F122" s="3087">
        <f t="shared" si="37"/>
        <v>0.86850000000000005</v>
      </c>
      <c r="G122" s="3087">
        <f t="shared" si="37"/>
        <v>0.86850000000000005</v>
      </c>
      <c r="H122" s="3087">
        <f t="shared" si="37"/>
        <v>0.86850000000000005</v>
      </c>
      <c r="I122" s="3087">
        <f>ROUND(0.7632-0.0166*B116,4)</f>
        <v>0.73</v>
      </c>
      <c r="J122" s="3087">
        <f t="shared" si="35"/>
        <v>0.73</v>
      </c>
      <c r="K122" s="3087">
        <f t="shared" si="35"/>
        <v>0.73</v>
      </c>
      <c r="L122" s="3087">
        <f t="shared" si="35"/>
        <v>0.73</v>
      </c>
      <c r="M122" s="3107">
        <f t="shared" si="35"/>
        <v>0.73</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9" priority="6" stopIfTrue="1" operator="notEqual">
      <formula>"——"</formula>
    </cfRule>
  </conditionalFormatting>
  <conditionalFormatting sqref="F61">
    <cfRule type="cellIs" dxfId="18" priority="5" stopIfTrue="1" operator="notEqual">
      <formula>"——"</formula>
    </cfRule>
  </conditionalFormatting>
  <conditionalFormatting sqref="F72">
    <cfRule type="cellIs" dxfId="17" priority="4" stopIfTrue="1" operator="notEqual">
      <formula>"——"</formula>
    </cfRule>
  </conditionalFormatting>
  <conditionalFormatting sqref="F83">
    <cfRule type="cellIs" dxfId="16" priority="3" stopIfTrue="1" operator="notEqual">
      <formula>"——"</formula>
    </cfRule>
  </conditionalFormatting>
  <conditionalFormatting sqref="H50:H58 H61:H69 H72:H80 H83:H91">
    <cfRule type="cellIs" dxfId="15" priority="2" operator="notEqual">
      <formula>"——"</formula>
    </cfRule>
  </conditionalFormatting>
  <conditionalFormatting sqref="H93:H101">
    <cfRule type="cellIs" dxfId="14"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0"/>
      <c r="C2" s="3210"/>
      <c r="D2" s="3210"/>
      <c r="E2" s="3210"/>
    </row>
    <row r="3" spans="1:5" ht="18">
      <c r="A3" s="3211" t="str">
        <f>IF(项目基本情况!B9="房地产市场价值","估价结果一览表（市场价值不需“结果表-1”）","估价结果一览表")</f>
        <v>估价结果一览表</v>
      </c>
      <c r="B3" s="3211"/>
      <c r="C3" s="3211"/>
      <c r="D3" s="3211"/>
      <c r="E3" s="3211"/>
    </row>
    <row r="4" spans="1:5" ht="19.5" thickBot="1">
      <c r="A4" s="1388"/>
      <c r="B4" s="3209" t="s">
        <v>917</v>
      </c>
      <c r="C4" s="3209"/>
      <c r="D4" s="3209"/>
      <c r="E4" s="1388"/>
    </row>
    <row r="5" spans="1:5" ht="16.5" thickTop="1">
      <c r="B5" s="3207" t="s">
        <v>909</v>
      </c>
      <c r="C5" s="1389" t="s">
        <v>910</v>
      </c>
      <c r="D5" s="795">
        <f ca="1">结果表!H101</f>
        <v>39843</v>
      </c>
    </row>
    <row r="6" spans="1:5" ht="15.75">
      <c r="B6" s="3207"/>
      <c r="C6" s="1389" t="s">
        <v>911</v>
      </c>
      <c r="D6" s="795" t="str">
        <f ca="1">NUMBERSTRING(INT(D5*10000),2)&amp;"元整"</f>
        <v>叁亿玖仟捌佰肆拾叁万元整</v>
      </c>
    </row>
    <row r="7" spans="1:5" ht="15.75">
      <c r="B7" s="3212"/>
      <c r="C7" s="1390" t="s">
        <v>912</v>
      </c>
      <c r="D7" s="796">
        <f ca="1">结果表!H102</f>
        <v>8236</v>
      </c>
    </row>
    <row r="8" spans="1:5" ht="15.75">
      <c r="B8" s="3213" t="str">
        <f>结果表!E103</f>
        <v>2.估价师知悉的法定优先受偿款</v>
      </c>
      <c r="C8" s="1391" t="s">
        <v>913</v>
      </c>
      <c r="D8" s="796">
        <f>结果表!H103</f>
        <v>0</v>
      </c>
    </row>
    <row r="9" spans="1:5" ht="15.75">
      <c r="B9" s="3215"/>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206" t="str">
        <f>结果表!E107</f>
        <v>3.房地产抵押价值</v>
      </c>
      <c r="C13" s="1394" t="s">
        <v>910</v>
      </c>
      <c r="D13" s="798">
        <f ca="1">结果表!H107</f>
        <v>39843</v>
      </c>
    </row>
    <row r="14" spans="1:5" ht="15.75">
      <c r="B14" s="3207"/>
      <c r="C14" s="1389" t="s">
        <v>911</v>
      </c>
      <c r="D14" s="795" t="str">
        <f ca="1">NUMBERSTRING(INT(D13*10000),2)&amp;"元整"</f>
        <v>叁亿玖仟捌佰肆拾叁万元整</v>
      </c>
    </row>
    <row r="15" spans="1:5" ht="15">
      <c r="B15" s="3212"/>
      <c r="C15" s="1390" t="s">
        <v>921</v>
      </c>
      <c r="D15" s="804">
        <f ca="1">结果表!H108</f>
        <v>8236</v>
      </c>
    </row>
    <row r="16" spans="1:5" ht="15">
      <c r="B16" s="3213" t="str">
        <f>结果表!E109</f>
        <v>——</v>
      </c>
      <c r="C16" s="1394" t="s">
        <v>922</v>
      </c>
      <c r="D16" s="1395" t="str">
        <f>结果表!H109</f>
        <v>——</v>
      </c>
    </row>
    <row r="17" spans="1:5" ht="15.75">
      <c r="B17" s="3214"/>
      <c r="C17" s="1389" t="s">
        <v>923</v>
      </c>
      <c r="D17" s="795" t="e">
        <f>NUMBERSTRING(INT(D16*10000),2)&amp;"元整"</f>
        <v>#VALUE!</v>
      </c>
    </row>
    <row r="18" spans="1:5" ht="15">
      <c r="B18" s="3215"/>
      <c r="C18" s="1390" t="s">
        <v>912</v>
      </c>
      <c r="D18" s="804" t="str">
        <f>结果表!H110</f>
        <v>——</v>
      </c>
    </row>
    <row r="19" spans="1:5" ht="15.75">
      <c r="B19" s="3206" t="str">
        <f>结果表!E111</f>
        <v>——</v>
      </c>
      <c r="C19" s="1394" t="s">
        <v>910</v>
      </c>
      <c r="D19" s="796" t="str">
        <f>结果表!H111</f>
        <v>——</v>
      </c>
    </row>
    <row r="20" spans="1:5" ht="15.75">
      <c r="B20" s="3207"/>
      <c r="C20" s="1389" t="s">
        <v>923</v>
      </c>
      <c r="D20" s="795" t="e">
        <f>NUMBERSTRING(INT(D19*10000),2)&amp;"元整"</f>
        <v>#VALUE!</v>
      </c>
    </row>
    <row r="21" spans="1:5" ht="15.75" thickBot="1">
      <c r="B21" s="3208"/>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1"/>
      <c r="C1" s="1107" t="s">
        <v>3335</v>
      </c>
      <c r="D1" s="1106"/>
      <c r="E1" s="2565"/>
      <c r="F1" s="2565"/>
      <c r="G1" s="2446"/>
      <c r="H1" s="2565"/>
      <c r="I1" s="2565"/>
      <c r="J1" s="2565"/>
      <c r="K1" s="2566">
        <f>MATCH(C1,'数据-取费表'!A6:A16,0)+5</f>
        <v>7</v>
      </c>
    </row>
    <row r="2" spans="1:33" ht="18" customHeight="1">
      <c r="A2" s="192" t="s">
        <v>1462</v>
      </c>
      <c r="B2" s="195" t="e">
        <f ca="1">C32</f>
        <v>#VALUE!</v>
      </c>
      <c r="C2" s="267" t="s">
        <v>1595</v>
      </c>
      <c r="D2" s="267"/>
      <c r="E2" s="2565"/>
      <c r="F2" s="2565"/>
      <c r="G2" s="2565"/>
      <c r="H2" s="2565"/>
      <c r="I2" s="2565"/>
      <c r="J2" s="2565"/>
      <c r="K2" s="2565"/>
    </row>
    <row r="3" spans="1:33" ht="18" customHeight="1" thickBot="1">
      <c r="A3" s="194" t="s">
        <v>1464</v>
      </c>
      <c r="B3" s="195" t="e">
        <f ca="1">ROUND(B2*10000/IF(C1="",'数据-汇总表'!E3,INDIRECT("'数据-取费表'!K"&amp;$K$1)),0)</f>
        <v>#VALUE!</v>
      </c>
      <c r="C3" s="267" t="s">
        <v>1596</v>
      </c>
      <c r="D3" s="267"/>
      <c r="E3" s="2565"/>
      <c r="F3" s="2565"/>
      <c r="G3" s="2565"/>
      <c r="H3" s="2565"/>
      <c r="I3" s="2565"/>
      <c r="J3" s="2565"/>
      <c r="K3" s="2565"/>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t="s">
        <v>3</v>
      </c>
      <c r="D5" s="1715" t="s">
        <v>3335</v>
      </c>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2" t="s">
        <v>1601</v>
      </c>
      <c r="B7" s="123" t="s">
        <v>1602</v>
      </c>
      <c r="C7" s="268">
        <f>SUMIF('数据-汇总表'!$C19:$C33,假设开发法!C5,'数据-汇总表'!$E19:$E33)</f>
        <v>0</v>
      </c>
      <c r="D7" s="268">
        <f>SUMIF('数据-汇总表'!$C19:$C33,假设开发法!D5,'数据-汇总表'!$E19:$E33)</f>
        <v>19473.41</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t="e">
        <f ca="1">IF(C1="",'数据-取费表'!P16,INDIRECT("'数据-取费表'!p"&amp;$K$1)+INDIRECT("'数据-取费表'!ar"&amp;$K$1))</f>
        <v>#VALUE!</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t="e">
        <f ca="1">ROUND(C11*F12,0)</f>
        <v>#VALUE!</v>
      </c>
      <c r="D12" s="752"/>
      <c r="E12" s="137"/>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19710.68</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t="e">
        <f ca="1">ROUND(C11*F15,0)</f>
        <v>#VALUE!</v>
      </c>
      <c r="D15" s="756"/>
      <c r="E15" s="761"/>
      <c r="F15" s="762">
        <f>'数据-取费表'!B36</f>
        <v>0.02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t="e">
        <f ca="1">SUM(C11:C15)</f>
        <v>#VALUE!</v>
      </c>
      <c r="D16" s="756"/>
      <c r="E16" s="761"/>
      <c r="F16" s="762"/>
      <c r="G16" s="123"/>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19710.68</v>
      </c>
      <c r="E17" s="21">
        <f>'数据-取费表'!B32</f>
        <v>0</v>
      </c>
      <c r="F17" s="756"/>
      <c r="G17" s="123"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t="s">
        <v>3647</v>
      </c>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160</v>
      </c>
      <c r="F19" s="754"/>
      <c r="G19" s="12"/>
      <c r="H19" s="1105"/>
      <c r="I19" s="759"/>
      <c r="J19" s="759"/>
      <c r="K19" s="760"/>
    </row>
    <row r="20" spans="1:33" s="753" customFormat="1" ht="13.5" customHeight="1">
      <c r="A20" s="750" t="s">
        <v>361</v>
      </c>
      <c r="B20" s="751" t="s">
        <v>1627</v>
      </c>
      <c r="C20" s="21">
        <f ca="1">ROUND(D20*E20/10000,0)</f>
        <v>394</v>
      </c>
      <c r="D20" s="794">
        <f ca="1">IF(C1="",'数据-汇总表'!E6,IF(INDIRECT("'数据-取费表'!c"&amp;$K$1)="住宅",INDIRECT("'数据-取费表'!s"&amp;$K$1),INDIRECT("'数据-取费表'!k"&amp;$K$1)+INDIRECT("'数据-取费表'!s"&amp;$K$1)))</f>
        <v>19710.68</v>
      </c>
      <c r="E20" s="21">
        <f>'数据-取费表'!B28</f>
        <v>200</v>
      </c>
      <c r="F20" s="754"/>
      <c r="G20" s="12"/>
      <c r="H20" s="759"/>
      <c r="I20" s="759"/>
      <c r="J20" s="759"/>
      <c r="K20" s="760"/>
    </row>
    <row r="21" spans="1:33" s="753" customFormat="1" ht="13.5" customHeight="1">
      <c r="A21" s="742" t="s">
        <v>357</v>
      </c>
      <c r="B21" s="763" t="s">
        <v>1628</v>
      </c>
      <c r="C21" s="764" t="e">
        <f ca="1">C16+C17+C18</f>
        <v>#VALUE!</v>
      </c>
      <c r="D21" s="765"/>
      <c r="E21" s="272"/>
      <c r="F21" s="272"/>
      <c r="G21" s="123" t="s">
        <v>1629</v>
      </c>
      <c r="H21" s="757"/>
      <c r="I21" s="757"/>
      <c r="J21" s="757"/>
      <c r="K21" s="758"/>
    </row>
    <row r="22" spans="1:33" s="753" customFormat="1" ht="13.5" customHeight="1">
      <c r="A22" s="742" t="s">
        <v>1601</v>
      </c>
      <c r="B22" s="763" t="s">
        <v>1630</v>
      </c>
      <c r="C22" s="764" t="e">
        <f ca="1">ROUND(C21*F22,0)</f>
        <v>#VALUE!</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t="e">
        <f ca="1">C27</f>
        <v>#VALUE!</v>
      </c>
      <c r="D25" s="271">
        <f ca="1">C26</f>
        <v>0</v>
      </c>
      <c r="E25" s="273" t="s">
        <v>12</v>
      </c>
      <c r="F25" s="274">
        <f ca="1">'数据-取费表'!B40</f>
        <v>3.1E-2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5"/>
      <c r="E26" s="276"/>
      <c r="F26" s="277"/>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t="e">
        <f ca="1">ROUND(IF('数据-取费表'!B22&lt;=1,(C21+C22+C23)*F25*'数据-取费表'!B24/2,(C21+C22+C23)*(POWER((1+F25),'数据-取费表'!B24/2)-1)),0)</f>
        <v>#VALUE!</v>
      </c>
      <c r="D27" s="275"/>
      <c r="E27" s="276"/>
      <c r="F27" s="277"/>
      <c r="G27" s="1719" t="str">
        <f>IF('数据-取费表'!B22&lt;=1,"（1）-（3）项×年利率×建设期÷2","（1）-（3）项×((1+年利率)^(建设期÷2)-1)")</f>
        <v>（1）-（3）项×((1+年利率)^(建设期÷2)-1)</v>
      </c>
      <c r="H27" s="757"/>
      <c r="I27" s="757"/>
      <c r="J27" s="757"/>
      <c r="K27" s="758"/>
    </row>
    <row r="28" spans="1:33" s="280" customFormat="1" ht="13.5" customHeight="1">
      <c r="A28" s="742" t="s">
        <v>1641</v>
      </c>
      <c r="B28" s="1720" t="s">
        <v>1642</v>
      </c>
      <c r="C28" s="278" t="e">
        <f ca="1">C30</f>
        <v>#VALUE!</v>
      </c>
      <c r="D28" s="271">
        <f ca="1">C29</f>
        <v>0</v>
      </c>
      <c r="E28" s="273" t="s">
        <v>12</v>
      </c>
      <c r="F28" s="279">
        <f ca="1">IF(C1="",'数据-取费表'!Q16,INDIRECT("'数据-取费表'!q"&amp;$K$1))</f>
        <v>0.05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3" t="s">
        <v>1644</v>
      </c>
      <c r="H29" s="757"/>
      <c r="I29" s="757"/>
      <c r="J29" s="757"/>
      <c r="K29" s="758"/>
    </row>
    <row r="30" spans="1:33" s="282" customFormat="1" ht="13.5" customHeight="1">
      <c r="A30" s="750" t="s">
        <v>359</v>
      </c>
      <c r="B30" s="771" t="s">
        <v>1645</v>
      </c>
      <c r="C30" s="283" t="e">
        <f ca="1">ROUND((C21+C22+C23)*F28,0)</f>
        <v>#VALUE!</v>
      </c>
      <c r="D30" s="275"/>
      <c r="E30" s="276"/>
      <c r="F30" s="281"/>
      <c r="G30" s="123"/>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t="e">
        <f ca="1">ROUND((C4-C21-C22-C23-C25-C28-C31)/(1+C24+D25+D28),0)</f>
        <v>#VALUE!</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90" t="e">
        <f>F61</f>
        <v>#DIV/0!</v>
      </c>
      <c r="C2" s="853"/>
      <c r="D2" s="853"/>
      <c r="E2" s="853"/>
      <c r="F2" s="854"/>
      <c r="G2" s="853"/>
      <c r="H2" s="853"/>
      <c r="I2" s="853"/>
      <c r="J2" s="853"/>
      <c r="K2" s="855"/>
      <c r="L2" s="2501"/>
      <c r="M2" s="2502"/>
      <c r="N2" s="2502"/>
      <c r="O2" s="2502"/>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501"/>
      <c r="M3" s="2502"/>
      <c r="N3" s="2502"/>
      <c r="O3" s="2502"/>
      <c r="P3" s="340"/>
      <c r="Q3" s="340"/>
      <c r="R3" s="340"/>
      <c r="S3" s="340"/>
      <c r="T3" s="340"/>
      <c r="U3" s="340"/>
      <c r="V3" s="340"/>
      <c r="W3" s="340"/>
      <c r="X3" s="340"/>
      <c r="Y3" s="340"/>
      <c r="Z3" s="340"/>
      <c r="AA3" s="340"/>
      <c r="AB3" s="674"/>
      <c r="AC3" s="661"/>
    </row>
    <row r="4" spans="1:29" ht="15">
      <c r="A4" s="344" t="s">
        <v>1769</v>
      </c>
      <c r="B4" s="345"/>
      <c r="C4" s="3439" t="s">
        <v>1770</v>
      </c>
      <c r="D4" s="3440"/>
      <c r="E4" s="3441" t="s">
        <v>1771</v>
      </c>
      <c r="F4" s="3442"/>
      <c r="G4" s="3439" t="s">
        <v>1772</v>
      </c>
      <c r="H4" s="3440"/>
      <c r="I4" s="3439" t="s">
        <v>1773</v>
      </c>
      <c r="J4" s="3440"/>
      <c r="K4" s="536" t="s">
        <v>1774</v>
      </c>
      <c r="L4" s="2484"/>
      <c r="M4" s="2485"/>
      <c r="N4" s="2485"/>
      <c r="O4" s="2485"/>
      <c r="P4" s="3443" t="s">
        <v>1775</v>
      </c>
      <c r="Q4" s="3444"/>
      <c r="R4" s="3449" t="s">
        <v>1771</v>
      </c>
      <c r="S4" s="3450"/>
      <c r="T4" s="3449" t="s">
        <v>1772</v>
      </c>
      <c r="U4" s="3450"/>
      <c r="V4" s="3425" t="s">
        <v>1773</v>
      </c>
      <c r="W4" s="3425"/>
      <c r="X4" s="1262"/>
      <c r="Y4" s="3449" t="s">
        <v>1775</v>
      </c>
      <c r="Z4" s="3450"/>
      <c r="AA4" s="3436" t="s">
        <v>1771</v>
      </c>
      <c r="AB4" s="3437" t="s">
        <v>1772</v>
      </c>
      <c r="AC4" s="3436" t="s">
        <v>1773</v>
      </c>
    </row>
    <row r="5" spans="1:29" ht="15">
      <c r="A5" s="347"/>
      <c r="B5" s="348"/>
      <c r="C5" s="3457" t="s">
        <v>1673</v>
      </c>
      <c r="D5" s="3458"/>
      <c r="E5" s="3464" t="s">
        <v>1674</v>
      </c>
      <c r="F5" s="3465"/>
      <c r="G5" s="3457" t="s">
        <v>1675</v>
      </c>
      <c r="H5" s="3458"/>
      <c r="I5" s="3457" t="s">
        <v>1676</v>
      </c>
      <c r="J5" s="3458"/>
      <c r="K5" s="536"/>
      <c r="L5" s="2484"/>
      <c r="M5" s="2485"/>
      <c r="N5" s="2485"/>
      <c r="O5" s="2485"/>
      <c r="P5" s="3445"/>
      <c r="Q5" s="3446"/>
      <c r="R5" s="3451"/>
      <c r="S5" s="3452"/>
      <c r="T5" s="3451"/>
      <c r="U5" s="3452"/>
      <c r="V5" s="3425"/>
      <c r="W5" s="3425"/>
      <c r="X5" s="1262"/>
      <c r="Y5" s="3451"/>
      <c r="Z5" s="3452"/>
      <c r="AA5" s="3437"/>
      <c r="AB5" s="3437"/>
      <c r="AC5" s="3437"/>
    </row>
    <row r="6" spans="1:29" ht="15.75" thickBot="1">
      <c r="A6" s="349"/>
      <c r="B6" s="350"/>
      <c r="C6" s="3523" t="s">
        <v>1919</v>
      </c>
      <c r="D6" s="3524"/>
      <c r="E6" s="3525" t="s">
        <v>1919</v>
      </c>
      <c r="F6" s="3526"/>
      <c r="G6" s="3523" t="s">
        <v>1919</v>
      </c>
      <c r="H6" s="3524"/>
      <c r="I6" s="3523" t="s">
        <v>1919</v>
      </c>
      <c r="J6" s="3524"/>
      <c r="K6" s="536" t="s">
        <v>1678</v>
      </c>
      <c r="L6" s="2484"/>
      <c r="M6" s="2485"/>
      <c r="N6" s="2485"/>
      <c r="O6" s="2485"/>
      <c r="P6" s="3447"/>
      <c r="Q6" s="3448"/>
      <c r="R6" s="3451"/>
      <c r="S6" s="3452"/>
      <c r="T6" s="3453"/>
      <c r="U6" s="3454"/>
      <c r="V6" s="3425"/>
      <c r="W6" s="3425"/>
      <c r="X6" s="1262"/>
      <c r="Y6" s="3453"/>
      <c r="Z6" s="3454"/>
      <c r="AA6" s="3438"/>
      <c r="AB6" s="3438"/>
      <c r="AC6" s="3438"/>
    </row>
    <row r="7" spans="1:29" s="102" customFormat="1" ht="15.75" thickBot="1">
      <c r="A7" s="351" t="s">
        <v>1679</v>
      </c>
      <c r="B7" s="352"/>
      <c r="C7" s="353">
        <f>'数据-取费表'!B2</f>
        <v>45607</v>
      </c>
      <c r="D7" s="354">
        <v>100</v>
      </c>
      <c r="E7" s="355"/>
      <c r="F7" s="356">
        <f>SUMIF(65:65,YEAR(E7)&amp;"-"&amp;INT((MONTH(E7)+2)/3),66:66)</f>
        <v>0</v>
      </c>
      <c r="G7" s="1819"/>
      <c r="H7" s="354">
        <f>SUMIF(65:65,YEAR(G7)&amp;"-"&amp;INT((MONTH(G7)+2)/3),66:66)</f>
        <v>0</v>
      </c>
      <c r="I7" s="1819"/>
      <c r="J7" s="354">
        <f>SUMIF(65:65,YEAR(I7)&amp;"-"&amp;INT((MONTH(I7)+2)/3),66:66)</f>
        <v>0</v>
      </c>
      <c r="K7" s="38"/>
      <c r="L7" s="2486"/>
      <c r="M7" s="2437"/>
      <c r="N7" s="2437"/>
      <c r="O7" s="2437"/>
      <c r="P7" s="3459" t="s">
        <v>1680</v>
      </c>
      <c r="Q7" s="3461"/>
      <c r="R7" s="662" t="s">
        <v>14</v>
      </c>
      <c r="S7" s="663">
        <f t="shared" ref="S7:S15" si="0">F7</f>
        <v>0</v>
      </c>
      <c r="T7" s="662" t="s">
        <v>14</v>
      </c>
      <c r="U7" s="663">
        <f t="shared" ref="U7:U15" si="1">H7</f>
        <v>0</v>
      </c>
      <c r="V7" s="662" t="s">
        <v>14</v>
      </c>
      <c r="W7" s="663">
        <f t="shared" ref="W7:W15" si="2">J7</f>
        <v>0</v>
      </c>
      <c r="X7" s="664"/>
      <c r="Y7" s="3459" t="s">
        <v>1680</v>
      </c>
      <c r="Z7" s="3460"/>
      <c r="AA7" s="50" t="e">
        <f>D7/F7</f>
        <v>#DIV/0!</v>
      </c>
      <c r="AB7" s="50" t="e">
        <f>D7/H7</f>
        <v>#DIV/0!</v>
      </c>
      <c r="AC7" s="50" t="e">
        <f>D7/J7</f>
        <v>#DIV/0!</v>
      </c>
    </row>
    <row r="8" spans="1:29" s="102"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6"/>
      <c r="M8" s="2437"/>
      <c r="N8" s="2437"/>
      <c r="O8" s="2437"/>
      <c r="P8" s="3459" t="s">
        <v>1683</v>
      </c>
      <c r="Q8" s="3460"/>
      <c r="R8" s="662" t="s">
        <v>14</v>
      </c>
      <c r="S8" s="663">
        <f t="shared" si="0"/>
        <v>0</v>
      </c>
      <c r="T8" s="662" t="s">
        <v>14</v>
      </c>
      <c r="U8" s="663">
        <f t="shared" si="1"/>
        <v>0</v>
      </c>
      <c r="V8" s="662" t="s">
        <v>14</v>
      </c>
      <c r="W8" s="663">
        <f t="shared" si="2"/>
        <v>0</v>
      </c>
      <c r="X8" s="664"/>
      <c r="Y8" s="3459" t="s">
        <v>1683</v>
      </c>
      <c r="Z8" s="3460"/>
      <c r="AA8" s="50" t="e">
        <f t="shared" ref="AA8:AA40" si="3">D8/F8</f>
        <v>#DIV/0!</v>
      </c>
      <c r="AB8" s="50" t="e">
        <f t="shared" ref="AB8:AB40" si="4">D8/H8</f>
        <v>#DIV/0!</v>
      </c>
      <c r="AC8" s="50" t="e">
        <f t="shared" ref="AC8:AC40" si="5">D8/J8</f>
        <v>#DIV/0!</v>
      </c>
    </row>
    <row r="9" spans="1:29" s="102" customFormat="1">
      <c r="A9" s="358"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24" t="s">
        <v>1686</v>
      </c>
      <c r="Q9" s="529" t="str">
        <f t="shared" ref="Q9:Q15" si="6">B9</f>
        <v>用途</v>
      </c>
      <c r="R9" s="662" t="s">
        <v>14</v>
      </c>
      <c r="S9" s="663">
        <f t="shared" si="0"/>
        <v>100</v>
      </c>
      <c r="T9" s="662" t="s">
        <v>14</v>
      </c>
      <c r="U9" s="663">
        <f t="shared" si="1"/>
        <v>100</v>
      </c>
      <c r="V9" s="662" t="s">
        <v>14</v>
      </c>
      <c r="W9" s="663">
        <f t="shared" si="2"/>
        <v>100</v>
      </c>
      <c r="X9" s="664"/>
      <c r="Y9" s="3298" t="s">
        <v>1687</v>
      </c>
      <c r="Z9" s="50" t="str">
        <f t="shared" ref="Z9:Z15" si="7">Q9</f>
        <v>用途</v>
      </c>
      <c r="AA9" s="50">
        <f t="shared" si="3"/>
        <v>1</v>
      </c>
      <c r="AB9" s="50">
        <f t="shared" si="4"/>
        <v>1</v>
      </c>
      <c r="AC9" s="50">
        <f t="shared" si="5"/>
        <v>1</v>
      </c>
    </row>
    <row r="10" spans="1:29" s="365" customFormat="1" ht="27">
      <c r="A10" s="362"/>
      <c r="B10" s="363" t="s">
        <v>1688</v>
      </c>
      <c r="C10" s="370"/>
      <c r="D10" s="119">
        <v>100</v>
      </c>
      <c r="E10" s="370"/>
      <c r="F10" s="119">
        <f>ROUND(100/'数据-取费表'!G16,0)</f>
        <v>105</v>
      </c>
      <c r="G10" s="370"/>
      <c r="H10" s="119">
        <f>ROUND(100/'数据-取费表'!G16,0)</f>
        <v>105</v>
      </c>
      <c r="I10" s="370"/>
      <c r="J10" s="119">
        <f>ROUND(100/'数据-取费表'!G16,0)</f>
        <v>105</v>
      </c>
      <c r="K10" s="591"/>
      <c r="L10" s="2487"/>
      <c r="M10" s="2488"/>
      <c r="N10" s="2488"/>
      <c r="O10" s="2539"/>
      <c r="P10" s="3424"/>
      <c r="Q10" s="529" t="str">
        <f t="shared" si="6"/>
        <v>土地使用年限（年）</v>
      </c>
      <c r="R10" s="662" t="s">
        <v>14</v>
      </c>
      <c r="S10" s="663">
        <f t="shared" si="0"/>
        <v>105</v>
      </c>
      <c r="T10" s="662" t="s">
        <v>14</v>
      </c>
      <c r="U10" s="663">
        <f t="shared" si="1"/>
        <v>105</v>
      </c>
      <c r="V10" s="662" t="s">
        <v>14</v>
      </c>
      <c r="W10" s="663">
        <f t="shared" si="2"/>
        <v>105</v>
      </c>
      <c r="X10" s="664"/>
      <c r="Y10" s="3298"/>
      <c r="Z10" s="50" t="str">
        <f t="shared" si="7"/>
        <v>土地使用年限（年）</v>
      </c>
      <c r="AA10" s="50">
        <f t="shared" si="3"/>
        <v>0.95238095238095233</v>
      </c>
      <c r="AB10" s="50">
        <f t="shared" si="4"/>
        <v>0.95238095238095233</v>
      </c>
      <c r="AC10" s="50">
        <f t="shared" si="5"/>
        <v>0.95238095238095233</v>
      </c>
    </row>
    <row r="11" spans="1:29" ht="15">
      <c r="A11" s="366"/>
      <c r="B11" s="363" t="s">
        <v>1689</v>
      </c>
      <c r="C11" s="367"/>
      <c r="D11" s="119">
        <v>100</v>
      </c>
      <c r="E11" s="367"/>
      <c r="F11" s="119" t="e">
        <f>LOOKUP(E11,75:75,76:76)-LOOKUP(C11,75:75,76:76)+100</f>
        <v>#N/A</v>
      </c>
      <c r="G11" s="368"/>
      <c r="H11" s="119" t="e">
        <f>LOOKUP(G11,75:75,76:76)-LOOKUP(C11,75:75,76:76)+100</f>
        <v>#N/A</v>
      </c>
      <c r="I11" s="367"/>
      <c r="J11" s="119" t="e">
        <f>LOOKUP(I11,75:75,76:76)-LOOKUP(C11,75:75,76:76)+100</f>
        <v>#N/A</v>
      </c>
      <c r="K11" s="592"/>
      <c r="L11" s="2489"/>
      <c r="M11" s="2485"/>
      <c r="N11" s="2485"/>
      <c r="O11" s="2540"/>
      <c r="P11" s="3424"/>
      <c r="Q11" s="529" t="str">
        <f t="shared" si="6"/>
        <v>容积率</v>
      </c>
      <c r="R11" s="662" t="s">
        <v>14</v>
      </c>
      <c r="S11" s="663" t="e">
        <f t="shared" si="0"/>
        <v>#N/A</v>
      </c>
      <c r="T11" s="662" t="s">
        <v>14</v>
      </c>
      <c r="U11" s="663" t="e">
        <f t="shared" si="1"/>
        <v>#N/A</v>
      </c>
      <c r="V11" s="662" t="s">
        <v>14</v>
      </c>
      <c r="W11" s="663" t="e">
        <f t="shared" si="2"/>
        <v>#N/A</v>
      </c>
      <c r="X11" s="664"/>
      <c r="Y11" s="3298"/>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9">
        <f>SUMIF(77:77,E12,78:78)-SUMIF(77:77,C12,78:78)+100</f>
        <v>100</v>
      </c>
      <c r="G12" s="593"/>
      <c r="H12" s="119">
        <f>SUMIF(77:77,G12,78:78)-SUMIF(77:77,C12,78:78)+100</f>
        <v>100</v>
      </c>
      <c r="I12" s="479"/>
      <c r="J12" s="119">
        <f>SUMIF(77:77,I12,78:78)-SUMIF(77:77,C12,78:78)+100</f>
        <v>100</v>
      </c>
      <c r="K12" s="591"/>
      <c r="L12" s="2486"/>
      <c r="M12" s="2437"/>
      <c r="N12" s="2437"/>
      <c r="O12" s="2538"/>
      <c r="P12" s="3424"/>
      <c r="Q12" s="529">
        <f t="shared" si="6"/>
        <v>111</v>
      </c>
      <c r="R12" s="662" t="s">
        <v>14</v>
      </c>
      <c r="S12" s="663">
        <f t="shared" si="0"/>
        <v>100</v>
      </c>
      <c r="T12" s="662" t="s">
        <v>14</v>
      </c>
      <c r="U12" s="663">
        <f t="shared" si="1"/>
        <v>100</v>
      </c>
      <c r="V12" s="662" t="s">
        <v>14</v>
      </c>
      <c r="W12" s="663">
        <f t="shared" si="2"/>
        <v>100</v>
      </c>
      <c r="X12" s="664"/>
      <c r="Y12" s="3298"/>
      <c r="Z12" s="50">
        <f t="shared" si="7"/>
        <v>111</v>
      </c>
      <c r="AA12" s="50">
        <f>D12/F12</f>
        <v>1</v>
      </c>
      <c r="AB12" s="50">
        <f>D12/H12</f>
        <v>1</v>
      </c>
      <c r="AC12" s="50">
        <f>D12/J12</f>
        <v>1</v>
      </c>
    </row>
    <row r="13" spans="1:29" ht="15">
      <c r="A13" s="366"/>
      <c r="B13" s="446">
        <v>111</v>
      </c>
      <c r="C13" s="372"/>
      <c r="D13" s="373">
        <v>100</v>
      </c>
      <c r="E13" s="479"/>
      <c r="F13" s="119">
        <f>SUMIF(79:79,E13,80:80)-SUMIF(79:79,C13,80:80)+100</f>
        <v>100</v>
      </c>
      <c r="G13" s="593"/>
      <c r="H13" s="373">
        <f>SUMIF(79:79,G13,80:80)-SUMIF(79:79,C13,80:80)+100</f>
        <v>100</v>
      </c>
      <c r="I13" s="479"/>
      <c r="J13" s="373">
        <f>SUMIF(79:79,I13,80:80)-SUMIF(79:79,C13,80:80)+100</f>
        <v>100</v>
      </c>
      <c r="K13" s="591"/>
      <c r="L13" s="2490"/>
      <c r="M13" s="2485"/>
      <c r="N13" s="2485"/>
      <c r="O13" s="2540"/>
      <c r="P13" s="3424"/>
      <c r="Q13" s="529">
        <f t="shared" si="6"/>
        <v>111</v>
      </c>
      <c r="R13" s="662" t="s">
        <v>14</v>
      </c>
      <c r="S13" s="663">
        <f t="shared" si="0"/>
        <v>100</v>
      </c>
      <c r="T13" s="662" t="s">
        <v>14</v>
      </c>
      <c r="U13" s="663">
        <f t="shared" si="1"/>
        <v>100</v>
      </c>
      <c r="V13" s="662" t="s">
        <v>14</v>
      </c>
      <c r="W13" s="663">
        <f t="shared" si="2"/>
        <v>100</v>
      </c>
      <c r="X13" s="664"/>
      <c r="Y13" s="3298"/>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424"/>
      <c r="Q14" s="529">
        <f t="shared" si="6"/>
        <v>111</v>
      </c>
      <c r="R14" s="662" t="s">
        <v>14</v>
      </c>
      <c r="S14" s="663">
        <f t="shared" si="0"/>
        <v>100</v>
      </c>
      <c r="T14" s="662" t="s">
        <v>14</v>
      </c>
      <c r="U14" s="663">
        <f t="shared" si="1"/>
        <v>100</v>
      </c>
      <c r="V14" s="662" t="s">
        <v>14</v>
      </c>
      <c r="W14" s="663">
        <f t="shared" si="2"/>
        <v>100</v>
      </c>
      <c r="X14" s="664"/>
      <c r="Y14" s="3298"/>
      <c r="Z14" s="50">
        <f t="shared" si="7"/>
        <v>111</v>
      </c>
      <c r="AA14" s="50">
        <f t="shared" si="3"/>
        <v>1</v>
      </c>
      <c r="AB14" s="50">
        <f t="shared" si="4"/>
        <v>1</v>
      </c>
      <c r="AC14" s="50">
        <f t="shared" si="5"/>
        <v>1</v>
      </c>
    </row>
    <row r="15" spans="1:29" ht="57">
      <c r="A15" s="378" t="s">
        <v>1690</v>
      </c>
      <c r="B15" s="553" t="s">
        <v>1920</v>
      </c>
      <c r="C15" s="1816"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426" t="s">
        <v>1691</v>
      </c>
      <c r="Q15" s="1260" t="str">
        <f t="shared" si="6"/>
        <v>产业集聚程度</v>
      </c>
      <c r="R15" s="665" t="s">
        <v>14</v>
      </c>
      <c r="S15" s="666">
        <f t="shared" si="0"/>
        <v>100</v>
      </c>
      <c r="T15" s="665" t="s">
        <v>14</v>
      </c>
      <c r="U15" s="666">
        <f t="shared" si="1"/>
        <v>100</v>
      </c>
      <c r="V15" s="665" t="s">
        <v>14</v>
      </c>
      <c r="W15" s="666">
        <f t="shared" si="2"/>
        <v>100</v>
      </c>
      <c r="X15" s="1262"/>
      <c r="Y15" s="3426" t="s">
        <v>1691</v>
      </c>
      <c r="Z15" s="1261" t="str">
        <f t="shared" si="7"/>
        <v>产业集聚程度</v>
      </c>
      <c r="AA15" s="1261">
        <f t="shared" si="3"/>
        <v>1</v>
      </c>
      <c r="AB15" s="1261">
        <f t="shared" si="4"/>
        <v>1</v>
      </c>
      <c r="AC15" s="1261">
        <f t="shared" si="5"/>
        <v>1</v>
      </c>
    </row>
    <row r="16" spans="1:29" ht="15">
      <c r="A16" s="366"/>
      <c r="B16" s="554"/>
      <c r="C16" s="385"/>
      <c r="D16" s="386"/>
      <c r="E16" s="1755"/>
      <c r="F16" s="386"/>
      <c r="G16" s="1755"/>
      <c r="H16" s="388"/>
      <c r="I16" s="1755"/>
      <c r="J16" s="386"/>
      <c r="K16" s="591"/>
      <c r="L16" s="2490"/>
      <c r="M16" s="2485"/>
      <c r="N16" s="2485"/>
      <c r="O16" s="2540"/>
      <c r="P16" s="3427"/>
      <c r="Q16" s="1260"/>
      <c r="R16" s="665"/>
      <c r="S16" s="666"/>
      <c r="T16" s="665"/>
      <c r="U16" s="666"/>
      <c r="V16" s="665"/>
      <c r="W16" s="666"/>
      <c r="X16" s="1262"/>
      <c r="Y16" s="3427"/>
      <c r="Z16" s="1261"/>
      <c r="AA16" s="1261">
        <v>1</v>
      </c>
      <c r="AB16" s="1261">
        <v>1</v>
      </c>
      <c r="AC16" s="1261">
        <v>1</v>
      </c>
    </row>
    <row r="17" spans="1:29" ht="85.5">
      <c r="A17" s="366"/>
      <c r="B17" s="555" t="s">
        <v>1833</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427"/>
      <c r="Q17" s="1260" t="str">
        <f>B17</f>
        <v>交通便捷度</v>
      </c>
      <c r="R17" s="665" t="s">
        <v>14</v>
      </c>
      <c r="S17" s="666">
        <f>F17</f>
        <v>100</v>
      </c>
      <c r="T17" s="665" t="s">
        <v>14</v>
      </c>
      <c r="U17" s="666">
        <f>H17</f>
        <v>100</v>
      </c>
      <c r="V17" s="665" t="s">
        <v>14</v>
      </c>
      <c r="W17" s="666">
        <f>J17</f>
        <v>100</v>
      </c>
      <c r="X17" s="1262"/>
      <c r="Y17" s="3427"/>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1"/>
      <c r="L18" s="2490"/>
      <c r="M18" s="2485"/>
      <c r="N18" s="2485"/>
      <c r="O18" s="2540"/>
      <c r="P18" s="3427"/>
      <c r="Q18" s="1260"/>
      <c r="R18" s="665"/>
      <c r="S18" s="666"/>
      <c r="T18" s="665"/>
      <c r="U18" s="666"/>
      <c r="V18" s="665"/>
      <c r="W18" s="666"/>
      <c r="X18" s="1262"/>
      <c r="Y18" s="3427"/>
      <c r="Z18" s="1261"/>
      <c r="AA18" s="1261">
        <v>1</v>
      </c>
      <c r="AB18" s="1261">
        <v>1</v>
      </c>
      <c r="AC18" s="1261">
        <v>1</v>
      </c>
    </row>
    <row r="19" spans="1:29" ht="15">
      <c r="A19" s="366"/>
      <c r="B19" s="555"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427"/>
      <c r="Q19" s="1260" t="str">
        <f t="shared" ref="Q19:Q33" si="8">B19</f>
        <v>区域土地利用方向</v>
      </c>
      <c r="R19" s="665" t="s">
        <v>14</v>
      </c>
      <c r="S19" s="666">
        <f>F19</f>
        <v>100</v>
      </c>
      <c r="T19" s="665" t="s">
        <v>14</v>
      </c>
      <c r="U19" s="666">
        <f>H19</f>
        <v>100</v>
      </c>
      <c r="V19" s="665" t="s">
        <v>14</v>
      </c>
      <c r="W19" s="666">
        <f>J19</f>
        <v>100</v>
      </c>
      <c r="X19" s="1262"/>
      <c r="Y19" s="3427"/>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6"/>
      <c r="L20" s="2490"/>
      <c r="M20" s="2485"/>
      <c r="N20" s="2485"/>
      <c r="O20" s="2540"/>
      <c r="P20" s="3427"/>
      <c r="Q20" s="1260"/>
      <c r="R20" s="665"/>
      <c r="S20" s="666"/>
      <c r="T20" s="665"/>
      <c r="U20" s="666"/>
      <c r="V20" s="665"/>
      <c r="W20" s="666"/>
      <c r="X20" s="1262"/>
      <c r="Y20" s="3427"/>
      <c r="Z20" s="1261"/>
      <c r="AA20" s="1261"/>
      <c r="AB20" s="1261"/>
      <c r="AC20" s="1261"/>
    </row>
    <row r="21" spans="1:29" ht="71.25">
      <c r="A21" s="347"/>
      <c r="B21" s="555" t="s">
        <v>1921</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427"/>
      <c r="Q21" s="1260" t="str">
        <f t="shared" si="8"/>
        <v>环境状况</v>
      </c>
      <c r="R21" s="665" t="s">
        <v>14</v>
      </c>
      <c r="S21" s="666">
        <f>F21</f>
        <v>100</v>
      </c>
      <c r="T21" s="665" t="s">
        <v>14</v>
      </c>
      <c r="U21" s="666">
        <f>H21</f>
        <v>100</v>
      </c>
      <c r="V21" s="665" t="s">
        <v>14</v>
      </c>
      <c r="W21" s="666">
        <f>J21</f>
        <v>100</v>
      </c>
      <c r="X21" s="1262"/>
      <c r="Y21" s="3427"/>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1"/>
      <c r="L22" s="2490"/>
      <c r="M22" s="2485"/>
      <c r="N22" s="2485"/>
      <c r="O22" s="2540"/>
      <c r="P22" s="3427"/>
      <c r="Q22" s="1260"/>
      <c r="R22" s="665"/>
      <c r="S22" s="666"/>
      <c r="T22" s="665"/>
      <c r="U22" s="666"/>
      <c r="V22" s="665"/>
      <c r="W22" s="666"/>
      <c r="X22" s="1262"/>
      <c r="Y22" s="3427"/>
      <c r="Z22" s="1261"/>
      <c r="AA22" s="1261">
        <v>1</v>
      </c>
      <c r="AB22" s="1261">
        <v>1</v>
      </c>
      <c r="AC22" s="1261">
        <v>1</v>
      </c>
    </row>
    <row r="23" spans="1:29" s="102" customFormat="1" ht="42.75">
      <c r="A23" s="442"/>
      <c r="B23" s="556" t="s">
        <v>1778</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6"/>
      <c r="M23" s="2437"/>
      <c r="N23" s="2437"/>
      <c r="O23" s="2538"/>
      <c r="P23" s="3427"/>
      <c r="Q23" s="529" t="str">
        <f t="shared" si="8"/>
        <v>公共配套设施</v>
      </c>
      <c r="R23" s="662" t="s">
        <v>14</v>
      </c>
      <c r="S23" s="663">
        <f>F23</f>
        <v>100</v>
      </c>
      <c r="T23" s="662" t="s">
        <v>14</v>
      </c>
      <c r="U23" s="663">
        <f>H23</f>
        <v>100</v>
      </c>
      <c r="V23" s="662" t="s">
        <v>14</v>
      </c>
      <c r="W23" s="663">
        <f>J23</f>
        <v>100</v>
      </c>
      <c r="X23" s="664"/>
      <c r="Y23" s="3427"/>
      <c r="Z23" s="50" t="str">
        <f>Q23</f>
        <v>公共配套设施</v>
      </c>
      <c r="AA23" s="1261">
        <f>D23/F23</f>
        <v>1</v>
      </c>
      <c r="AB23" s="1261">
        <f>D23/H23</f>
        <v>1</v>
      </c>
      <c r="AC23" s="1261">
        <f>D23/J23</f>
        <v>1</v>
      </c>
    </row>
    <row r="24" spans="1:29" s="102" customFormat="1" ht="15">
      <c r="A24" s="442"/>
      <c r="B24" s="400"/>
      <c r="C24" s="1823"/>
      <c r="D24" s="386"/>
      <c r="E24" s="1755"/>
      <c r="F24" s="386"/>
      <c r="G24" s="1755"/>
      <c r="H24" s="386"/>
      <c r="I24" s="385"/>
      <c r="J24" s="386"/>
      <c r="K24" s="591"/>
      <c r="L24" s="2486"/>
      <c r="M24" s="2437"/>
      <c r="N24" s="2437"/>
      <c r="O24" s="2538"/>
      <c r="P24" s="3427"/>
      <c r="Q24" s="529"/>
      <c r="R24" s="662"/>
      <c r="S24" s="663"/>
      <c r="T24" s="662"/>
      <c r="U24" s="663"/>
      <c r="V24" s="662"/>
      <c r="W24" s="663"/>
      <c r="X24" s="664"/>
      <c r="Y24" s="3427"/>
      <c r="Z24" s="50"/>
      <c r="AA24" s="50">
        <v>1</v>
      </c>
      <c r="AB24" s="50">
        <v>1</v>
      </c>
      <c r="AC24" s="50">
        <v>1</v>
      </c>
    </row>
    <row r="25" spans="1:29" s="102" customFormat="1" ht="28.5">
      <c r="A25" s="442"/>
      <c r="B25" s="556" t="s">
        <v>1779</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6"/>
      <c r="M25" s="2437"/>
      <c r="N25" s="2437"/>
      <c r="O25" s="2538"/>
      <c r="P25" s="3427"/>
      <c r="Q25" s="529" t="str">
        <f t="shared" ref="Q25" si="9">B25</f>
        <v>基础设施水平</v>
      </c>
      <c r="R25" s="662" t="s">
        <v>14</v>
      </c>
      <c r="S25" s="663">
        <f>F25</f>
        <v>100</v>
      </c>
      <c r="T25" s="662" t="s">
        <v>14</v>
      </c>
      <c r="U25" s="663">
        <f>H25</f>
        <v>100</v>
      </c>
      <c r="V25" s="662" t="s">
        <v>14</v>
      </c>
      <c r="W25" s="663">
        <f>J25</f>
        <v>100</v>
      </c>
      <c r="X25" s="664"/>
      <c r="Y25" s="3427"/>
      <c r="Z25" s="50" t="str">
        <f>Q25</f>
        <v>基础设施水平</v>
      </c>
      <c r="AA25" s="1261">
        <f>D25/F25</f>
        <v>1</v>
      </c>
      <c r="AB25" s="1261">
        <f>D25/H25</f>
        <v>1</v>
      </c>
      <c r="AC25" s="1261">
        <f>D25/J25</f>
        <v>1</v>
      </c>
    </row>
    <row r="26" spans="1:29" s="102" customFormat="1" ht="15">
      <c r="A26" s="442"/>
      <c r="B26" s="400"/>
      <c r="C26" s="1823"/>
      <c r="D26" s="386"/>
      <c r="E26" s="1824"/>
      <c r="F26" s="386"/>
      <c r="G26" s="1824"/>
      <c r="H26" s="386"/>
      <c r="I26" s="1824"/>
      <c r="J26" s="386"/>
      <c r="K26" s="591"/>
      <c r="L26" s="2486"/>
      <c r="M26" s="2437"/>
      <c r="N26" s="2437"/>
      <c r="O26" s="2538"/>
      <c r="P26" s="3427"/>
      <c r="Q26" s="529"/>
      <c r="R26" s="662"/>
      <c r="S26" s="663"/>
      <c r="T26" s="662"/>
      <c r="U26" s="663"/>
      <c r="V26" s="662"/>
      <c r="W26" s="663"/>
      <c r="X26" s="664"/>
      <c r="Y26" s="3427"/>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427"/>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27"/>
      <c r="Z27" s="1261" t="str">
        <f t="shared" ref="Z27:Z40" si="13">Q27</f>
        <v>临街状况</v>
      </c>
      <c r="AA27" s="1261">
        <f t="shared" si="3"/>
        <v>1</v>
      </c>
      <c r="AB27" s="1261">
        <f t="shared" si="4"/>
        <v>1</v>
      </c>
      <c r="AC27" s="1261">
        <f t="shared" si="5"/>
        <v>1</v>
      </c>
    </row>
    <row r="28" spans="1:29" ht="27">
      <c r="A28" s="366"/>
      <c r="B28" s="556"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427"/>
      <c r="Q28" s="1260" t="str">
        <f t="shared" si="8"/>
        <v>毗邻道路的类型与等级</v>
      </c>
      <c r="R28" s="665" t="s">
        <v>14</v>
      </c>
      <c r="S28" s="666">
        <f t="shared" si="10"/>
        <v>100</v>
      </c>
      <c r="T28" s="665" t="s">
        <v>14</v>
      </c>
      <c r="U28" s="666">
        <f t="shared" si="11"/>
        <v>100</v>
      </c>
      <c r="V28" s="665" t="s">
        <v>14</v>
      </c>
      <c r="W28" s="666">
        <f t="shared" si="12"/>
        <v>100</v>
      </c>
      <c r="X28" s="1262"/>
      <c r="Y28" s="3427"/>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90"/>
      <c r="M29" s="2485"/>
      <c r="N29" s="2485"/>
      <c r="O29" s="2540"/>
      <c r="P29" s="3427"/>
      <c r="Q29" s="1260"/>
      <c r="R29" s="665"/>
      <c r="S29" s="666"/>
      <c r="T29" s="665"/>
      <c r="U29" s="666"/>
      <c r="V29" s="665"/>
      <c r="W29" s="666"/>
      <c r="X29" s="1262"/>
      <c r="Y29" s="3427"/>
      <c r="Z29" s="1261"/>
      <c r="AA29" s="1261">
        <v>1</v>
      </c>
      <c r="AB29" s="1261">
        <v>1</v>
      </c>
      <c r="AC29" s="1261">
        <v>1</v>
      </c>
    </row>
    <row r="30" spans="1:29" ht="15">
      <c r="A30" s="366"/>
      <c r="B30" s="119" t="s">
        <v>1873</v>
      </c>
      <c r="C30" s="1067">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427"/>
      <c r="Q30" s="1260" t="str">
        <f t="shared" si="8"/>
        <v>土地级别</v>
      </c>
      <c r="R30" s="665" t="s">
        <v>14</v>
      </c>
      <c r="S30" s="666">
        <f t="shared" si="10"/>
        <v>100</v>
      </c>
      <c r="T30" s="665" t="s">
        <v>14</v>
      </c>
      <c r="U30" s="666">
        <f t="shared" si="11"/>
        <v>100</v>
      </c>
      <c r="V30" s="665" t="s">
        <v>14</v>
      </c>
      <c r="W30" s="666">
        <f t="shared" si="12"/>
        <v>100</v>
      </c>
      <c r="X30" s="1262"/>
      <c r="Y30" s="3427"/>
      <c r="Z30" s="1261" t="str">
        <f t="shared" si="13"/>
        <v>土地级别</v>
      </c>
      <c r="AA30" s="1261">
        <f t="shared" si="3"/>
        <v>1</v>
      </c>
      <c r="AB30" s="1261">
        <f t="shared" si="4"/>
        <v>1</v>
      </c>
      <c r="AC30" s="1261">
        <f t="shared" si="5"/>
        <v>1</v>
      </c>
    </row>
    <row r="31" spans="1:29" ht="15">
      <c r="A31" s="347"/>
      <c r="B31" s="1096">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427"/>
      <c r="Q31" s="1260">
        <f t="shared" si="8"/>
        <v>111</v>
      </c>
      <c r="R31" s="665" t="s">
        <v>14</v>
      </c>
      <c r="S31" s="666">
        <f t="shared" si="10"/>
        <v>100</v>
      </c>
      <c r="T31" s="665" t="s">
        <v>14</v>
      </c>
      <c r="U31" s="666">
        <f t="shared" si="11"/>
        <v>100</v>
      </c>
      <c r="V31" s="665" t="s">
        <v>14</v>
      </c>
      <c r="W31" s="666">
        <f t="shared" si="12"/>
        <v>100</v>
      </c>
      <c r="X31" s="1262"/>
      <c r="Y31" s="3427"/>
      <c r="Z31" s="1261">
        <f t="shared" si="13"/>
        <v>111</v>
      </c>
      <c r="AA31" s="1261">
        <f t="shared" si="3"/>
        <v>1</v>
      </c>
      <c r="AB31" s="1261">
        <f t="shared" si="4"/>
        <v>1</v>
      </c>
      <c r="AC31" s="1261">
        <f t="shared" si="5"/>
        <v>1</v>
      </c>
    </row>
    <row r="32" spans="1:29" ht="15">
      <c r="A32" s="594"/>
      <c r="B32" s="1836">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81" t="s">
        <v>1696</v>
      </c>
      <c r="Q32" s="1260">
        <f t="shared" si="8"/>
        <v>111</v>
      </c>
      <c r="R32" s="665" t="s">
        <v>14</v>
      </c>
      <c r="S32" s="666">
        <f t="shared" si="10"/>
        <v>100</v>
      </c>
      <c r="T32" s="665" t="s">
        <v>14</v>
      </c>
      <c r="U32" s="666">
        <f t="shared" si="11"/>
        <v>100</v>
      </c>
      <c r="V32" s="665" t="s">
        <v>14</v>
      </c>
      <c r="W32" s="666">
        <f t="shared" si="12"/>
        <v>100</v>
      </c>
      <c r="X32" s="1262"/>
      <c r="Y32" s="3431" t="s">
        <v>1696</v>
      </c>
      <c r="Z32" s="1261">
        <f t="shared" si="13"/>
        <v>111</v>
      </c>
      <c r="AA32" s="1261">
        <f t="shared" si="3"/>
        <v>1</v>
      </c>
      <c r="AB32" s="1261">
        <f t="shared" si="4"/>
        <v>1</v>
      </c>
      <c r="AC32" s="1261">
        <f t="shared" si="5"/>
        <v>1</v>
      </c>
    </row>
    <row r="33" spans="1:31" s="407" customFormat="1" ht="15.75" thickBot="1">
      <c r="A33" s="595"/>
      <c r="B33" s="1837">
        <v>111</v>
      </c>
      <c r="C33" s="597"/>
      <c r="D33" s="120">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431"/>
      <c r="Q33" s="1260">
        <f t="shared" si="8"/>
        <v>111</v>
      </c>
      <c r="R33" s="667" t="s">
        <v>14</v>
      </c>
      <c r="S33" s="668">
        <f t="shared" si="10"/>
        <v>100</v>
      </c>
      <c r="T33" s="667" t="s">
        <v>14</v>
      </c>
      <c r="U33" s="668">
        <f t="shared" si="11"/>
        <v>100</v>
      </c>
      <c r="V33" s="667" t="s">
        <v>14</v>
      </c>
      <c r="W33" s="668">
        <f t="shared" si="12"/>
        <v>100</v>
      </c>
      <c r="X33" s="669"/>
      <c r="Y33" s="3431"/>
      <c r="Z33" s="670">
        <f t="shared" si="13"/>
        <v>111</v>
      </c>
      <c r="AA33" s="1261">
        <f t="shared" si="3"/>
        <v>1</v>
      </c>
      <c r="AB33" s="1261">
        <f t="shared" si="4"/>
        <v>1</v>
      </c>
      <c r="AC33" s="1261">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431"/>
      <c r="Q34" s="1260" t="str">
        <f>B34</f>
        <v>宗地面积</v>
      </c>
      <c r="R34" s="665" t="s">
        <v>14</v>
      </c>
      <c r="S34" s="666" t="e">
        <f t="shared" si="10"/>
        <v>#N/A</v>
      </c>
      <c r="T34" s="665" t="s">
        <v>14</v>
      </c>
      <c r="U34" s="666" t="e">
        <f t="shared" si="11"/>
        <v>#N/A</v>
      </c>
      <c r="V34" s="665" t="s">
        <v>14</v>
      </c>
      <c r="W34" s="666" t="e">
        <f t="shared" si="12"/>
        <v>#N/A</v>
      </c>
      <c r="X34" s="1262"/>
      <c r="Y34" s="3431"/>
      <c r="Z34" s="1261" t="str">
        <f t="shared" si="13"/>
        <v>宗地面积</v>
      </c>
      <c r="AA34" s="1261" t="e">
        <f t="shared" si="3"/>
        <v>#N/A</v>
      </c>
      <c r="AB34" s="1261" t="e">
        <f t="shared" si="4"/>
        <v>#N/A</v>
      </c>
      <c r="AC34" s="1261"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90"/>
      <c r="M35" s="2485"/>
      <c r="N35" s="2485"/>
      <c r="O35" s="2540"/>
      <c r="P35" s="3431"/>
      <c r="Q35" s="1260" t="str">
        <f t="shared" ref="Q35:Q40" si="14">B35</f>
        <v>宗地形状</v>
      </c>
      <c r="R35" s="665" t="s">
        <v>14</v>
      </c>
      <c r="S35" s="666">
        <f t="shared" si="10"/>
        <v>100</v>
      </c>
      <c r="T35" s="665" t="s">
        <v>14</v>
      </c>
      <c r="U35" s="666">
        <f t="shared" si="11"/>
        <v>100</v>
      </c>
      <c r="V35" s="665" t="s">
        <v>14</v>
      </c>
      <c r="W35" s="666">
        <f t="shared" si="12"/>
        <v>100</v>
      </c>
      <c r="X35" s="1262"/>
      <c r="Y35" s="3431"/>
      <c r="Z35" s="1261" t="str">
        <f t="shared" si="13"/>
        <v>宗地形状</v>
      </c>
      <c r="AA35" s="1261">
        <f t="shared" si="3"/>
        <v>1</v>
      </c>
      <c r="AB35" s="1261">
        <f t="shared" si="4"/>
        <v>1</v>
      </c>
      <c r="AC35" s="1261">
        <f t="shared" si="5"/>
        <v>1</v>
      </c>
    </row>
    <row r="36" spans="1:31" s="102" customFormat="1" ht="15">
      <c r="A36" s="409"/>
      <c r="B36" s="363" t="s">
        <v>1877</v>
      </c>
      <c r="C36" s="1825"/>
      <c r="D36" s="119">
        <v>100</v>
      </c>
      <c r="E36" s="1825"/>
      <c r="F36" s="373">
        <f>SUMIF(112:112,E36,113:113)-SUMIF(112:112,C36,113:113)+100</f>
        <v>100</v>
      </c>
      <c r="G36" s="1825"/>
      <c r="H36" s="373">
        <f>SUMIF(112:112,G36,113:113)-SUMIF(112:112,C36,113:113)+100</f>
        <v>100</v>
      </c>
      <c r="I36" s="1825"/>
      <c r="J36" s="373">
        <f>SUMIF(112:112,I36,113:113)-SUMIF(112:112,C36,113:113)+100</f>
        <v>100</v>
      </c>
      <c r="K36" s="537"/>
      <c r="L36" s="2486"/>
      <c r="M36" s="2437"/>
      <c r="N36" s="2437"/>
      <c r="O36" s="2538"/>
      <c r="P36" s="3431"/>
      <c r="Q36" s="1260" t="str">
        <f t="shared" si="14"/>
        <v>宗地开发程度</v>
      </c>
      <c r="R36" s="662" t="s">
        <v>14</v>
      </c>
      <c r="S36" s="663">
        <f t="shared" si="10"/>
        <v>100</v>
      </c>
      <c r="T36" s="662" t="s">
        <v>14</v>
      </c>
      <c r="U36" s="663">
        <f t="shared" si="11"/>
        <v>100</v>
      </c>
      <c r="V36" s="662" t="s">
        <v>14</v>
      </c>
      <c r="W36" s="663">
        <f t="shared" si="12"/>
        <v>100</v>
      </c>
      <c r="X36" s="664"/>
      <c r="Y36" s="3431"/>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90"/>
      <c r="M37" s="2485"/>
      <c r="N37" s="2485"/>
      <c r="O37" s="2540"/>
      <c r="P37" s="3431" t="s">
        <v>1696</v>
      </c>
      <c r="Q37" s="1260" t="str">
        <f t="shared" si="14"/>
        <v>工程地质条件</v>
      </c>
      <c r="R37" s="665" t="s">
        <v>14</v>
      </c>
      <c r="S37" s="666">
        <f t="shared" si="10"/>
        <v>100</v>
      </c>
      <c r="T37" s="665" t="s">
        <v>14</v>
      </c>
      <c r="U37" s="666">
        <f t="shared" si="11"/>
        <v>100</v>
      </c>
      <c r="V37" s="665" t="s">
        <v>14</v>
      </c>
      <c r="W37" s="666">
        <f t="shared" si="12"/>
        <v>100</v>
      </c>
      <c r="X37" s="1262"/>
      <c r="Y37" s="3431" t="s">
        <v>1696</v>
      </c>
      <c r="Z37" s="1261" t="str">
        <f t="shared" si="13"/>
        <v>工程地质条件</v>
      </c>
      <c r="AA37" s="1261">
        <f t="shared" si="3"/>
        <v>1</v>
      </c>
      <c r="AB37" s="1261">
        <f t="shared" si="4"/>
        <v>1</v>
      </c>
      <c r="AC37" s="1261">
        <f t="shared" si="5"/>
        <v>1</v>
      </c>
    </row>
    <row r="38" spans="1:31" ht="15">
      <c r="A38" s="408"/>
      <c r="B38" s="1065">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431"/>
      <c r="Q38" s="1260">
        <f t="shared" si="14"/>
        <v>111</v>
      </c>
      <c r="R38" s="665" t="s">
        <v>14</v>
      </c>
      <c r="S38" s="666">
        <f t="shared" si="10"/>
        <v>100</v>
      </c>
      <c r="T38" s="665" t="s">
        <v>14</v>
      </c>
      <c r="U38" s="666">
        <f t="shared" si="11"/>
        <v>100</v>
      </c>
      <c r="V38" s="665" t="s">
        <v>14</v>
      </c>
      <c r="W38" s="666">
        <f t="shared" si="12"/>
        <v>100</v>
      </c>
      <c r="X38" s="1262"/>
      <c r="Y38" s="3431"/>
      <c r="Z38" s="1261">
        <f t="shared" si="13"/>
        <v>111</v>
      </c>
      <c r="AA38" s="1261">
        <f t="shared" si="3"/>
        <v>1</v>
      </c>
      <c r="AB38" s="1261">
        <f t="shared" si="4"/>
        <v>1</v>
      </c>
      <c r="AC38" s="1261">
        <f t="shared" si="5"/>
        <v>1</v>
      </c>
    </row>
    <row r="39" spans="1:31" ht="15">
      <c r="A39" s="408"/>
      <c r="B39" s="1065">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431"/>
      <c r="Q39" s="1260">
        <f t="shared" si="14"/>
        <v>111</v>
      </c>
      <c r="R39" s="665" t="s">
        <v>14</v>
      </c>
      <c r="S39" s="666">
        <f t="shared" si="10"/>
        <v>100</v>
      </c>
      <c r="T39" s="665" t="s">
        <v>14</v>
      </c>
      <c r="U39" s="666">
        <f t="shared" si="11"/>
        <v>100</v>
      </c>
      <c r="V39" s="665" t="s">
        <v>14</v>
      </c>
      <c r="W39" s="666">
        <f t="shared" si="12"/>
        <v>100</v>
      </c>
      <c r="X39" s="1262"/>
      <c r="Y39" s="3431"/>
      <c r="Z39" s="1261">
        <f t="shared" si="13"/>
        <v>111</v>
      </c>
      <c r="AA39" s="1261">
        <f t="shared" si="3"/>
        <v>1</v>
      </c>
      <c r="AB39" s="1261">
        <f t="shared" si="4"/>
        <v>1</v>
      </c>
      <c r="AC39" s="1261">
        <f t="shared" si="5"/>
        <v>1</v>
      </c>
    </row>
    <row r="40" spans="1:31" s="407" customFormat="1" ht="15.75" thickBot="1">
      <c r="A40" s="405"/>
      <c r="B40" s="1065">
        <v>111</v>
      </c>
      <c r="C40" s="1826"/>
      <c r="D40" s="120">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431"/>
      <c r="Q40" s="1260">
        <f t="shared" si="14"/>
        <v>111</v>
      </c>
      <c r="R40" s="667" t="s">
        <v>14</v>
      </c>
      <c r="S40" s="668">
        <f t="shared" si="10"/>
        <v>100</v>
      </c>
      <c r="T40" s="667" t="s">
        <v>14</v>
      </c>
      <c r="U40" s="668">
        <f t="shared" si="11"/>
        <v>100</v>
      </c>
      <c r="V40" s="667" t="s">
        <v>14</v>
      </c>
      <c r="W40" s="668">
        <f t="shared" si="12"/>
        <v>100</v>
      </c>
      <c r="X40" s="669"/>
      <c r="Y40" s="3431"/>
      <c r="Z40" s="670">
        <f t="shared" si="13"/>
        <v>111</v>
      </c>
      <c r="AA40" s="1261">
        <f t="shared" si="3"/>
        <v>1</v>
      </c>
      <c r="AB40" s="1261">
        <f t="shared" si="4"/>
        <v>1</v>
      </c>
      <c r="AC40" s="1261">
        <f t="shared" si="5"/>
        <v>1</v>
      </c>
    </row>
    <row r="41" spans="1:31" ht="15">
      <c r="A41" s="415" t="s">
        <v>1844</v>
      </c>
      <c r="B41" s="1827" t="s">
        <v>1922</v>
      </c>
      <c r="C41" s="601" t="s">
        <v>0</v>
      </c>
      <c r="D41" s="417"/>
      <c r="E41" s="418"/>
      <c r="F41" s="419"/>
      <c r="G41" s="420"/>
      <c r="H41" s="421"/>
      <c r="I41" s="418"/>
      <c r="J41" s="421"/>
      <c r="K41" s="672"/>
      <c r="L41" s="2492"/>
      <c r="M41" s="2485"/>
      <c r="N41" s="2485"/>
      <c r="O41" s="2485"/>
      <c r="P41" s="3424" t="str">
        <f>A41</f>
        <v>成交单价</v>
      </c>
      <c r="Q41" s="3424"/>
      <c r="R41" s="3425">
        <f>E41</f>
        <v>0</v>
      </c>
      <c r="S41" s="3425"/>
      <c r="T41" s="3425">
        <f>G41</f>
        <v>0</v>
      </c>
      <c r="U41" s="3425"/>
      <c r="V41" s="3425">
        <f>I41</f>
        <v>0</v>
      </c>
      <c r="W41" s="3425"/>
      <c r="X41" s="384"/>
      <c r="Y41" s="671"/>
      <c r="Z41" s="384"/>
      <c r="AA41" s="384"/>
      <c r="AB41" s="384"/>
      <c r="AC41" s="384"/>
    </row>
    <row r="42" spans="1:31" ht="15.75" thickBot="1">
      <c r="A42" s="422" t="s">
        <v>1793</v>
      </c>
      <c r="B42" s="602"/>
      <c r="C42" s="425" t="e">
        <f>R43</f>
        <v>#DIV/0!</v>
      </c>
      <c r="D42" s="2138" t="s">
        <v>2138</v>
      </c>
      <c r="E42" s="425" t="e">
        <f>R42</f>
        <v>#DIV/0!</v>
      </c>
      <c r="F42" s="2139"/>
      <c r="G42" s="424" t="e">
        <f>T42</f>
        <v>#DIV/0!</v>
      </c>
      <c r="H42" s="2139"/>
      <c r="I42" s="425" t="e">
        <f>V42</f>
        <v>#DIV/0!</v>
      </c>
      <c r="J42" s="2139"/>
      <c r="K42" s="2141">
        <f>F42+H42+J42</f>
        <v>0</v>
      </c>
      <c r="L42" s="2492"/>
      <c r="M42" s="2485"/>
      <c r="N42" s="2485"/>
      <c r="O42" s="2485"/>
      <c r="P42" s="3424" t="str">
        <f>A42</f>
        <v>比较价值（元/平方米）</v>
      </c>
      <c r="Q42" s="3424"/>
      <c r="R42" s="3483" t="e">
        <f>ROUND(PRODUCT(R41,AA7:AA40),0)</f>
        <v>#DIV/0!</v>
      </c>
      <c r="S42" s="3483"/>
      <c r="T42" s="3483" t="e">
        <f>ROUND(PRODUCT(T41,AB7:AB40),0)</f>
        <v>#DIV/0!</v>
      </c>
      <c r="U42" s="3483"/>
      <c r="V42" s="3483" t="e">
        <f>ROUND(PRODUCT(V41,AC7:AC40),0)</f>
        <v>#DIV/0!</v>
      </c>
      <c r="W42" s="3483"/>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92"/>
      <c r="M43" s="2485"/>
      <c r="N43" s="2485"/>
      <c r="O43" s="2485"/>
      <c r="P43" s="3421" t="str">
        <f>A43</f>
        <v>估价对象XX用房的比较价值（楼面单价，元/平方米）</v>
      </c>
      <c r="Q43" s="3422"/>
      <c r="R43" s="3484" t="e">
        <f>ROUND(IF(D42="简单平均",AVERAGE(R42:W42),R42*F42+T42*H42+V42*J42),0)</f>
        <v>#DIV/0!</v>
      </c>
      <c r="S43" s="3484"/>
      <c r="T43" s="3484"/>
      <c r="U43" s="3484"/>
      <c r="V43" s="3484"/>
      <c r="W43" s="3484"/>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5" thickBot="1">
      <c r="A49" s="2495"/>
      <c r="B49" s="2498"/>
      <c r="C49" s="655"/>
      <c r="D49" s="653"/>
      <c r="E49" s="653"/>
      <c r="F49" s="653"/>
      <c r="G49" s="653"/>
      <c r="H49" s="653"/>
      <c r="I49" s="653"/>
      <c r="J49" s="653"/>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3" t="s">
        <v>1881</v>
      </c>
      <c r="B50" s="604" t="s">
        <v>1882</v>
      </c>
      <c r="C50" s="1828" t="s">
        <v>1883</v>
      </c>
      <c r="D50" s="1829" t="s">
        <v>1884</v>
      </c>
      <c r="E50" s="605" t="s">
        <v>1885</v>
      </c>
      <c r="F50" s="606" t="s">
        <v>1886</v>
      </c>
      <c r="G50" s="3439" t="s">
        <v>1887</v>
      </c>
      <c r="H50" s="3485"/>
      <c r="I50" s="1261" t="s">
        <v>1923</v>
      </c>
      <c r="J50" s="1261">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8">
        <v>1</v>
      </c>
      <c r="E51" s="609">
        <f>'数据-汇总表'!E8+'数据-汇总表'!E9</f>
        <v>28321.48</v>
      </c>
      <c r="F51" s="610" t="e">
        <f t="shared" ref="F51:F60" si="15">ROUND(B51*E51/10000,0)</f>
        <v>#DIV/0!</v>
      </c>
      <c r="G51" s="3435"/>
      <c r="H51" s="3424"/>
      <c r="I51" s="725">
        <v>1</v>
      </c>
      <c r="J51" s="725">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v>
      </c>
      <c r="D52" s="889">
        <v>0.25</v>
      </c>
      <c r="E52" s="613"/>
      <c r="F52" s="610" t="e">
        <f t="shared" si="15"/>
        <v>#DIV/0!</v>
      </c>
      <c r="G52" s="2748" t="s">
        <v>1892</v>
      </c>
      <c r="H52" s="832">
        <f>项目基本情况!B37</f>
        <v>0</v>
      </c>
      <c r="I52" s="725">
        <f>SUMIF(修正!A57:A68,H52,修正!B57:B68)</f>
        <v>0</v>
      </c>
      <c r="J52" s="726"/>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v>
      </c>
      <c r="D53" s="889">
        <v>0.25</v>
      </c>
      <c r="E53" s="613"/>
      <c r="F53" s="610" t="e">
        <f t="shared" si="15"/>
        <v>#DIV/0!</v>
      </c>
      <c r="G53" s="2749"/>
      <c r="H53" s="832">
        <f>项目基本情况!B37</f>
        <v>0</v>
      </c>
      <c r="I53" s="725">
        <f>SUMIF(修正!A57:A68,H53,修正!C57:C68)</f>
        <v>0</v>
      </c>
      <c r="J53" s="726"/>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v>
      </c>
      <c r="D54" s="889">
        <v>0.25</v>
      </c>
      <c r="E54" s="613"/>
      <c r="F54" s="610" t="e">
        <f t="shared" si="15"/>
        <v>#DIV/0!</v>
      </c>
      <c r="G54" s="2749"/>
      <c r="H54" s="832">
        <f>项目基本情况!B37</f>
        <v>0</v>
      </c>
      <c r="I54" s="725">
        <f>SUMIF(修正!A57:A68,H54,修正!D57:D68)</f>
        <v>0</v>
      </c>
      <c r="J54" s="726"/>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89"/>
      <c r="E55" s="613"/>
      <c r="F55" s="610"/>
      <c r="G55" s="2750"/>
      <c r="H55" s="832"/>
      <c r="I55" s="725"/>
      <c r="J55" s="726"/>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v>
      </c>
      <c r="D56" s="889">
        <v>0.25</v>
      </c>
      <c r="E56" s="208">
        <f>'数据-汇总表'!E11</f>
        <v>0</v>
      </c>
      <c r="F56" s="610" t="e">
        <f t="shared" si="15"/>
        <v>#DIV/0!</v>
      </c>
      <c r="G56" s="1832" t="s">
        <v>1896</v>
      </c>
      <c r="H56" s="832">
        <f>项目基本情况!C37</f>
        <v>0</v>
      </c>
      <c r="I56" s="725">
        <f>SUMIF(修正!A57:A68,H56,修正!E57:E68)</f>
        <v>0</v>
      </c>
      <c r="J56" s="726"/>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v>
      </c>
      <c r="D57" s="889">
        <v>0.25</v>
      </c>
      <c r="E57" s="208">
        <f>'数据-汇总表'!E12</f>
        <v>0</v>
      </c>
      <c r="F57" s="610" t="e">
        <f t="shared" si="15"/>
        <v>#DIV/0!</v>
      </c>
      <c r="G57" s="837" t="s">
        <v>1898</v>
      </c>
      <c r="H57" s="832">
        <f>IF(G57="商业",项目基本情况!B37,IF(G57="办公",项目基本情况!C37,IF(G57="住宅",项目基本情况!D37,项目基本情况!E37)))</f>
        <v>0</v>
      </c>
      <c r="I57" s="725">
        <f>SUMIF(修正!A57:A68,H57,修正!F57:F68)</f>
        <v>0</v>
      </c>
      <c r="J57" s="726"/>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89">
        <v>0.25</v>
      </c>
      <c r="E58" s="208">
        <f>'数据-汇总表'!E13</f>
        <v>19473.41</v>
      </c>
      <c r="F58" s="610" t="e">
        <f t="shared" si="15"/>
        <v>#DIV/0!</v>
      </c>
      <c r="G58" s="837" t="s">
        <v>1900</v>
      </c>
      <c r="H58" s="832">
        <f>IF(G58="商业",项目基本情况!B37,IF(G58="办公",项目基本情况!C37,IF(G58="住宅",项目基本情况!D37,项目基本情况!E37)))</f>
        <v>0</v>
      </c>
      <c r="I58" s="725">
        <f>SUMIF(修正!A57:A68,H58,修正!G57:G68)</f>
        <v>0</v>
      </c>
      <c r="J58" s="726"/>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v>
      </c>
      <c r="D59" s="889">
        <v>0.25</v>
      </c>
      <c r="E59" s="208">
        <f>'数据-汇总表'!E14</f>
        <v>0</v>
      </c>
      <c r="F59" s="610" t="e">
        <f t="shared" si="15"/>
        <v>#DIV/0!</v>
      </c>
      <c r="G59" s="1832" t="s">
        <v>1892</v>
      </c>
      <c r="H59" s="832">
        <f>项目基本情况!B37</f>
        <v>0</v>
      </c>
      <c r="I59" s="725">
        <f>SUMIF(修正!A57:A68,H59,修正!G57:G68)</f>
        <v>0</v>
      </c>
      <c r="J59" s="726"/>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5" thickBot="1">
      <c r="A60" s="612" t="s">
        <v>1902</v>
      </c>
      <c r="B60" s="209" t="e">
        <f t="shared" si="17"/>
        <v>#DIV/0!</v>
      </c>
      <c r="C60" s="162">
        <f t="shared" si="16"/>
        <v>0</v>
      </c>
      <c r="D60" s="889">
        <v>0.25</v>
      </c>
      <c r="E60" s="208">
        <f>'数据-汇总表'!E15</f>
        <v>0</v>
      </c>
      <c r="F60" s="610" t="e">
        <f t="shared" si="15"/>
        <v>#DIV/0!</v>
      </c>
      <c r="G60" s="1833" t="s">
        <v>1896</v>
      </c>
      <c r="H60" s="842">
        <f>项目基本情况!C37</f>
        <v>0</v>
      </c>
      <c r="I60" s="725">
        <f>SUMIF(修正!A57:A68,H60,修正!G57:G68)</f>
        <v>0</v>
      </c>
      <c r="J60" s="726"/>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5" thickBot="1">
      <c r="A61" s="614" t="s">
        <v>1903</v>
      </c>
      <c r="B61" s="615" t="s">
        <v>22</v>
      </c>
      <c r="C61" s="615" t="s">
        <v>23</v>
      </c>
      <c r="D61" s="615" t="s">
        <v>392</v>
      </c>
      <c r="E61" s="615">
        <f>IF(B41="楼面地价",SUM(E51:E60),'数据-汇总表'!D3)</f>
        <v>14991.03</v>
      </c>
      <c r="F61" s="616" t="e">
        <f>IF(B41="楼面地价",SUM(F51:F60),ROUND(C43*E61/10000,0))</f>
        <v>#DIV/0!</v>
      </c>
      <c r="G61" s="883"/>
      <c r="H61" s="883"/>
      <c r="I61" s="883"/>
      <c r="J61" s="883"/>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9"/>
      <c r="B62" s="873"/>
      <c r="C62" s="875"/>
      <c r="D62" s="859"/>
      <c r="E62" s="859"/>
      <c r="F62" s="859"/>
      <c r="G62" s="859"/>
      <c r="H62" s="859"/>
      <c r="I62" s="859"/>
      <c r="J62" s="859"/>
      <c r="K62" s="833"/>
      <c r="L62" s="834"/>
      <c r="M62" s="859"/>
      <c r="N62" s="859"/>
      <c r="O62" s="859"/>
      <c r="P62" s="2485"/>
      <c r="Q62" s="2485"/>
      <c r="R62" s="2485"/>
      <c r="S62" s="2485"/>
      <c r="T62" s="2485"/>
      <c r="U62" s="2485"/>
      <c r="V62" s="2485"/>
      <c r="W62" s="2485"/>
      <c r="X62" s="2485"/>
      <c r="Y62" s="2485"/>
      <c r="Z62" s="2485"/>
      <c r="AA62" s="2485"/>
      <c r="AB62" s="2485"/>
      <c r="AC62" s="2485"/>
      <c r="AD62" s="2485"/>
      <c r="AE62" s="2485"/>
    </row>
    <row r="63" spans="1:31">
      <c r="A63" s="859"/>
      <c r="B63" s="873"/>
      <c r="C63" s="654" t="str">
        <f>YEAR(C7)&amp;"-"&amp;MONTH(C7)&amp;"-1"</f>
        <v>2024-11-1</v>
      </c>
      <c r="D63" s="654">
        <f>EDATE(C63,-3)</f>
        <v>45505</v>
      </c>
      <c r="E63" s="654">
        <f>EDATE(D63,-3)</f>
        <v>45413</v>
      </c>
      <c r="F63" s="654">
        <f t="shared" ref="F63:O63" si="18">EDATE(E63,-3)</f>
        <v>45323</v>
      </c>
      <c r="G63" s="654">
        <f t="shared" si="18"/>
        <v>45231</v>
      </c>
      <c r="H63" s="654">
        <f t="shared" si="18"/>
        <v>45139</v>
      </c>
      <c r="I63" s="654">
        <f t="shared" si="18"/>
        <v>45047</v>
      </c>
      <c r="J63" s="654">
        <f t="shared" si="18"/>
        <v>44958</v>
      </c>
      <c r="K63" s="654">
        <f t="shared" si="18"/>
        <v>44866</v>
      </c>
      <c r="L63" s="654">
        <f t="shared" si="18"/>
        <v>44774</v>
      </c>
      <c r="M63" s="654">
        <f t="shared" si="18"/>
        <v>44682</v>
      </c>
      <c r="N63" s="654">
        <f t="shared" si="18"/>
        <v>44593</v>
      </c>
      <c r="O63" s="654">
        <f t="shared" si="18"/>
        <v>44501</v>
      </c>
      <c r="P63" s="2485"/>
      <c r="Q63" s="2485"/>
      <c r="R63" s="2485"/>
      <c r="S63" s="2485"/>
      <c r="T63" s="2485"/>
      <c r="U63" s="2485"/>
      <c r="V63" s="2485"/>
      <c r="W63" s="2485"/>
      <c r="X63" s="2485"/>
      <c r="Y63" s="2485"/>
      <c r="Z63" s="2485"/>
      <c r="AA63" s="2485"/>
      <c r="AB63" s="2485"/>
      <c r="AC63" s="2485"/>
      <c r="AD63" s="2485"/>
      <c r="AE63" s="2485"/>
    </row>
    <row r="64" spans="1:31" ht="21.75" thickBot="1">
      <c r="A64" s="656" t="s">
        <v>1798</v>
      </c>
      <c r="B64" s="384"/>
      <c r="C64" s="657"/>
      <c r="D64" s="657"/>
      <c r="E64" s="657"/>
      <c r="F64" s="658"/>
      <c r="G64" s="658"/>
      <c r="H64" s="657"/>
      <c r="I64" s="657"/>
      <c r="J64" s="657"/>
      <c r="K64" s="659"/>
      <c r="L64" s="660"/>
      <c r="M64" s="657"/>
      <c r="N64" s="657"/>
      <c r="O64" s="884"/>
      <c r="P64" s="2535"/>
      <c r="Q64" s="2506"/>
      <c r="R64" s="2485"/>
      <c r="S64" s="2485"/>
      <c r="T64" s="2485"/>
      <c r="U64" s="2485"/>
      <c r="V64" s="2485"/>
      <c r="W64" s="2485"/>
      <c r="X64" s="2485"/>
      <c r="Y64" s="2485"/>
      <c r="Z64" s="2485"/>
      <c r="AA64" s="2485"/>
      <c r="AB64" s="2485"/>
      <c r="AC64" s="2485"/>
      <c r="AD64" s="2485"/>
      <c r="AE64" s="2485"/>
    </row>
    <row r="65" spans="1:31" s="441" customFormat="1" ht="15">
      <c r="A65" s="1627" t="s">
        <v>1904</v>
      </c>
      <c r="B65" s="1044"/>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79" t="str">
        <f>"北京市平均增长率"&amp;TEXT(基准地价修正!P28,"0.00%")</f>
        <v>北京市平均增长率0.00%</v>
      </c>
      <c r="C66" s="529">
        <v>100</v>
      </c>
      <c r="D66" s="6"/>
      <c r="E66" s="6"/>
      <c r="F66" s="6"/>
      <c r="G66" s="6"/>
      <c r="H66" s="6"/>
      <c r="I66" s="6"/>
      <c r="J66" s="6"/>
      <c r="K66" s="6"/>
      <c r="L66" s="6"/>
      <c r="M66" s="1064"/>
      <c r="N66" s="1064"/>
      <c r="O66" s="1096"/>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8" t="s">
        <v>1716</v>
      </c>
      <c r="B67" s="449"/>
      <c r="C67" s="450"/>
      <c r="D67" s="451"/>
      <c r="E67" s="451"/>
      <c r="F67" s="451"/>
      <c r="G67" s="451"/>
      <c r="H67" s="451"/>
      <c r="I67" s="451"/>
      <c r="J67" s="451"/>
      <c r="K67" s="451"/>
      <c r="L67" s="451"/>
      <c r="M67" s="452"/>
      <c r="N67" s="452"/>
      <c r="O67" s="453"/>
      <c r="P67" s="2506"/>
      <c r="Q67" s="2506"/>
      <c r="R67" s="2437"/>
      <c r="S67" s="2437"/>
      <c r="T67" s="2437"/>
      <c r="U67" s="2437"/>
      <c r="V67" s="2437"/>
      <c r="W67" s="2437"/>
      <c r="X67" s="2437"/>
      <c r="Y67" s="2437"/>
      <c r="Z67" s="2437"/>
      <c r="AA67" s="2437"/>
      <c r="AB67" s="2437"/>
      <c r="AC67" s="2437"/>
      <c r="AD67" s="2437"/>
      <c r="AE67" s="2437"/>
    </row>
    <row r="68" spans="1:31" s="102" customFormat="1" ht="15">
      <c r="A68" s="454" t="s">
        <v>1681</v>
      </c>
      <c r="B68" s="443"/>
      <c r="C68" s="455" t="s">
        <v>1776</v>
      </c>
      <c r="D68" s="31"/>
      <c r="E68" s="31"/>
      <c r="F68" s="31"/>
      <c r="G68" s="31"/>
      <c r="H68" s="31"/>
      <c r="I68" s="31"/>
      <c r="J68" s="31"/>
      <c r="K68" s="31"/>
      <c r="L68" s="456"/>
      <c r="M68" s="457"/>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4"/>
      <c r="B69" s="443"/>
      <c r="C69" s="562">
        <v>100</v>
      </c>
      <c r="D69" s="445"/>
      <c r="E69" s="445"/>
      <c r="F69" s="445"/>
      <c r="G69" s="445"/>
      <c r="H69" s="445"/>
      <c r="I69" s="445"/>
      <c r="J69" s="445"/>
      <c r="K69" s="445"/>
      <c r="L69" s="445"/>
      <c r="M69" s="447"/>
      <c r="N69" s="2518"/>
      <c r="O69" s="2518"/>
      <c r="P69" s="2506"/>
      <c r="Q69" s="2506"/>
      <c r="R69" s="2437"/>
      <c r="S69" s="2437"/>
      <c r="T69" s="2437"/>
      <c r="U69" s="2437"/>
      <c r="V69" s="2437"/>
      <c r="W69" s="2437"/>
      <c r="X69" s="2437"/>
      <c r="Y69" s="2437"/>
      <c r="Z69" s="2437"/>
      <c r="AA69" s="2437"/>
      <c r="AB69" s="2437"/>
      <c r="AC69" s="2437"/>
      <c r="AD69" s="2437"/>
      <c r="AE69" s="2437"/>
    </row>
    <row r="70" spans="1:31">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5.75"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5.75"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5.75"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5.75"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5.75"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5.75"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7"/>
      <c r="S90" s="2437"/>
      <c r="T90" s="2437"/>
      <c r="U90" s="2437"/>
      <c r="V90" s="2437"/>
      <c r="W90" s="2437"/>
      <c r="X90" s="2437"/>
      <c r="Y90" s="2437"/>
      <c r="Z90" s="2437"/>
      <c r="AA90" s="2437"/>
      <c r="AB90" s="2437"/>
      <c r="AC90" s="2437"/>
      <c r="AD90" s="2437"/>
      <c r="AE90" s="2437"/>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3"/>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5"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5.75"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5"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5.75"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74"/>
  <sheetViews>
    <sheetView topLeftCell="A52" workbookViewId="0">
      <selection activeCell="E78" sqref="E78"/>
    </sheetView>
  </sheetViews>
  <sheetFormatPr defaultRowHeight="13.5"/>
  <cols>
    <col min="1" max="1" width="21.625" customWidth="1"/>
    <col min="2" max="2" width="19.5" customWidth="1"/>
    <col min="3" max="3" width="11.75" customWidth="1"/>
    <col min="4" max="4" width="24.375" customWidth="1"/>
    <col min="5" max="5" width="13.5" customWidth="1"/>
    <col min="7" max="7" width="12.25" customWidth="1"/>
    <col min="8" max="8" width="11.625" customWidth="1"/>
    <col min="9" max="9" width="10.5" bestFit="1" customWidth="1"/>
    <col min="10" max="10" width="15.125" customWidth="1"/>
    <col min="11" max="11" width="11.625" bestFit="1" customWidth="1"/>
    <col min="12" max="12" width="9.5" bestFit="1" customWidth="1"/>
    <col min="14" max="14" width="13.5" customWidth="1"/>
    <col min="15" max="15" width="15.5" customWidth="1"/>
    <col min="16" max="16" width="13.5" bestFit="1" customWidth="1"/>
    <col min="19" max="20" width="9.5" bestFit="1" customWidth="1"/>
    <col min="21" max="21" width="8.25" customWidth="1"/>
  </cols>
  <sheetData>
    <row r="1" spans="1:26">
      <c r="A1" s="3151" t="s">
        <v>3412</v>
      </c>
    </row>
    <row r="2" spans="1:26" s="3142" customFormat="1">
      <c r="A2" s="3143" t="s">
        <v>3413</v>
      </c>
      <c r="B2" s="3143" t="s">
        <v>3414</v>
      </c>
      <c r="C2" s="3143" t="s">
        <v>3415</v>
      </c>
      <c r="D2" s="3143" t="s">
        <v>3424</v>
      </c>
      <c r="E2" s="3143" t="s">
        <v>3416</v>
      </c>
      <c r="F2" s="3143" t="s">
        <v>3417</v>
      </c>
      <c r="G2" s="3143" t="s">
        <v>2545</v>
      </c>
      <c r="H2" s="3143" t="s">
        <v>3418</v>
      </c>
      <c r="I2" s="3531" t="s">
        <v>3419</v>
      </c>
      <c r="J2" s="3531"/>
      <c r="M2" s="3150" t="s">
        <v>3642</v>
      </c>
      <c r="N2" s="3179">
        <f>N3+N4</f>
        <v>55436400</v>
      </c>
    </row>
    <row r="3" spans="1:26" s="3142" customFormat="1" ht="27">
      <c r="A3" s="3143" t="s">
        <v>3420</v>
      </c>
      <c r="B3" s="3143" t="s">
        <v>3421</v>
      </c>
      <c r="C3" s="3143" t="s">
        <v>3422</v>
      </c>
      <c r="D3" s="3143" t="s">
        <v>3423</v>
      </c>
      <c r="E3" s="3143" t="s">
        <v>3426</v>
      </c>
      <c r="F3" s="3143" t="s">
        <v>3425</v>
      </c>
      <c r="G3" s="3143" t="s">
        <v>3427</v>
      </c>
      <c r="H3" s="3144">
        <v>31860</v>
      </c>
      <c r="I3" s="3145">
        <v>42453</v>
      </c>
      <c r="J3" s="3145">
        <v>60714</v>
      </c>
      <c r="M3" s="3162" t="s">
        <v>3643</v>
      </c>
      <c r="N3" s="3142">
        <v>8315460</v>
      </c>
    </row>
    <row r="4" spans="1:26" s="3142" customFormat="1">
      <c r="M4" s="3162" t="s">
        <v>3644</v>
      </c>
      <c r="N4" s="3142">
        <v>47120940</v>
      </c>
    </row>
    <row r="5" spans="1:26" s="3142" customFormat="1">
      <c r="M5" s="3162"/>
    </row>
    <row r="6" spans="1:26" s="3142" customFormat="1">
      <c r="M6" s="3162"/>
    </row>
    <row r="7" spans="1:26">
      <c r="A7" s="3150" t="s">
        <v>3439</v>
      </c>
    </row>
    <row r="8" spans="1:26" ht="27">
      <c r="A8" s="3143" t="s">
        <v>3413</v>
      </c>
      <c r="B8" s="3143" t="s">
        <v>3414</v>
      </c>
      <c r="C8" s="3143" t="s">
        <v>3415</v>
      </c>
      <c r="D8" s="3143" t="s">
        <v>3424</v>
      </c>
      <c r="E8" s="3143" t="s">
        <v>3416</v>
      </c>
      <c r="F8" s="3143" t="s">
        <v>3417</v>
      </c>
      <c r="G8" s="3143" t="s">
        <v>2545</v>
      </c>
      <c r="H8" s="3143" t="s">
        <v>3418</v>
      </c>
      <c r="I8" s="3531" t="s">
        <v>3419</v>
      </c>
      <c r="J8" s="3531"/>
      <c r="K8" s="3143" t="s">
        <v>3433</v>
      </c>
      <c r="L8" s="3143" t="s">
        <v>3435</v>
      </c>
      <c r="M8" s="3143" t="s">
        <v>3436</v>
      </c>
      <c r="N8" s="3143" t="s">
        <v>3437</v>
      </c>
      <c r="O8" s="3152" t="s">
        <v>3443</v>
      </c>
    </row>
    <row r="9" spans="1:26" ht="94.5">
      <c r="A9" s="3143" t="s">
        <v>3428</v>
      </c>
      <c r="B9" s="3143" t="s">
        <v>3421</v>
      </c>
      <c r="C9" s="3143" t="s">
        <v>3422</v>
      </c>
      <c r="D9" s="3143" t="s">
        <v>3429</v>
      </c>
      <c r="E9" s="3143" t="s">
        <v>3430</v>
      </c>
      <c r="F9" s="3143" t="s">
        <v>3425</v>
      </c>
      <c r="G9" s="3143" t="s">
        <v>3431</v>
      </c>
      <c r="H9" s="3143" t="s">
        <v>3432</v>
      </c>
      <c r="I9" s="3148">
        <v>42453</v>
      </c>
      <c r="J9" s="3148">
        <v>60714</v>
      </c>
      <c r="K9" s="3143" t="s">
        <v>3434</v>
      </c>
      <c r="L9" s="3147">
        <v>48377.23</v>
      </c>
      <c r="M9" s="3147">
        <v>12</v>
      </c>
      <c r="N9" s="3149" t="s">
        <v>3438</v>
      </c>
      <c r="O9" s="1402" t="s">
        <v>3446</v>
      </c>
    </row>
    <row r="10" spans="1:26">
      <c r="F10" s="3178" t="s">
        <v>3698</v>
      </c>
    </row>
    <row r="11" spans="1:26">
      <c r="A11" s="3248" t="s">
        <v>3449</v>
      </c>
      <c r="B11" s="3247"/>
      <c r="C11" s="3247"/>
      <c r="D11" s="3247"/>
      <c r="E11" s="3247"/>
      <c r="G11" s="3248" t="s">
        <v>3560</v>
      </c>
      <c r="H11" s="3248"/>
      <c r="I11" s="3248"/>
      <c r="J11" s="3248"/>
      <c r="K11" s="3248"/>
    </row>
    <row r="12" spans="1:26" ht="40.5">
      <c r="A12" s="3146" t="s">
        <v>3398</v>
      </c>
      <c r="B12" s="3146" t="s">
        <v>3394</v>
      </c>
      <c r="F12" s="1402" t="s">
        <v>3670</v>
      </c>
      <c r="G12" s="1402" t="s">
        <v>3674</v>
      </c>
      <c r="H12" s="1402" t="s">
        <v>3561</v>
      </c>
      <c r="I12" s="1402" t="s">
        <v>3562</v>
      </c>
      <c r="J12" s="1402"/>
      <c r="K12" s="1402" t="s">
        <v>3564</v>
      </c>
      <c r="L12" s="1402" t="s">
        <v>3566</v>
      </c>
      <c r="N12" s="3154" t="s">
        <v>3495</v>
      </c>
      <c r="O12" s="3186" t="s">
        <v>3565</v>
      </c>
      <c r="P12" s="3153" t="s">
        <v>3620</v>
      </c>
      <c r="Q12" s="3153" t="s">
        <v>3621</v>
      </c>
      <c r="R12" s="3153" t="s">
        <v>3622</v>
      </c>
      <c r="S12" s="3153" t="s">
        <v>3677</v>
      </c>
      <c r="T12" s="3183" t="s">
        <v>3689</v>
      </c>
      <c r="U12" s="3154" t="s">
        <v>3690</v>
      </c>
      <c r="V12" s="3201" t="s">
        <v>3681</v>
      </c>
      <c r="W12" s="3154" t="s">
        <v>3691</v>
      </c>
      <c r="X12" s="3154" t="s">
        <v>3690</v>
      </c>
      <c r="Y12" s="3201" t="s">
        <v>3681</v>
      </c>
      <c r="Z12" s="3154" t="s">
        <v>3692</v>
      </c>
    </row>
    <row r="13" spans="1:26">
      <c r="A13" s="3147">
        <v>-2</v>
      </c>
      <c r="B13" s="3147">
        <v>9724.76</v>
      </c>
      <c r="C13" s="3248" t="s">
        <v>3447</v>
      </c>
      <c r="D13" s="3248"/>
      <c r="F13" s="3186" t="s">
        <v>3663</v>
      </c>
      <c r="G13" s="1402" t="s">
        <v>3551</v>
      </c>
      <c r="H13">
        <f>规划许可证面积表!C11</f>
        <v>3148.33</v>
      </c>
      <c r="J13" t="str">
        <f>规划许可证面积表!E11</f>
        <v>地下2-地上5层</v>
      </c>
      <c r="K13">
        <f>ROUND(H13/5,2)</f>
        <v>629.66999999999996</v>
      </c>
      <c r="L13">
        <f>ROUND(H13/$H$19,2)</f>
        <v>0.11</v>
      </c>
      <c r="M13">
        <f>L13*$D$19</f>
        <v>3179.4202</v>
      </c>
      <c r="N13" s="3176" t="str">
        <f>层高!B5</f>
        <v>1-5层8米</v>
      </c>
      <c r="O13" s="3187">
        <v>5500</v>
      </c>
      <c r="P13">
        <v>4000</v>
      </c>
      <c r="Q13">
        <v>500</v>
      </c>
      <c r="R13">
        <v>1000</v>
      </c>
      <c r="S13">
        <f>ROUND(O13*H13,0)</f>
        <v>17315815</v>
      </c>
      <c r="T13" s="3146" t="s">
        <v>3683</v>
      </c>
      <c r="U13" s="3147">
        <f>H13</f>
        <v>3148.33</v>
      </c>
      <c r="V13" s="3189">
        <v>3</v>
      </c>
      <c r="W13" s="3147"/>
      <c r="X13" s="3147"/>
      <c r="Y13" s="3190"/>
      <c r="Z13" s="3147">
        <f>V13*U13</f>
        <v>9444.99</v>
      </c>
    </row>
    <row r="14" spans="1:26" ht="27">
      <c r="A14" s="3147">
        <v>-1</v>
      </c>
      <c r="B14" s="3147">
        <v>9748.65</v>
      </c>
      <c r="C14" s="3188" t="s">
        <v>3395</v>
      </c>
      <c r="D14" s="3187">
        <v>28321.48</v>
      </c>
      <c r="F14" s="3186" t="s">
        <v>3664</v>
      </c>
      <c r="G14" s="1402" t="s">
        <v>3554</v>
      </c>
      <c r="H14">
        <f>规划许可证面积表!C12</f>
        <v>4281.75</v>
      </c>
      <c r="J14" t="str">
        <f>规划许可证面积表!E12</f>
        <v>地下2-地上7层</v>
      </c>
      <c r="K14">
        <f>ROUND(H14/7,2)</f>
        <v>611.67999999999995</v>
      </c>
      <c r="L14">
        <f>ROUND(H14/$H$19,2)</f>
        <v>0.15</v>
      </c>
      <c r="M14">
        <f t="shared" ref="M14:M17" si="0">L14*$D$19</f>
        <v>4335.5729999999994</v>
      </c>
      <c r="N14" s="3176" t="str">
        <f>层高!B6</f>
        <v>1层8米，2-7层6米</v>
      </c>
      <c r="O14" s="3187">
        <v>5500</v>
      </c>
      <c r="P14">
        <v>4000</v>
      </c>
      <c r="Q14">
        <v>500</v>
      </c>
      <c r="R14">
        <v>1000</v>
      </c>
      <c r="S14">
        <f>ROUND(O14*H14,0)</f>
        <v>23549625</v>
      </c>
      <c r="T14" s="3146" t="s">
        <v>3684</v>
      </c>
      <c r="U14" s="3147">
        <f>K14</f>
        <v>611.67999999999995</v>
      </c>
      <c r="V14" s="3189">
        <v>3</v>
      </c>
      <c r="W14" s="3146" t="s">
        <v>3685</v>
      </c>
      <c r="X14" s="3147">
        <f>K14*6</f>
        <v>3670.08</v>
      </c>
      <c r="Y14" s="3190">
        <v>2.7</v>
      </c>
      <c r="Z14" s="3147">
        <f>U14*V14+X14*Y14</f>
        <v>11744.256000000001</v>
      </c>
    </row>
    <row r="15" spans="1:26">
      <c r="A15" s="3147">
        <v>1</v>
      </c>
      <c r="B15" s="3147">
        <v>4679.59</v>
      </c>
      <c r="C15" s="3186" t="s">
        <v>3396</v>
      </c>
      <c r="D15" s="3187">
        <v>19473.41</v>
      </c>
      <c r="F15" s="3186" t="s">
        <v>3673</v>
      </c>
      <c r="G15" s="1402" t="s">
        <v>3552</v>
      </c>
      <c r="H15">
        <f>规划许可证面积表!C10</f>
        <v>3148.33</v>
      </c>
      <c r="J15" t="str">
        <f>规划许可证面积表!E10</f>
        <v>地下2-地上5层</v>
      </c>
      <c r="K15">
        <f>ROUND(H15/5,2)</f>
        <v>629.66999999999996</v>
      </c>
      <c r="L15">
        <f>ROUND(H15/$H$19,2)</f>
        <v>0.11</v>
      </c>
      <c r="M15">
        <f t="shared" si="0"/>
        <v>3179.4202</v>
      </c>
      <c r="N15" s="3176" t="str">
        <f>层高!B4</f>
        <v>1-5层8米</v>
      </c>
      <c r="O15" s="3187">
        <v>5500</v>
      </c>
      <c r="P15">
        <v>4000</v>
      </c>
      <c r="Q15">
        <v>500</v>
      </c>
      <c r="R15">
        <v>1000</v>
      </c>
      <c r="S15">
        <f>ROUND(O15*H15,0)</f>
        <v>17315815</v>
      </c>
      <c r="T15" s="3146" t="s">
        <v>3682</v>
      </c>
      <c r="U15" s="3147">
        <f>H15</f>
        <v>3148.33</v>
      </c>
      <c r="V15" s="3189">
        <v>3</v>
      </c>
      <c r="W15" s="3147"/>
      <c r="X15" s="3147"/>
      <c r="Y15" s="3190"/>
      <c r="Z15" s="3147">
        <f>U15*V15</f>
        <v>9444.99</v>
      </c>
    </row>
    <row r="16" spans="1:26">
      <c r="A16" s="3147">
        <v>2</v>
      </c>
      <c r="B16" s="3147">
        <v>4753.93</v>
      </c>
      <c r="C16" s="1402" t="s">
        <v>3397</v>
      </c>
      <c r="D16">
        <v>582.34</v>
      </c>
      <c r="F16" s="3186" t="s">
        <v>3672</v>
      </c>
      <c r="G16" s="1402" t="s">
        <v>3559</v>
      </c>
      <c r="H16">
        <f>规划许可证面积表!C9</f>
        <v>3705.93</v>
      </c>
      <c r="J16" t="str">
        <f>规划许可证面积表!E9</f>
        <v>地下2-地上3层</v>
      </c>
      <c r="K16">
        <f>ROUND(H16/3,2)</f>
        <v>1235.31</v>
      </c>
      <c r="L16">
        <f>ROUND(H16/$H$19,2)</f>
        <v>0.13</v>
      </c>
      <c r="M16">
        <f t="shared" si="0"/>
        <v>3757.4965999999999</v>
      </c>
      <c r="N16" s="3176" t="str">
        <f>层高!B3</f>
        <v>1-3层7.8米</v>
      </c>
      <c r="O16" s="3187">
        <v>5500</v>
      </c>
      <c r="P16">
        <v>4000</v>
      </c>
      <c r="Q16">
        <v>500</v>
      </c>
      <c r="R16">
        <v>1000</v>
      </c>
      <c r="S16">
        <f>ROUND(O16*H16,0)</f>
        <v>20382615</v>
      </c>
      <c r="T16" s="3146" t="s">
        <v>3686</v>
      </c>
      <c r="U16" s="3147">
        <f>H16</f>
        <v>3705.93</v>
      </c>
      <c r="V16" s="3189">
        <v>3</v>
      </c>
      <c r="W16" s="3147"/>
      <c r="X16" s="3147"/>
      <c r="Y16" s="3190"/>
      <c r="Z16" s="3147">
        <f>U16*V16</f>
        <v>11117.789999999999</v>
      </c>
    </row>
    <row r="17" spans="1:26" ht="27">
      <c r="A17" s="3147">
        <v>3</v>
      </c>
      <c r="B17" s="3147">
        <v>4679.59</v>
      </c>
      <c r="C17" s="1402" t="s">
        <v>2594</v>
      </c>
      <c r="D17">
        <f>SUM(D14:D16)</f>
        <v>48377.229999999996</v>
      </c>
      <c r="F17" s="3186" t="s">
        <v>3671</v>
      </c>
      <c r="G17" s="1402" t="s">
        <v>3558</v>
      </c>
      <c r="H17">
        <f>规划许可证面积表!C3</f>
        <v>14587.9</v>
      </c>
      <c r="J17" t="str">
        <f>规划许可证面积表!E3</f>
        <v>地下2-地上10层</v>
      </c>
      <c r="K17">
        <f>ROUND(H17/10,2)</f>
        <v>1458.79</v>
      </c>
      <c r="L17">
        <f>ROUND(H17/$H$19,2)</f>
        <v>0.51</v>
      </c>
      <c r="M17">
        <f t="shared" si="0"/>
        <v>14740.948200000001</v>
      </c>
      <c r="N17" s="3176" t="str">
        <f>层高!B2</f>
        <v>1-2层6米，3-10层4米</v>
      </c>
      <c r="O17" s="3187">
        <v>5000</v>
      </c>
      <c r="P17">
        <v>3500</v>
      </c>
      <c r="Q17">
        <v>500</v>
      </c>
      <c r="R17">
        <v>1000</v>
      </c>
      <c r="S17">
        <f>ROUND(O17*H17,0)</f>
        <v>72939500</v>
      </c>
      <c r="T17" s="3146" t="s">
        <v>3687</v>
      </c>
      <c r="U17" s="3147">
        <f>K17*2</f>
        <v>2917.58</v>
      </c>
      <c r="V17" s="3189">
        <v>2.7</v>
      </c>
      <c r="W17" s="3146" t="s">
        <v>3688</v>
      </c>
      <c r="X17" s="3147">
        <f>K17*8</f>
        <v>11670.32</v>
      </c>
      <c r="Y17" s="3190">
        <v>2.2999999999999998</v>
      </c>
      <c r="Z17" s="3147">
        <f>U17*V17+X17*Y17</f>
        <v>34719.201999999997</v>
      </c>
    </row>
    <row r="18" spans="1:26" ht="27">
      <c r="A18" s="3147">
        <v>4</v>
      </c>
      <c r="B18" s="3147">
        <v>3160.69</v>
      </c>
      <c r="G18" s="1402" t="s">
        <v>3516</v>
      </c>
      <c r="I18">
        <f>规划许可证面积表!D3+规划许可证面积表!D13</f>
        <v>19541.66</v>
      </c>
      <c r="L18" s="1402" t="s">
        <v>3541</v>
      </c>
      <c r="N18" s="3188" t="s">
        <v>3679</v>
      </c>
      <c r="O18" s="3187">
        <v>4500</v>
      </c>
      <c r="S18">
        <f>ROUND(O18*I18,0)</f>
        <v>87937470</v>
      </c>
      <c r="T18" s="3147"/>
      <c r="U18" s="3147"/>
      <c r="V18" s="3147"/>
      <c r="W18" s="3147"/>
      <c r="X18" s="3147"/>
      <c r="Y18" s="3143" t="s">
        <v>3697</v>
      </c>
      <c r="Z18" s="3190">
        <f>ROUND((Z13+Z14+Z15+Z16+Z17)/H19,2)</f>
        <v>2.65</v>
      </c>
    </row>
    <row r="19" spans="1:26">
      <c r="A19" s="3147">
        <v>5</v>
      </c>
      <c r="B19" s="3147">
        <v>3160.69</v>
      </c>
      <c r="C19" s="1402" t="s">
        <v>3561</v>
      </c>
      <c r="D19">
        <f>D14+D16</f>
        <v>28903.82</v>
      </c>
      <c r="G19" s="1402" t="s">
        <v>3541</v>
      </c>
      <c r="H19">
        <f>H13+H14+H15+H16+H17</f>
        <v>28872.239999999998</v>
      </c>
      <c r="I19">
        <f>I18</f>
        <v>19541.66</v>
      </c>
      <c r="P19" s="1402"/>
    </row>
    <row r="20" spans="1:26" ht="14.25">
      <c r="A20" s="3147">
        <v>6</v>
      </c>
      <c r="B20" s="3147">
        <v>1938.07</v>
      </c>
      <c r="C20" s="1402" t="s">
        <v>3562</v>
      </c>
      <c r="D20">
        <f>D15</f>
        <v>19473.41</v>
      </c>
      <c r="G20" s="1402" t="s">
        <v>3563</v>
      </c>
      <c r="H20">
        <f>H19+I19</f>
        <v>48413.899999999994</v>
      </c>
      <c r="P20" s="3172"/>
    </row>
    <row r="21" spans="1:26" ht="14.25">
      <c r="A21" s="3147">
        <v>7</v>
      </c>
      <c r="B21" s="3147">
        <v>1938.07</v>
      </c>
      <c r="C21" s="1402" t="s">
        <v>3541</v>
      </c>
      <c r="D21">
        <f>D19+D20</f>
        <v>48377.229999999996</v>
      </c>
      <c r="O21" s="3151" t="s">
        <v>3678</v>
      </c>
      <c r="P21" s="3180">
        <f>(S13+S14+S15+S16+S17+S18)/H20</f>
        <v>4945.7044361226845</v>
      </c>
    </row>
    <row r="22" spans="1:26">
      <c r="A22" s="3147">
        <v>8</v>
      </c>
      <c r="B22" s="3147">
        <v>1336.95</v>
      </c>
    </row>
    <row r="23" spans="1:26">
      <c r="A23" s="3147">
        <v>9</v>
      </c>
      <c r="B23" s="3147">
        <v>1336.95</v>
      </c>
    </row>
    <row r="24" spans="1:26">
      <c r="A24" s="3147">
        <v>10</v>
      </c>
      <c r="B24" s="3147">
        <v>1336.95</v>
      </c>
    </row>
    <row r="25" spans="1:26">
      <c r="A25" s="3146" t="s">
        <v>3399</v>
      </c>
      <c r="B25" s="3147">
        <v>582.34</v>
      </c>
      <c r="K25" s="1402" t="s">
        <v>3448</v>
      </c>
    </row>
    <row r="26" spans="1:26">
      <c r="A26" s="1402" t="s">
        <v>2594</v>
      </c>
      <c r="B26">
        <f>SUM(B13:B25)</f>
        <v>48377.229999999996</v>
      </c>
      <c r="K26" s="3202">
        <f>B26+B46</f>
        <v>106671.44</v>
      </c>
    </row>
    <row r="30" spans="1:26">
      <c r="A30" s="3248" t="s">
        <v>3440</v>
      </c>
      <c r="B30" s="3248"/>
      <c r="C30" s="3248"/>
      <c r="D30" s="3248"/>
      <c r="E30" s="3248"/>
      <c r="F30" s="3248"/>
    </row>
    <row r="31" spans="1:26" ht="27">
      <c r="A31" s="3146"/>
      <c r="B31" s="3527" t="s">
        <v>3450</v>
      </c>
      <c r="C31" s="3530"/>
      <c r="D31" s="3530"/>
      <c r="E31" s="3248" t="s">
        <v>3451</v>
      </c>
      <c r="F31" s="3248"/>
      <c r="G31" s="3248"/>
      <c r="I31" s="3146" t="s">
        <v>3443</v>
      </c>
      <c r="J31" s="3146" t="s">
        <v>3675</v>
      </c>
      <c r="K31" s="1402" t="s">
        <v>3676</v>
      </c>
      <c r="O31" s="3146" t="s">
        <v>3705</v>
      </c>
      <c r="P31" s="3183" t="s">
        <v>3689</v>
      </c>
      <c r="Q31" s="3154" t="s">
        <v>3418</v>
      </c>
      <c r="R31" s="3201" t="s">
        <v>654</v>
      </c>
      <c r="S31" s="3154" t="s">
        <v>3467</v>
      </c>
      <c r="T31" s="3154" t="s">
        <v>3418</v>
      </c>
      <c r="U31" s="3201" t="s">
        <v>654</v>
      </c>
      <c r="V31" s="3154" t="s">
        <v>3692</v>
      </c>
      <c r="W31" s="3200"/>
    </row>
    <row r="32" spans="1:26" ht="27">
      <c r="A32" s="3156" t="s">
        <v>3700</v>
      </c>
      <c r="B32" s="3146" t="s">
        <v>3445</v>
      </c>
      <c r="C32" s="3181" t="s">
        <v>3441</v>
      </c>
      <c r="D32" s="3146" t="s">
        <v>3442</v>
      </c>
      <c r="E32" s="1402" t="s">
        <v>3445</v>
      </c>
      <c r="F32" s="1402" t="s">
        <v>3441</v>
      </c>
      <c r="G32" s="1402" t="s">
        <v>3442</v>
      </c>
      <c r="I32" s="3147"/>
      <c r="J32" s="3147"/>
      <c r="M32" s="3188" t="s">
        <v>3680</v>
      </c>
      <c r="N32" s="3187">
        <f>(L33+L34+L38+L39+L40)/C46</f>
        <v>5118.0989997703855</v>
      </c>
      <c r="O32" s="3147"/>
      <c r="P32" s="3147"/>
      <c r="Q32" s="3147"/>
      <c r="R32" s="3190"/>
      <c r="S32" s="3147"/>
      <c r="T32" s="3147"/>
      <c r="U32" s="3190"/>
      <c r="V32" s="3147"/>
      <c r="W32" s="3200"/>
    </row>
    <row r="33" spans="1:23" ht="27">
      <c r="A33" s="3189" t="s">
        <v>3400</v>
      </c>
      <c r="B33" s="3190">
        <f>C33</f>
        <v>4281.75</v>
      </c>
      <c r="C33" s="3191">
        <v>4281.75</v>
      </c>
      <c r="D33" s="3190"/>
      <c r="E33">
        <f>F33</f>
        <v>4281.75</v>
      </c>
      <c r="F33">
        <v>4281.75</v>
      </c>
      <c r="I33" s="3146" t="s">
        <v>3665</v>
      </c>
      <c r="J33" s="3144" t="str">
        <f>层高!B7</f>
        <v>1层8.3米，2-7层6米</v>
      </c>
      <c r="K33">
        <v>5500</v>
      </c>
      <c r="L33">
        <f>ROUND(K33*C33,0)</f>
        <v>23549625</v>
      </c>
      <c r="M33" s="3188" t="s">
        <v>3679</v>
      </c>
      <c r="N33" s="3187">
        <v>4500</v>
      </c>
      <c r="O33" s="3147">
        <f>C33/7</f>
        <v>611.67857142857144</v>
      </c>
      <c r="P33" s="3146" t="s">
        <v>3706</v>
      </c>
      <c r="Q33" s="3147">
        <f>O33</f>
        <v>611.67857142857144</v>
      </c>
      <c r="R33" s="3190">
        <v>3</v>
      </c>
      <c r="S33" s="3146" t="s">
        <v>3707</v>
      </c>
      <c r="T33" s="3147">
        <f>O33*6</f>
        <v>3670.0714285714284</v>
      </c>
      <c r="U33" s="3190">
        <v>2.7</v>
      </c>
      <c r="V33" s="3147">
        <f>Q33*R33+T33*U33</f>
        <v>11744.228571428572</v>
      </c>
      <c r="W33" s="3200"/>
    </row>
    <row r="34" spans="1:23" ht="27">
      <c r="A34" s="3189" t="s">
        <v>3401</v>
      </c>
      <c r="B34" s="3190">
        <f>C34</f>
        <v>5316.43</v>
      </c>
      <c r="C34" s="3191">
        <v>5316.43</v>
      </c>
      <c r="D34" s="3190"/>
      <c r="E34">
        <f>F34</f>
        <v>5316.91</v>
      </c>
      <c r="F34">
        <v>5316.91</v>
      </c>
      <c r="I34" s="3146" t="s">
        <v>3666</v>
      </c>
      <c r="J34" s="3144" t="str">
        <f>层高!B8</f>
        <v>1-2层6米，3-7层5.8米</v>
      </c>
      <c r="K34">
        <v>5000</v>
      </c>
      <c r="L34">
        <f>ROUND(K34*C34,0)</f>
        <v>26582150</v>
      </c>
      <c r="O34" s="3147">
        <f>C34/7</f>
        <v>759.49</v>
      </c>
      <c r="P34" s="3146" t="s">
        <v>3708</v>
      </c>
      <c r="Q34" s="3147">
        <f>O34*2</f>
        <v>1518.98</v>
      </c>
      <c r="R34" s="3190">
        <v>2.7</v>
      </c>
      <c r="S34" s="3146" t="s">
        <v>3709</v>
      </c>
      <c r="T34" s="3147">
        <f>O34*5</f>
        <v>3797.45</v>
      </c>
      <c r="U34" s="3190">
        <v>2.7</v>
      </c>
      <c r="V34" s="3147">
        <f>Q34*R34+T34*U34</f>
        <v>14354.361000000001</v>
      </c>
      <c r="W34" s="3200"/>
    </row>
    <row r="35" spans="1:23">
      <c r="A35" s="3189" t="s">
        <v>3402</v>
      </c>
      <c r="B35" s="3190">
        <f>D35</f>
        <v>3969.72</v>
      </c>
      <c r="C35" s="3191"/>
      <c r="D35" s="3190">
        <v>3969.72</v>
      </c>
      <c r="E35">
        <f>G35</f>
        <v>4062.98</v>
      </c>
      <c r="G35">
        <v>4062.98</v>
      </c>
      <c r="I35" s="3147"/>
      <c r="J35" s="3144"/>
      <c r="O35" s="3147"/>
      <c r="P35" s="3147"/>
      <c r="Q35" s="3147"/>
      <c r="R35" s="3190"/>
      <c r="S35" s="3147"/>
      <c r="T35" s="3147"/>
      <c r="U35" s="3190"/>
      <c r="V35" s="3147"/>
      <c r="W35" s="3200"/>
    </row>
    <row r="36" spans="1:23">
      <c r="A36" s="3146" t="s">
        <v>2594</v>
      </c>
      <c r="B36" s="3147">
        <f>SUM(B33:B35)</f>
        <v>13567.9</v>
      </c>
      <c r="C36" s="3182">
        <f>C33+C34</f>
        <v>9598.18</v>
      </c>
      <c r="D36" s="3147">
        <f>D35</f>
        <v>3969.72</v>
      </c>
      <c r="E36">
        <f>SUM(E33:E35)</f>
        <v>13661.64</v>
      </c>
      <c r="I36" s="3147"/>
      <c r="J36" s="3144"/>
      <c r="O36" s="3147"/>
      <c r="P36" s="3147"/>
      <c r="Q36" s="3147"/>
      <c r="R36" s="3190"/>
      <c r="S36" s="3147"/>
      <c r="T36" s="3147"/>
      <c r="U36" s="3190"/>
      <c r="V36" s="3147"/>
      <c r="W36" s="3200"/>
    </row>
    <row r="37" spans="1:23">
      <c r="A37" s="3192" t="s">
        <v>3701</v>
      </c>
      <c r="D37" s="3147"/>
      <c r="I37" s="3147"/>
      <c r="J37" s="3144"/>
      <c r="O37" s="3147"/>
      <c r="P37" s="3147"/>
      <c r="Q37" s="3147"/>
      <c r="R37" s="3190"/>
      <c r="S37" s="3147"/>
      <c r="T37" s="3147"/>
      <c r="U37" s="3190"/>
      <c r="V37" s="3147"/>
      <c r="W37" s="3200"/>
    </row>
    <row r="38" spans="1:23" ht="27">
      <c r="A38" s="3189" t="s">
        <v>3403</v>
      </c>
      <c r="B38" s="3190">
        <f>C38</f>
        <v>8979.2000000000007</v>
      </c>
      <c r="C38" s="3191">
        <v>8979.2000000000007</v>
      </c>
      <c r="D38" s="3190"/>
      <c r="E38">
        <f>F38</f>
        <v>8979.7000000000007</v>
      </c>
      <c r="F38">
        <v>8979.7000000000007</v>
      </c>
      <c r="I38" s="3146" t="s">
        <v>3667</v>
      </c>
      <c r="J38" s="3144" t="str">
        <f>层高!B9</f>
        <v>1-2层6米，3-7层5.8米</v>
      </c>
      <c r="K38">
        <v>5000</v>
      </c>
      <c r="L38">
        <f>ROUND(K38*C38,0)</f>
        <v>44896000</v>
      </c>
      <c r="O38" s="3147">
        <f>C38/7</f>
        <v>1282.7428571428572</v>
      </c>
      <c r="P38" s="3146" t="s">
        <v>3708</v>
      </c>
      <c r="Q38" s="3147">
        <f>O38*2</f>
        <v>2565.4857142857145</v>
      </c>
      <c r="R38" s="3190">
        <v>2.7</v>
      </c>
      <c r="S38" s="3146" t="s">
        <v>3709</v>
      </c>
      <c r="T38" s="3147">
        <f>O38*5</f>
        <v>6413.7142857142862</v>
      </c>
      <c r="U38" s="3190">
        <v>2.7</v>
      </c>
      <c r="V38" s="3147">
        <f>Q38*R38+T38*U38</f>
        <v>24243.840000000004</v>
      </c>
      <c r="W38" s="3200"/>
    </row>
    <row r="39" spans="1:23" ht="27">
      <c r="A39" s="3189" t="s">
        <v>3404</v>
      </c>
      <c r="B39" s="3190">
        <f>C39</f>
        <v>4279.88</v>
      </c>
      <c r="C39" s="3191">
        <v>4279.88</v>
      </c>
      <c r="D39" s="3190"/>
      <c r="E39">
        <f>F39</f>
        <v>4281.75</v>
      </c>
      <c r="F39">
        <v>4281.75</v>
      </c>
      <c r="I39" s="3146" t="s">
        <v>3668</v>
      </c>
      <c r="J39" s="3144" t="str">
        <f>层高!B10</f>
        <v>1层8.3米，2-7层6米</v>
      </c>
      <c r="K39">
        <v>5500</v>
      </c>
      <c r="L39">
        <f t="shared" ref="L39:L40" si="1">ROUND(K39*C39,0)</f>
        <v>23539340</v>
      </c>
      <c r="O39" s="3147">
        <f>C39/7</f>
        <v>611.41142857142859</v>
      </c>
      <c r="P39" s="3146" t="s">
        <v>3706</v>
      </c>
      <c r="Q39" s="3147">
        <f>O39</f>
        <v>611.41142857142859</v>
      </c>
      <c r="R39" s="3190">
        <v>3</v>
      </c>
      <c r="S39" s="3146" t="s">
        <v>3707</v>
      </c>
      <c r="T39" s="3147">
        <f>O39*6</f>
        <v>3668.4685714285715</v>
      </c>
      <c r="U39" s="3190">
        <v>2.7</v>
      </c>
      <c r="V39" s="3147">
        <f>Q39*R39+T39*U39</f>
        <v>11739.09942857143</v>
      </c>
      <c r="W39" s="3200"/>
    </row>
    <row r="40" spans="1:23" ht="27">
      <c r="A40" s="3189" t="s">
        <v>3405</v>
      </c>
      <c r="B40" s="3190">
        <f>C40</f>
        <v>11861.48</v>
      </c>
      <c r="C40" s="3191">
        <v>11861.48</v>
      </c>
      <c r="D40" s="3190"/>
      <c r="E40">
        <f>F40</f>
        <v>11862.65</v>
      </c>
      <c r="F40">
        <v>11862.65</v>
      </c>
      <c r="I40" s="3146" t="s">
        <v>3669</v>
      </c>
      <c r="J40" s="3144" t="str">
        <f>层高!B11</f>
        <v>1-2层6米，3-9层4.5米</v>
      </c>
      <c r="K40">
        <v>5000</v>
      </c>
      <c r="L40">
        <f t="shared" si="1"/>
        <v>59307400</v>
      </c>
      <c r="O40" s="3147">
        <f>C40/9</f>
        <v>1317.9422222222222</v>
      </c>
      <c r="P40" s="3146" t="s">
        <v>3708</v>
      </c>
      <c r="Q40" s="3147">
        <f>O40*2</f>
        <v>2635.8844444444444</v>
      </c>
      <c r="R40" s="3190">
        <v>2.7</v>
      </c>
      <c r="S40" s="3146" t="s">
        <v>3710</v>
      </c>
      <c r="T40" s="3147">
        <f>O40*7</f>
        <v>9225.5955555555556</v>
      </c>
      <c r="U40" s="3190">
        <v>2.2999999999999998</v>
      </c>
      <c r="V40" s="3147">
        <f>Q40*R40+T40*U40</f>
        <v>28335.757777777777</v>
      </c>
      <c r="W40" s="3200"/>
    </row>
    <row r="41" spans="1:23">
      <c r="A41" s="3146" t="s">
        <v>3406</v>
      </c>
      <c r="B41" s="3147">
        <f>C41</f>
        <v>35.28</v>
      </c>
      <c r="C41" s="3182">
        <v>35.28</v>
      </c>
      <c r="D41" s="3147"/>
      <c r="E41">
        <f>F41</f>
        <v>90</v>
      </c>
      <c r="F41">
        <v>90</v>
      </c>
      <c r="O41" s="3147"/>
      <c r="P41" s="3147"/>
      <c r="Q41" s="3147"/>
      <c r="R41" s="3147"/>
      <c r="S41" s="3147"/>
      <c r="T41" s="3147"/>
      <c r="U41" s="3146" t="s">
        <v>3609</v>
      </c>
      <c r="V41" s="3190">
        <f>ROUND((V33+V34+V38+V39+V40)/C47,2)</f>
        <v>2.6</v>
      </c>
    </row>
    <row r="42" spans="1:23">
      <c r="A42" s="3189" t="s">
        <v>3407</v>
      </c>
      <c r="B42" s="3190">
        <f>D42</f>
        <v>19570.47</v>
      </c>
      <c r="C42" s="3191"/>
      <c r="D42" s="3190">
        <v>19570.47</v>
      </c>
      <c r="J42" s="1402" t="s">
        <v>3408</v>
      </c>
      <c r="L42" s="1402" t="s">
        <v>3411</v>
      </c>
    </row>
    <row r="43" spans="1:23">
      <c r="A43" s="3177" t="s">
        <v>3444</v>
      </c>
      <c r="B43" s="3147"/>
      <c r="C43" s="3182"/>
      <c r="D43" s="3147">
        <v>3821.47</v>
      </c>
      <c r="E43">
        <f>G43</f>
        <v>19865.36</v>
      </c>
      <c r="G43">
        <v>19865.36</v>
      </c>
      <c r="J43" s="1402" t="s">
        <v>3409</v>
      </c>
      <c r="K43">
        <v>2047.18</v>
      </c>
    </row>
    <row r="44" spans="1:23">
      <c r="A44" s="3146" t="s">
        <v>2594</v>
      </c>
      <c r="B44" s="3147">
        <f>SUM(B38:B43)</f>
        <v>44726.31</v>
      </c>
      <c r="C44" s="3182">
        <f>C38+C39+C40+C41</f>
        <v>25155.84</v>
      </c>
      <c r="D44" s="3147">
        <f>D42</f>
        <v>19570.47</v>
      </c>
      <c r="J44" s="1402" t="s">
        <v>3410</v>
      </c>
      <c r="K44">
        <v>1774.29</v>
      </c>
    </row>
    <row r="45" spans="1:23">
      <c r="E45">
        <f>SUM(E38:E44)</f>
        <v>45079.46</v>
      </c>
    </row>
    <row r="46" spans="1:23">
      <c r="A46" s="3146" t="s">
        <v>3702</v>
      </c>
      <c r="B46" s="3147">
        <f>B36+B44</f>
        <v>58294.21</v>
      </c>
      <c r="C46" s="3147">
        <f>C44+C36</f>
        <v>34754.020000000004</v>
      </c>
      <c r="D46" s="3147">
        <f>D44+D36</f>
        <v>23540.190000000002</v>
      </c>
    </row>
    <row r="47" spans="1:23">
      <c r="A47" s="3147"/>
      <c r="B47" s="3197" t="s">
        <v>3699</v>
      </c>
      <c r="C47" s="3198">
        <f>C46-C41</f>
        <v>34718.740000000005</v>
      </c>
      <c r="D47" s="3198">
        <f>D46-D43</f>
        <v>19718.72</v>
      </c>
      <c r="E47">
        <f>E36+E45</f>
        <v>58741.1</v>
      </c>
    </row>
    <row r="50" spans="1:6">
      <c r="A50" s="1402"/>
    </row>
    <row r="51" spans="1:6">
      <c r="A51" s="3146" t="s">
        <v>3628</v>
      </c>
      <c r="B51" s="3146" t="s">
        <v>3627</v>
      </c>
    </row>
    <row r="52" spans="1:6">
      <c r="A52" s="3147">
        <v>1</v>
      </c>
      <c r="B52" s="3147">
        <v>1</v>
      </c>
    </row>
    <row r="53" spans="1:6">
      <c r="A53" s="3147">
        <v>2</v>
      </c>
      <c r="B53" s="3147">
        <v>1</v>
      </c>
    </row>
    <row r="54" spans="1:6">
      <c r="A54" s="3147">
        <v>3</v>
      </c>
      <c r="B54" s="3147">
        <v>1</v>
      </c>
    </row>
    <row r="55" spans="1:6">
      <c r="A55" s="3147">
        <v>4</v>
      </c>
      <c r="B55" s="3147">
        <v>2</v>
      </c>
    </row>
    <row r="56" spans="1:6">
      <c r="A56" s="3147">
        <v>5</v>
      </c>
      <c r="B56" s="3147">
        <v>4</v>
      </c>
    </row>
    <row r="57" spans="1:6">
      <c r="A57" s="3147">
        <v>6</v>
      </c>
      <c r="B57" s="3147">
        <v>1</v>
      </c>
    </row>
    <row r="58" spans="1:6">
      <c r="A58" s="3147">
        <v>7</v>
      </c>
      <c r="B58" s="3147">
        <v>1</v>
      </c>
    </row>
    <row r="59" spans="1:6">
      <c r="A59" s="3147">
        <v>9</v>
      </c>
      <c r="B59" s="3147"/>
    </row>
    <row r="60" spans="1:6">
      <c r="A60" s="3147">
        <v>10</v>
      </c>
      <c r="B60" s="3147">
        <v>4</v>
      </c>
    </row>
    <row r="61" spans="1:6">
      <c r="A61" s="3147">
        <v>11</v>
      </c>
      <c r="B61" s="3147">
        <v>4</v>
      </c>
    </row>
    <row r="64" spans="1:6">
      <c r="A64" s="3527" t="s">
        <v>3629</v>
      </c>
      <c r="B64" s="3528"/>
      <c r="C64" s="3528"/>
      <c r="D64" s="3528"/>
      <c r="E64" s="3528"/>
      <c r="F64" s="3529"/>
    </row>
    <row r="65" spans="1:6">
      <c r="A65" s="3197" t="s">
        <v>3630</v>
      </c>
      <c r="B65" s="3198">
        <v>315</v>
      </c>
      <c r="C65" s="3147"/>
      <c r="D65" s="3147"/>
      <c r="E65" s="3147"/>
      <c r="F65" s="3147"/>
    </row>
    <row r="66" spans="1:6" ht="27">
      <c r="A66" s="3197" t="s">
        <v>3631</v>
      </c>
      <c r="B66" s="3198">
        <v>318</v>
      </c>
      <c r="C66" s="3146" t="s">
        <v>3693</v>
      </c>
      <c r="D66" s="3147">
        <v>59</v>
      </c>
      <c r="E66" s="3199" t="s">
        <v>3704</v>
      </c>
      <c r="F66" s="3198">
        <f>B66-D66</f>
        <v>259</v>
      </c>
    </row>
    <row r="68" spans="1:6">
      <c r="A68" s="3193" t="s">
        <v>3632</v>
      </c>
      <c r="B68" s="3194">
        <v>95580</v>
      </c>
      <c r="C68" s="3194">
        <f>B68/'数据-基础表'!A3</f>
        <v>3</v>
      </c>
    </row>
    <row r="69" spans="1:6">
      <c r="A69" s="3193" t="s">
        <v>3633</v>
      </c>
      <c r="B69" s="3195">
        <v>211518582.00999999</v>
      </c>
      <c r="C69" s="3194"/>
    </row>
    <row r="70" spans="1:6">
      <c r="A70" s="3193" t="s">
        <v>3696</v>
      </c>
      <c r="B70" s="3194">
        <v>199000000</v>
      </c>
      <c r="C70" s="3194"/>
    </row>
    <row r="71" spans="1:6">
      <c r="A71" s="3193" t="s">
        <v>3703</v>
      </c>
      <c r="B71" s="3196">
        <f>B69+B70</f>
        <v>410518582.00999999</v>
      </c>
      <c r="C71" s="3194"/>
    </row>
    <row r="74" spans="1:6">
      <c r="A74" s="3193" t="s">
        <v>3712</v>
      </c>
      <c r="B74" s="3194">
        <v>5000</v>
      </c>
      <c r="C74" s="1402" t="s">
        <v>3713</v>
      </c>
    </row>
  </sheetData>
  <mergeCells count="9">
    <mergeCell ref="A64:F64"/>
    <mergeCell ref="B31:D31"/>
    <mergeCell ref="E31:G31"/>
    <mergeCell ref="I2:J2"/>
    <mergeCell ref="I8:J8"/>
    <mergeCell ref="A30:F30"/>
    <mergeCell ref="C13:D13"/>
    <mergeCell ref="A11:E11"/>
    <mergeCell ref="G11:K1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P40"/>
  <sheetViews>
    <sheetView topLeftCell="A19" workbookViewId="0">
      <selection activeCell="D42" sqref="D42"/>
    </sheetView>
  </sheetViews>
  <sheetFormatPr defaultRowHeight="13.5"/>
  <cols>
    <col min="2" max="2" width="21.25" customWidth="1"/>
    <col min="3" max="3" width="14.125" customWidth="1"/>
    <col min="4" max="4" width="12.75" customWidth="1"/>
    <col min="5" max="5" width="14.25" customWidth="1"/>
  </cols>
  <sheetData>
    <row r="1" spans="1:10">
      <c r="A1" s="3156" t="s">
        <v>3546</v>
      </c>
      <c r="B1" s="3157"/>
      <c r="C1" s="3147"/>
      <c r="D1" s="3147"/>
      <c r="E1" s="3147"/>
      <c r="F1" s="3147"/>
      <c r="G1" s="3147"/>
      <c r="H1" s="3147"/>
    </row>
    <row r="2" spans="1:10">
      <c r="A2" s="3146" t="s">
        <v>3463</v>
      </c>
      <c r="B2" s="3146" t="s">
        <v>3464</v>
      </c>
      <c r="C2" s="3146" t="s">
        <v>3465</v>
      </c>
      <c r="D2" s="3146" t="s">
        <v>3466</v>
      </c>
      <c r="E2" s="3146" t="s">
        <v>3467</v>
      </c>
      <c r="F2" s="3146" t="s">
        <v>3468</v>
      </c>
      <c r="G2" s="3146" t="s">
        <v>3469</v>
      </c>
      <c r="H2" s="3146" t="s">
        <v>3493</v>
      </c>
    </row>
    <row r="3" spans="1:10">
      <c r="A3" s="3146" t="s">
        <v>3471</v>
      </c>
      <c r="B3" s="3146" t="s">
        <v>3472</v>
      </c>
      <c r="C3" s="3147">
        <v>14587.9</v>
      </c>
      <c r="D3" s="3147">
        <v>4294.7</v>
      </c>
      <c r="E3" s="3146" t="s">
        <v>3473</v>
      </c>
      <c r="F3" s="3147">
        <v>45</v>
      </c>
      <c r="G3" s="3147"/>
      <c r="H3" s="3147">
        <v>-11.3</v>
      </c>
      <c r="J3" s="3158" t="s">
        <v>3550</v>
      </c>
    </row>
    <row r="7" spans="1:10">
      <c r="A7" s="3156" t="s">
        <v>3452</v>
      </c>
      <c r="B7" s="3157"/>
      <c r="C7" s="3147"/>
      <c r="D7" s="3147"/>
      <c r="E7" s="3147"/>
      <c r="F7" s="3147"/>
      <c r="G7" s="3147"/>
      <c r="H7" s="3147"/>
    </row>
    <row r="8" spans="1:10">
      <c r="A8" s="3146" t="s">
        <v>3463</v>
      </c>
      <c r="B8" s="3146" t="s">
        <v>3464</v>
      </c>
      <c r="C8" s="3146" t="s">
        <v>3465</v>
      </c>
      <c r="D8" s="3146" t="s">
        <v>3466</v>
      </c>
      <c r="E8" s="3146" t="s">
        <v>3467</v>
      </c>
      <c r="F8" s="3146" t="s">
        <v>3468</v>
      </c>
      <c r="G8" s="3146" t="s">
        <v>3469</v>
      </c>
      <c r="H8" s="3146" t="s">
        <v>3493</v>
      </c>
    </row>
    <row r="9" spans="1:10">
      <c r="A9" s="3146" t="s">
        <v>3453</v>
      </c>
      <c r="B9" s="3146" t="s">
        <v>3474</v>
      </c>
      <c r="C9" s="3147">
        <v>3705.93</v>
      </c>
      <c r="D9" s="3147"/>
      <c r="E9" s="3146" t="s">
        <v>3458</v>
      </c>
      <c r="F9" s="3147">
        <v>26</v>
      </c>
      <c r="G9" s="3146" t="s">
        <v>3462</v>
      </c>
      <c r="H9" s="3531" t="s">
        <v>3547</v>
      </c>
      <c r="J9" s="3158" t="s">
        <v>3556</v>
      </c>
    </row>
    <row r="10" spans="1:10">
      <c r="A10" s="3146" t="s">
        <v>3454</v>
      </c>
      <c r="B10" s="3146" t="s">
        <v>3475</v>
      </c>
      <c r="C10" s="3147">
        <v>3148.33</v>
      </c>
      <c r="D10" s="3147"/>
      <c r="E10" s="3146" t="s">
        <v>3461</v>
      </c>
      <c r="F10" s="3147">
        <v>45</v>
      </c>
      <c r="G10" s="3146" t="s">
        <v>3462</v>
      </c>
      <c r="H10" s="3533"/>
      <c r="J10" s="3158" t="s">
        <v>3557</v>
      </c>
    </row>
    <row r="11" spans="1:10">
      <c r="A11" s="3146" t="s">
        <v>3455</v>
      </c>
      <c r="B11" s="3146" t="s">
        <v>3475</v>
      </c>
      <c r="C11" s="3146">
        <v>3148.33</v>
      </c>
      <c r="D11" s="3147"/>
      <c r="E11" s="3146" t="s">
        <v>3461</v>
      </c>
      <c r="F11" s="3147">
        <v>45</v>
      </c>
      <c r="G11" s="3146" t="s">
        <v>3462</v>
      </c>
      <c r="H11" s="3533"/>
      <c r="J11" s="3158" t="s">
        <v>3558</v>
      </c>
    </row>
    <row r="12" spans="1:10">
      <c r="A12" s="3146" t="s">
        <v>3456</v>
      </c>
      <c r="B12" s="3146" t="s">
        <v>3476</v>
      </c>
      <c r="C12" s="3146">
        <v>4281.75</v>
      </c>
      <c r="D12" s="3147"/>
      <c r="E12" s="3146" t="s">
        <v>3460</v>
      </c>
      <c r="F12" s="3147">
        <v>45</v>
      </c>
      <c r="G12" s="3146" t="s">
        <v>3462</v>
      </c>
      <c r="H12" s="3533"/>
      <c r="J12" s="3158" t="s">
        <v>3559</v>
      </c>
    </row>
    <row r="13" spans="1:10">
      <c r="A13" s="3146" t="s">
        <v>3457</v>
      </c>
      <c r="B13" s="3146" t="s">
        <v>3477</v>
      </c>
      <c r="C13" s="3147"/>
      <c r="D13" s="3146">
        <v>15246.96</v>
      </c>
      <c r="E13" s="3146" t="s">
        <v>3459</v>
      </c>
      <c r="F13" s="3147"/>
      <c r="G13" s="3147"/>
      <c r="H13" s="3533"/>
    </row>
    <row r="14" spans="1:10">
      <c r="A14" s="3147"/>
      <c r="B14" s="3146" t="s">
        <v>2594</v>
      </c>
      <c r="C14" s="3147">
        <f>C9+C10+C11+C12</f>
        <v>14284.34</v>
      </c>
      <c r="D14" s="3147">
        <f>D13</f>
        <v>15246.96</v>
      </c>
      <c r="E14" s="3147"/>
      <c r="F14" s="3147"/>
      <c r="G14" s="3147"/>
      <c r="H14" s="3147"/>
    </row>
    <row r="15" spans="1:10">
      <c r="A15" s="1402"/>
      <c r="B15" s="1402"/>
      <c r="C15" s="1402"/>
      <c r="D15" s="1402"/>
      <c r="E15" s="1402"/>
      <c r="F15" s="1402"/>
      <c r="G15" s="1402"/>
      <c r="H15" s="1402"/>
    </row>
    <row r="16" spans="1:10">
      <c r="A16" s="3156" t="s">
        <v>3478</v>
      </c>
      <c r="B16" s="3157"/>
      <c r="C16" s="3147"/>
      <c r="D16" s="3147"/>
      <c r="E16" s="3147"/>
      <c r="F16" s="3147"/>
      <c r="G16" s="3147"/>
      <c r="H16" s="3147"/>
      <c r="I16" s="3147"/>
    </row>
    <row r="17" spans="1:16">
      <c r="A17" s="3146" t="s">
        <v>3463</v>
      </c>
      <c r="B17" s="3146" t="s">
        <v>3464</v>
      </c>
      <c r="C17" s="3146" t="s">
        <v>3465</v>
      </c>
      <c r="D17" s="3146" t="s">
        <v>3466</v>
      </c>
      <c r="E17" s="3146" t="s">
        <v>3467</v>
      </c>
      <c r="F17" s="3146" t="s">
        <v>3468</v>
      </c>
      <c r="G17" s="3146" t="s">
        <v>3469</v>
      </c>
      <c r="H17" s="3146" t="s">
        <v>3493</v>
      </c>
      <c r="I17" s="3147"/>
    </row>
    <row r="18" spans="1:16">
      <c r="A18" s="3146" t="s">
        <v>3479</v>
      </c>
      <c r="B18" s="3146" t="s">
        <v>3484</v>
      </c>
      <c r="C18" s="3147">
        <v>8979.7000000000007</v>
      </c>
      <c r="D18" s="3147"/>
      <c r="E18" s="3146" t="s">
        <v>3460</v>
      </c>
      <c r="F18" s="3147">
        <v>45</v>
      </c>
      <c r="G18" s="3146" t="s">
        <v>3462</v>
      </c>
      <c r="H18" s="3532">
        <v>-11.2</v>
      </c>
      <c r="I18" s="3146" t="s">
        <v>3548</v>
      </c>
      <c r="K18" s="3158" t="s">
        <v>3554</v>
      </c>
    </row>
    <row r="19" spans="1:16">
      <c r="A19" s="3146" t="s">
        <v>3480</v>
      </c>
      <c r="B19" s="3146" t="s">
        <v>3475</v>
      </c>
      <c r="C19" s="3147">
        <v>4281.75</v>
      </c>
      <c r="D19" s="3147"/>
      <c r="E19" s="3146" t="s">
        <v>3460</v>
      </c>
      <c r="F19" s="3147">
        <v>45</v>
      </c>
      <c r="G19" s="3146" t="s">
        <v>3462</v>
      </c>
      <c r="H19" s="3532"/>
      <c r="I19" s="3147"/>
      <c r="K19" s="3158" t="s">
        <v>3555</v>
      </c>
    </row>
    <row r="20" spans="1:16">
      <c r="A20" s="3146" t="s">
        <v>3481</v>
      </c>
      <c r="B20" s="3146" t="s">
        <v>3485</v>
      </c>
      <c r="C20" s="3147">
        <v>11862.65</v>
      </c>
      <c r="D20" s="3147"/>
      <c r="E20" s="3146" t="s">
        <v>3487</v>
      </c>
      <c r="F20" s="3147">
        <v>45</v>
      </c>
      <c r="G20" s="3146" t="s">
        <v>3462</v>
      </c>
      <c r="H20" s="3532"/>
      <c r="I20" s="3147"/>
      <c r="K20" s="3158" t="s">
        <v>3553</v>
      </c>
    </row>
    <row r="21" spans="1:16">
      <c r="A21" s="3146" t="s">
        <v>3482</v>
      </c>
      <c r="B21" s="3146" t="s">
        <v>3406</v>
      </c>
      <c r="C21" s="3147">
        <v>90</v>
      </c>
      <c r="D21" s="3147"/>
      <c r="E21" s="3146" t="s">
        <v>3488</v>
      </c>
      <c r="F21" s="3147">
        <v>3.9</v>
      </c>
      <c r="G21" s="3147"/>
      <c r="H21" s="3532"/>
      <c r="I21" s="3147"/>
    </row>
    <row r="22" spans="1:16">
      <c r="A22" s="3146" t="s">
        <v>3457</v>
      </c>
      <c r="B22" s="3146" t="s">
        <v>3483</v>
      </c>
      <c r="C22" s="3147"/>
      <c r="D22" s="3147">
        <v>19865.36</v>
      </c>
      <c r="E22" s="3146" t="s">
        <v>3459</v>
      </c>
      <c r="F22" s="3147"/>
      <c r="G22" s="3147"/>
      <c r="H22" s="3532"/>
      <c r="I22" s="3147"/>
    </row>
    <row r="23" spans="1:16">
      <c r="A23" s="3147"/>
      <c r="B23" s="3146" t="s">
        <v>2594</v>
      </c>
      <c r="C23" s="3147">
        <f>C18+C19+C20+C21</f>
        <v>25214.1</v>
      </c>
      <c r="D23" s="3147">
        <f>D22</f>
        <v>19865.36</v>
      </c>
      <c r="E23" s="3147"/>
      <c r="F23" s="3147"/>
      <c r="G23" s="3147"/>
      <c r="H23" s="3147"/>
      <c r="I23" s="3147"/>
    </row>
    <row r="24" spans="1:16">
      <c r="B24" s="1402"/>
    </row>
    <row r="25" spans="1:16">
      <c r="A25" s="3146" t="s">
        <v>3519</v>
      </c>
      <c r="B25" s="3146"/>
      <c r="C25" s="3147"/>
      <c r="D25" s="3147"/>
      <c r="E25" s="3147"/>
      <c r="F25" s="3147"/>
      <c r="G25" s="3146"/>
      <c r="H25" s="3147"/>
      <c r="I25" s="3147"/>
      <c r="J25" s="3147"/>
      <c r="K25" s="3147"/>
      <c r="L25" s="3147"/>
      <c r="N25">
        <f>D23-H33</f>
        <v>16115.060000000001</v>
      </c>
    </row>
    <row r="26" spans="1:16">
      <c r="A26" s="3146" t="s">
        <v>3520</v>
      </c>
      <c r="B26" s="3146" t="s">
        <v>3522</v>
      </c>
      <c r="C26" s="3146" t="s">
        <v>3525</v>
      </c>
      <c r="D26" s="3146" t="s">
        <v>3526</v>
      </c>
      <c r="E26" s="3146" t="s">
        <v>3527</v>
      </c>
      <c r="F26" s="3146" t="s">
        <v>3528</v>
      </c>
      <c r="G26" s="3146" t="s">
        <v>3529</v>
      </c>
      <c r="H26" s="3146" t="s">
        <v>3530</v>
      </c>
      <c r="I26" s="3146" t="s">
        <v>3531</v>
      </c>
      <c r="J26" s="3147"/>
      <c r="K26" s="3146" t="s">
        <v>3534</v>
      </c>
      <c r="L26" s="3147"/>
      <c r="N26">
        <f>N25/D23</f>
        <v>0.81121409327593363</v>
      </c>
    </row>
    <row r="27" spans="1:16">
      <c r="A27" s="3147"/>
      <c r="B27" s="3147"/>
      <c r="C27" s="3147"/>
      <c r="D27" s="3147"/>
      <c r="E27" s="3147"/>
      <c r="F27" s="3147"/>
      <c r="G27" s="3146"/>
      <c r="H27" s="3147"/>
      <c r="I27" s="3146" t="s">
        <v>3532</v>
      </c>
      <c r="J27" s="3146" t="s">
        <v>3533</v>
      </c>
      <c r="K27" s="3146" t="s">
        <v>3535</v>
      </c>
      <c r="L27" s="3146" t="s">
        <v>3536</v>
      </c>
      <c r="N27">
        <f>N26*面积清单!B66</f>
        <v>257.9660816617469</v>
      </c>
      <c r="O27" s="1402" t="s">
        <v>3649</v>
      </c>
      <c r="P27" s="1402" t="s">
        <v>3650</v>
      </c>
    </row>
    <row r="28" spans="1:16">
      <c r="A28" s="3146" t="s">
        <v>3521</v>
      </c>
      <c r="B28" s="3146" t="s">
        <v>3523</v>
      </c>
      <c r="C28" s="3147">
        <v>1</v>
      </c>
      <c r="D28" s="3147">
        <v>1</v>
      </c>
      <c r="E28" s="3146" t="s">
        <v>3537</v>
      </c>
      <c r="F28" s="3146" t="s">
        <v>3538</v>
      </c>
      <c r="G28" s="3146" t="s">
        <v>3539</v>
      </c>
      <c r="H28" s="3147">
        <v>1883.37</v>
      </c>
      <c r="I28" s="3532">
        <v>5.29</v>
      </c>
      <c r="J28" s="3532"/>
      <c r="K28" s="3532">
        <f>K29+L29</f>
        <v>1878.08</v>
      </c>
      <c r="L28" s="3532"/>
    </row>
    <row r="29" spans="1:16">
      <c r="A29" s="3147"/>
      <c r="B29" s="3147"/>
      <c r="C29" s="3147"/>
      <c r="D29" s="3147"/>
      <c r="E29" s="3147"/>
      <c r="F29" s="3147"/>
      <c r="G29" s="3147"/>
      <c r="H29" s="3147"/>
      <c r="I29" s="3146" t="s">
        <v>3540</v>
      </c>
      <c r="J29" s="3147">
        <f>I28</f>
        <v>5.29</v>
      </c>
      <c r="K29" s="3147">
        <v>1867.5</v>
      </c>
      <c r="L29" s="3147">
        <v>10.58</v>
      </c>
    </row>
    <row r="30" spans="1:16">
      <c r="A30" s="3146" t="s">
        <v>3521</v>
      </c>
      <c r="B30" s="3146" t="s">
        <v>3524</v>
      </c>
      <c r="C30" s="3147">
        <v>2</v>
      </c>
      <c r="D30" s="3147">
        <v>1</v>
      </c>
      <c r="E30" s="3146" t="s">
        <v>3537</v>
      </c>
      <c r="F30" s="3146" t="s">
        <v>3538</v>
      </c>
      <c r="G30" s="3146" t="s">
        <v>3539</v>
      </c>
      <c r="H30" s="3147">
        <v>1866.93</v>
      </c>
      <c r="I30" s="3532">
        <v>70.81</v>
      </c>
      <c r="J30" s="3532"/>
      <c r="K30" s="3532">
        <f>K31+L31</f>
        <v>1796.12</v>
      </c>
      <c r="L30" s="3532"/>
    </row>
    <row r="31" spans="1:16">
      <c r="A31" s="3146"/>
      <c r="B31" s="3146"/>
      <c r="C31" s="3147"/>
      <c r="D31" s="3147"/>
      <c r="E31" s="3147"/>
      <c r="F31" s="3147"/>
      <c r="G31" s="3146"/>
      <c r="H31" s="3147"/>
      <c r="I31" s="3146" t="s">
        <v>3540</v>
      </c>
      <c r="J31" s="3147">
        <f>I30</f>
        <v>70.81</v>
      </c>
      <c r="K31" s="3147">
        <v>1747.36</v>
      </c>
      <c r="L31" s="3147">
        <v>48.76</v>
      </c>
    </row>
    <row r="32" spans="1:16">
      <c r="A32" s="3146"/>
      <c r="B32" s="3146"/>
      <c r="C32" s="3147"/>
      <c r="D32" s="3147"/>
      <c r="E32" s="3147"/>
      <c r="F32" s="3147"/>
      <c r="G32" s="3146"/>
      <c r="H32" s="3147"/>
      <c r="I32" s="3532">
        <f>I28+I30</f>
        <v>76.100000000000009</v>
      </c>
      <c r="J32" s="3532"/>
      <c r="K32" s="3532">
        <f>K28+K30</f>
        <v>3674.2</v>
      </c>
      <c r="L32" s="3532"/>
    </row>
    <row r="33" spans="1:12">
      <c r="A33" s="3146"/>
      <c r="B33" s="3146"/>
      <c r="C33" s="3147"/>
      <c r="D33" s="3147"/>
      <c r="E33" s="3147"/>
      <c r="F33" s="3147"/>
      <c r="G33" s="3146" t="s">
        <v>2594</v>
      </c>
      <c r="H33" s="3147">
        <f>H28+H30</f>
        <v>3750.3</v>
      </c>
      <c r="I33" s="3154"/>
      <c r="J33" s="3154">
        <f>I32</f>
        <v>76.100000000000009</v>
      </c>
      <c r="K33" s="3154">
        <f>K29+K31</f>
        <v>3614.8599999999997</v>
      </c>
      <c r="L33" s="3154">
        <f>L29+L31</f>
        <v>59.339999999999996</v>
      </c>
    </row>
    <row r="34" spans="1:12">
      <c r="A34" s="1402"/>
      <c r="B34" s="1402"/>
      <c r="G34" s="1402"/>
      <c r="I34" s="3153"/>
      <c r="J34" s="3153"/>
      <c r="K34" s="3153"/>
      <c r="L34" s="3153"/>
    </row>
    <row r="35" spans="1:12">
      <c r="A35" s="3156" t="s">
        <v>3549</v>
      </c>
      <c r="B35" s="3156"/>
      <c r="C35" s="3147"/>
      <c r="D35" s="3147"/>
      <c r="E35" s="3147"/>
      <c r="F35" s="3147"/>
      <c r="G35" s="3146"/>
      <c r="H35" s="3147"/>
      <c r="I35" s="3153"/>
      <c r="J35" s="3153"/>
      <c r="K35" s="3153"/>
      <c r="L35" s="3153"/>
    </row>
    <row r="36" spans="1:12">
      <c r="A36" s="3146" t="s">
        <v>3463</v>
      </c>
      <c r="B36" s="3146" t="s">
        <v>3464</v>
      </c>
      <c r="C36" s="3146" t="s">
        <v>3465</v>
      </c>
      <c r="D36" s="3146" t="s">
        <v>3466</v>
      </c>
      <c r="E36" s="3146" t="s">
        <v>3467</v>
      </c>
      <c r="F36" s="3146" t="s">
        <v>3468</v>
      </c>
      <c r="G36" s="3146" t="s">
        <v>3469</v>
      </c>
      <c r="H36" s="3147"/>
    </row>
    <row r="37" spans="1:12">
      <c r="A37" s="3146" t="s">
        <v>3490</v>
      </c>
      <c r="B37" s="3146" t="s">
        <v>3475</v>
      </c>
      <c r="C37" s="3147">
        <v>4281.75</v>
      </c>
      <c r="D37" s="3147"/>
      <c r="E37" s="3146" t="s">
        <v>3460</v>
      </c>
      <c r="F37" s="3147">
        <v>45</v>
      </c>
      <c r="G37" s="3146" t="s">
        <v>3462</v>
      </c>
      <c r="H37" s="3147">
        <v>-11.2</v>
      </c>
      <c r="J37" s="3158" t="s">
        <v>3552</v>
      </c>
    </row>
    <row r="38" spans="1:12">
      <c r="A38" s="3146" t="s">
        <v>3491</v>
      </c>
      <c r="B38" s="3146" t="s">
        <v>3492</v>
      </c>
      <c r="C38" s="3147">
        <v>5316.91</v>
      </c>
      <c r="D38" s="3147"/>
      <c r="E38" s="3146" t="s">
        <v>3460</v>
      </c>
      <c r="F38" s="3147">
        <v>45</v>
      </c>
      <c r="G38" s="3146" t="s">
        <v>3462</v>
      </c>
      <c r="H38" s="3147">
        <v>-11.2</v>
      </c>
      <c r="J38" s="3158" t="s">
        <v>3551</v>
      </c>
    </row>
    <row r="39" spans="1:12">
      <c r="A39" s="3146" t="s">
        <v>3457</v>
      </c>
      <c r="B39" s="3146" t="s">
        <v>3402</v>
      </c>
      <c r="C39" s="3147"/>
      <c r="D39" s="3147">
        <v>4062.98</v>
      </c>
      <c r="E39" s="3146" t="s">
        <v>3459</v>
      </c>
      <c r="F39" s="3147"/>
      <c r="G39" s="3147"/>
      <c r="H39" s="3147"/>
    </row>
    <row r="40" spans="1:12">
      <c r="A40" s="3147"/>
      <c r="B40" s="3146" t="s">
        <v>2594</v>
      </c>
      <c r="C40" s="3147">
        <f>C37+C38</f>
        <v>9598.66</v>
      </c>
      <c r="D40" s="3147">
        <f>D39</f>
        <v>4062.98</v>
      </c>
      <c r="E40" s="3147"/>
      <c r="F40" s="3147"/>
      <c r="G40" s="3147"/>
      <c r="H40" s="3147"/>
    </row>
  </sheetData>
  <mergeCells count="8">
    <mergeCell ref="I30:J30"/>
    <mergeCell ref="K30:L30"/>
    <mergeCell ref="I32:J32"/>
    <mergeCell ref="K32:L32"/>
    <mergeCell ref="H9:H13"/>
    <mergeCell ref="H18:H22"/>
    <mergeCell ref="I28:J28"/>
    <mergeCell ref="K28:L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11"/>
  <sheetViews>
    <sheetView workbookViewId="0">
      <selection activeCell="B3" sqref="B3"/>
    </sheetView>
  </sheetViews>
  <sheetFormatPr defaultRowHeight="13.5"/>
  <cols>
    <col min="2" max="2" width="27.5" customWidth="1"/>
  </cols>
  <sheetData>
    <row r="1" spans="1:7">
      <c r="A1" s="3154" t="s">
        <v>3494</v>
      </c>
      <c r="B1" s="3154" t="s">
        <v>3495</v>
      </c>
      <c r="C1" s="1402" t="s">
        <v>3651</v>
      </c>
      <c r="G1" s="1402"/>
    </row>
    <row r="2" spans="1:7">
      <c r="A2" s="3154" t="s">
        <v>3496</v>
      </c>
      <c r="B2" s="3154" t="s">
        <v>3497</v>
      </c>
      <c r="C2" s="1402" t="s">
        <v>3660</v>
      </c>
      <c r="E2" s="3153"/>
    </row>
    <row r="3" spans="1:7">
      <c r="A3" s="3154" t="s">
        <v>3498</v>
      </c>
      <c r="B3" s="3154" t="s">
        <v>3499</v>
      </c>
      <c r="C3" s="1402" t="s">
        <v>3661</v>
      </c>
      <c r="E3" s="3153"/>
    </row>
    <row r="4" spans="1:7">
      <c r="A4" s="3154" t="s">
        <v>3500</v>
      </c>
      <c r="B4" s="3154" t="s">
        <v>3501</v>
      </c>
      <c r="C4" s="1402" t="s">
        <v>3662</v>
      </c>
      <c r="E4" s="3153"/>
    </row>
    <row r="5" spans="1:7">
      <c r="A5" s="3154" t="s">
        <v>3502</v>
      </c>
      <c r="B5" s="3154" t="s">
        <v>3501</v>
      </c>
      <c r="C5" s="1402" t="s">
        <v>3663</v>
      </c>
      <c r="E5" s="3153"/>
    </row>
    <row r="6" spans="1:7">
      <c r="A6" s="3154" t="s">
        <v>3503</v>
      </c>
      <c r="B6" s="3154" t="s">
        <v>3504</v>
      </c>
      <c r="C6" s="1402" t="s">
        <v>3664</v>
      </c>
      <c r="E6" s="3153"/>
    </row>
    <row r="7" spans="1:7">
      <c r="A7" s="3154" t="s">
        <v>3505</v>
      </c>
      <c r="B7" s="3154" t="s">
        <v>3506</v>
      </c>
      <c r="C7" s="1402" t="s">
        <v>3665</v>
      </c>
      <c r="E7" s="3153"/>
    </row>
    <row r="8" spans="1:7">
      <c r="A8" s="3154" t="s">
        <v>3507</v>
      </c>
      <c r="B8" s="3154" t="s">
        <v>3508</v>
      </c>
      <c r="C8" s="1402" t="s">
        <v>3666</v>
      </c>
      <c r="E8" s="3153"/>
    </row>
    <row r="9" spans="1:7">
      <c r="A9" s="3154" t="s">
        <v>3509</v>
      </c>
      <c r="B9" s="3154" t="s">
        <v>3508</v>
      </c>
      <c r="C9" s="1402" t="s">
        <v>3667</v>
      </c>
      <c r="E9" s="3153"/>
    </row>
    <row r="10" spans="1:7">
      <c r="A10" s="3154" t="s">
        <v>3510</v>
      </c>
      <c r="B10" s="3154" t="s">
        <v>3506</v>
      </c>
      <c r="C10" s="1402" t="s">
        <v>3668</v>
      </c>
      <c r="E10" s="1445"/>
    </row>
    <row r="11" spans="1:7">
      <c r="A11" s="3154" t="s">
        <v>3511</v>
      </c>
      <c r="B11" s="3154" t="s">
        <v>3512</v>
      </c>
      <c r="C11" s="1402" t="s">
        <v>3669</v>
      </c>
      <c r="E11" s="1445"/>
    </row>
  </sheetData>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27"/>
  <sheetViews>
    <sheetView topLeftCell="A10" workbookViewId="0">
      <selection activeCell="G24" sqref="G24"/>
    </sheetView>
  </sheetViews>
  <sheetFormatPr defaultRowHeight="13.5"/>
  <cols>
    <col min="1" max="1" width="12.875" customWidth="1"/>
    <col min="2" max="2" width="12.25" customWidth="1"/>
    <col min="3" max="3" width="25.75" customWidth="1"/>
    <col min="5" max="5" width="12.125" customWidth="1"/>
    <col min="8" max="8" width="23.625" customWidth="1"/>
    <col min="10" max="11" width="11.625" bestFit="1" customWidth="1"/>
    <col min="12" max="12" width="9.5" style="3166" bestFit="1" customWidth="1"/>
  </cols>
  <sheetData>
    <row r="1" spans="1:12">
      <c r="A1" s="1402" t="s">
        <v>3579</v>
      </c>
      <c r="B1" s="1402" t="s">
        <v>3421</v>
      </c>
    </row>
    <row r="2" spans="1:12">
      <c r="A2" s="1402" t="s">
        <v>3580</v>
      </c>
      <c r="B2" s="1402" t="s">
        <v>3581</v>
      </c>
    </row>
    <row r="3" spans="1:12">
      <c r="B3" s="1402" t="s">
        <v>3582</v>
      </c>
      <c r="C3">
        <v>21579.49</v>
      </c>
    </row>
    <row r="4" spans="1:12">
      <c r="B4" s="1402" t="s">
        <v>3588</v>
      </c>
      <c r="C4" s="1402" t="s">
        <v>3589</v>
      </c>
    </row>
    <row r="5" spans="1:12">
      <c r="B5" s="1402"/>
    </row>
    <row r="6" spans="1:12">
      <c r="B6" s="1402"/>
    </row>
    <row r="7" spans="1:12">
      <c r="H7" s="1402" t="s">
        <v>3610</v>
      </c>
      <c r="I7" s="1402" t="s">
        <v>3600</v>
      </c>
      <c r="K7" s="1402" t="s">
        <v>3608</v>
      </c>
      <c r="L7" s="3168" t="s">
        <v>3609</v>
      </c>
    </row>
    <row r="8" spans="1:12" s="3142" customFormat="1" ht="27">
      <c r="A8" s="3143" t="s">
        <v>3583</v>
      </c>
      <c r="B8" s="3143" t="s">
        <v>3584</v>
      </c>
      <c r="C8" s="3534" t="s">
        <v>3585</v>
      </c>
      <c r="D8" s="3535"/>
      <c r="E8" s="3143" t="s">
        <v>3586</v>
      </c>
      <c r="H8" s="3162" t="s">
        <v>3590</v>
      </c>
      <c r="I8" s="3162">
        <v>1</v>
      </c>
      <c r="J8" s="3163">
        <v>9063390.7699999996</v>
      </c>
      <c r="L8" s="3167">
        <f>J8/(C13+C14)/365</f>
        <v>2.543586906853839</v>
      </c>
    </row>
    <row r="9" spans="1:12">
      <c r="A9" s="3536" t="s">
        <v>3559</v>
      </c>
      <c r="B9" s="3147">
        <v>6</v>
      </c>
      <c r="C9" s="3532">
        <v>3924.25</v>
      </c>
      <c r="D9" s="3532"/>
      <c r="E9" s="3147">
        <v>3.5</v>
      </c>
      <c r="F9">
        <f>E9*C9</f>
        <v>13734.875</v>
      </c>
      <c r="H9" s="1402" t="s">
        <v>3591</v>
      </c>
      <c r="I9" s="1402">
        <v>2</v>
      </c>
      <c r="J9" s="3164" t="s">
        <v>3601</v>
      </c>
      <c r="K9" s="3165"/>
      <c r="L9" s="3166">
        <f>ROUND(J9/$C$15/365,2)</f>
        <v>3.23</v>
      </c>
    </row>
    <row r="10" spans="1:12">
      <c r="A10" s="3536"/>
      <c r="B10" s="3147">
        <v>8</v>
      </c>
      <c r="C10" s="3532">
        <v>637.61</v>
      </c>
      <c r="D10" s="3532"/>
      <c r="E10" s="3147">
        <v>3.95</v>
      </c>
      <c r="F10">
        <f t="shared" ref="F10:F14" si="0">E10*C10</f>
        <v>2518.5595000000003</v>
      </c>
      <c r="H10" s="1402" t="s">
        <v>3592</v>
      </c>
      <c r="I10" s="1402">
        <v>3</v>
      </c>
      <c r="J10" s="3164" t="s">
        <v>3602</v>
      </c>
      <c r="K10" s="3165">
        <f>(J10-J9)/J9</f>
        <v>5.000000013749055E-2</v>
      </c>
      <c r="L10" s="3166">
        <f t="shared" ref="L10:L14" si="1">ROUND(J10/$C$15/365,2)</f>
        <v>3.39</v>
      </c>
    </row>
    <row r="11" spans="1:12">
      <c r="A11" s="3146" t="s">
        <v>3557</v>
      </c>
      <c r="B11" s="3147">
        <v>8</v>
      </c>
      <c r="C11" s="3532">
        <v>3337.78</v>
      </c>
      <c r="D11" s="3532"/>
      <c r="E11" s="3147">
        <v>3.95</v>
      </c>
      <c r="F11">
        <f t="shared" si="0"/>
        <v>13184.231000000002</v>
      </c>
      <c r="H11" s="1402" t="s">
        <v>3593</v>
      </c>
      <c r="I11" s="1402">
        <v>4</v>
      </c>
      <c r="J11" s="3164" t="s">
        <v>3603</v>
      </c>
      <c r="K11" s="3165">
        <f>(J11-J10)/J10</f>
        <v>4.9999999850350439E-2</v>
      </c>
      <c r="L11" s="3166">
        <f t="shared" si="1"/>
        <v>3.56</v>
      </c>
    </row>
    <row r="12" spans="1:12">
      <c r="A12" s="3146" t="s">
        <v>3556</v>
      </c>
      <c r="B12" s="3147">
        <v>7.8</v>
      </c>
      <c r="C12" s="3532">
        <v>3917.57</v>
      </c>
      <c r="D12" s="3532"/>
      <c r="E12" s="3147">
        <v>3.95</v>
      </c>
      <c r="F12">
        <f t="shared" si="0"/>
        <v>15474.401500000002</v>
      </c>
      <c r="H12" s="3158" t="s">
        <v>3594</v>
      </c>
      <c r="I12" s="3158">
        <v>5</v>
      </c>
      <c r="J12" s="3169" t="s">
        <v>3604</v>
      </c>
      <c r="K12" s="3170">
        <f>(J12-J11)/J11</f>
        <v>5.0000000071261763E-2</v>
      </c>
      <c r="L12" s="3171">
        <f t="shared" si="1"/>
        <v>3.74</v>
      </c>
    </row>
    <row r="13" spans="1:12">
      <c r="A13" s="3536" t="s">
        <v>3550</v>
      </c>
      <c r="B13" s="3147">
        <v>4</v>
      </c>
      <c r="C13" s="3147">
        <v>7780.64</v>
      </c>
      <c r="D13" s="3531" t="s">
        <v>3587</v>
      </c>
      <c r="E13" s="3147">
        <v>2.2999999999999998</v>
      </c>
      <c r="F13">
        <f t="shared" si="0"/>
        <v>17895.471999999998</v>
      </c>
      <c r="H13" s="1402" t="s">
        <v>3596</v>
      </c>
      <c r="I13" s="1402">
        <v>6</v>
      </c>
      <c r="J13" s="3164" t="s">
        <v>3605</v>
      </c>
      <c r="K13" s="3165">
        <f>(J13-J12)/J12</f>
        <v>4.9999999966065786E-2</v>
      </c>
      <c r="L13" s="3166">
        <f t="shared" si="1"/>
        <v>3.93</v>
      </c>
    </row>
    <row r="14" spans="1:12">
      <c r="A14" s="3532"/>
      <c r="B14" s="3147">
        <v>6</v>
      </c>
      <c r="C14" s="3147">
        <v>1981.64</v>
      </c>
      <c r="D14" s="3531"/>
      <c r="E14" s="3147">
        <v>3.5</v>
      </c>
      <c r="F14">
        <f t="shared" si="0"/>
        <v>6935.7400000000007</v>
      </c>
      <c r="H14" s="1402" t="s">
        <v>3595</v>
      </c>
      <c r="I14" s="1402">
        <v>7</v>
      </c>
      <c r="J14" s="3164" t="s">
        <v>3606</v>
      </c>
      <c r="K14" s="3165">
        <f>(J14-J13)/J13</f>
        <v>4.999999969297677E-2</v>
      </c>
      <c r="L14" s="3166">
        <f t="shared" si="1"/>
        <v>4.12</v>
      </c>
    </row>
    <row r="15" spans="1:12">
      <c r="A15" s="3147"/>
      <c r="B15" s="3146" t="s">
        <v>2594</v>
      </c>
      <c r="C15" s="3147">
        <f>SUM(C9:C14)</f>
        <v>21579.489999999998</v>
      </c>
      <c r="D15" s="3147"/>
      <c r="E15" s="3147"/>
      <c r="F15" s="1402">
        <f>SUM(F9:F14)</f>
        <v>69743.27900000001</v>
      </c>
      <c r="H15" s="1402" t="s">
        <v>3597</v>
      </c>
      <c r="I15" s="1402">
        <v>8</v>
      </c>
      <c r="J15" s="3165"/>
      <c r="K15" s="1402" t="s">
        <v>3607</v>
      </c>
    </row>
    <row r="16" spans="1:12">
      <c r="H16" s="1402" t="s">
        <v>3598</v>
      </c>
      <c r="I16" s="1402">
        <v>9</v>
      </c>
      <c r="J16" s="3165"/>
    </row>
    <row r="17" spans="5:10">
      <c r="E17">
        <f>(E9*C9+E10*C10+E11*C11+E12*C12+E13*C13+E14*C14)/C15</f>
        <v>3.2319243411220571</v>
      </c>
      <c r="H17" s="1402" t="s">
        <v>3599</v>
      </c>
      <c r="I17" s="1402">
        <v>10</v>
      </c>
      <c r="J17" s="3165"/>
    </row>
    <row r="18" spans="5:10">
      <c r="I18" s="3162">
        <v>11</v>
      </c>
      <c r="J18" s="3165"/>
    </row>
    <row r="19" spans="5:10">
      <c r="I19" s="1402">
        <v>12</v>
      </c>
      <c r="J19" s="3165"/>
    </row>
    <row r="20" spans="5:10">
      <c r="I20" s="1402">
        <v>13</v>
      </c>
      <c r="J20" s="3165"/>
    </row>
    <row r="21" spans="5:10">
      <c r="I21" s="1402">
        <v>14</v>
      </c>
      <c r="J21" s="3165"/>
    </row>
    <row r="22" spans="5:10">
      <c r="I22" s="1402">
        <v>15</v>
      </c>
      <c r="J22" s="3165"/>
    </row>
    <row r="23" spans="5:10">
      <c r="I23" s="1402">
        <v>16</v>
      </c>
      <c r="J23" s="3165"/>
    </row>
    <row r="24" spans="5:10">
      <c r="I24" s="1402">
        <v>17</v>
      </c>
      <c r="J24" s="3165"/>
    </row>
    <row r="25" spans="5:10">
      <c r="I25" s="1402">
        <v>18</v>
      </c>
      <c r="J25" s="3165"/>
    </row>
    <row r="26" spans="5:10">
      <c r="I26" s="1402">
        <v>19</v>
      </c>
      <c r="J26" s="3165"/>
    </row>
    <row r="27" spans="5:10">
      <c r="I27" s="1402">
        <v>20</v>
      </c>
      <c r="J27" s="3165"/>
    </row>
  </sheetData>
  <mergeCells count="8">
    <mergeCell ref="C8:D8"/>
    <mergeCell ref="D13:D14"/>
    <mergeCell ref="A9:A10"/>
    <mergeCell ref="A13:A14"/>
    <mergeCell ref="C9:D9"/>
    <mergeCell ref="C10:D10"/>
    <mergeCell ref="C11:D11"/>
    <mergeCell ref="C12:D12"/>
  </mergeCells>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K77" sqref="K77"/>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39" t="s">
        <v>2841</v>
      </c>
      <c r="B1" s="3539"/>
      <c r="C1" s="3539"/>
      <c r="D1" s="3539"/>
      <c r="E1" s="3539"/>
      <c r="F1" s="3539"/>
      <c r="G1" s="3540"/>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537"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538"/>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41" t="s">
        <v>3183</v>
      </c>
      <c r="B1" s="3541"/>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42" t="s">
        <v>3234</v>
      </c>
      <c r="B1" s="3542"/>
      <c r="C1" s="3542"/>
      <c r="D1" s="3542"/>
      <c r="E1" s="3542"/>
      <c r="F1" s="3543"/>
    </row>
    <row r="2" spans="1:6">
      <c r="A2" s="3000" t="s">
        <v>3235</v>
      </c>
    </row>
    <row r="3" spans="1:6">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23" t="str">
        <f>IF(项目基本情况!B9="房地产市场价值","估价结果一览表","结果表-2")</f>
        <v>结果表-2</v>
      </c>
      <c r="B1" s="3223"/>
      <c r="C1" s="3223"/>
      <c r="D1" s="3223"/>
      <c r="E1" s="3223"/>
      <c r="F1" s="3223"/>
      <c r="G1" s="3223"/>
      <c r="H1" s="3223"/>
      <c r="I1" s="3223"/>
    </row>
    <row r="2" spans="1:9" ht="30" customHeight="1" thickTop="1">
      <c r="A2" s="3224" t="s">
        <v>928</v>
      </c>
      <c r="B2" s="3224" t="s">
        <v>929</v>
      </c>
      <c r="C2" s="3224" t="s">
        <v>930</v>
      </c>
      <c r="D2" s="3224" t="str">
        <f>结果表!D116</f>
        <v>出让国有建设用地使用权价值</v>
      </c>
      <c r="E2" s="3224"/>
      <c r="F2" s="3224" t="str">
        <f>结果表!F116</f>
        <v>在建建筑物价值</v>
      </c>
      <c r="G2" s="3224"/>
      <c r="H2" s="3224" t="str">
        <f>IF(项目基本情况!B9="房地产市场价值","房地产市场价值","房地产价值")</f>
        <v>房地产价值</v>
      </c>
      <c r="I2" s="3224"/>
    </row>
    <row r="3" spans="1:9" ht="15">
      <c r="A3" s="3219"/>
      <c r="B3" s="3219"/>
      <c r="C3" s="3219"/>
      <c r="D3" s="799" t="s">
        <v>925</v>
      </c>
      <c r="E3" s="799" t="s">
        <v>931</v>
      </c>
      <c r="F3" s="799" t="s">
        <v>925</v>
      </c>
      <c r="G3" s="799" t="s">
        <v>926</v>
      </c>
      <c r="H3" s="799" t="s">
        <v>925</v>
      </c>
      <c r="I3" s="799" t="s">
        <v>926</v>
      </c>
    </row>
    <row r="4" spans="1:9" ht="15">
      <c r="A4" s="1400" t="str">
        <f>项目基本情况!S2</f>
        <v>北京市房地产</v>
      </c>
      <c r="B4" s="799">
        <f>项目基本情况!C17</f>
        <v>48377.229999999996</v>
      </c>
      <c r="C4" s="799">
        <f>项目基本情况!C18</f>
        <v>14991.03</v>
      </c>
      <c r="D4" s="799">
        <f ca="1">结果表!D118</f>
        <v>7969</v>
      </c>
      <c r="E4" s="799">
        <f ca="1">结果表!E118</f>
        <v>1647</v>
      </c>
      <c r="F4" s="799">
        <f ca="1">结果表!F118</f>
        <v>31874</v>
      </c>
      <c r="G4" s="799">
        <f ca="1">结果表!G118</f>
        <v>6589</v>
      </c>
      <c r="H4" s="799">
        <f ca="1">结果表!H118</f>
        <v>39843</v>
      </c>
      <c r="I4" s="799">
        <f ca="1">结果表!I118</f>
        <v>8236</v>
      </c>
    </row>
    <row r="5" spans="1:9" ht="30" customHeight="1">
      <c r="A5" s="3219" t="s">
        <v>927</v>
      </c>
      <c r="B5" s="3219"/>
      <c r="C5" s="3219"/>
      <c r="D5" s="3219" t="str">
        <f ca="1">结果表!D119</f>
        <v>柒仟玖佰陆拾玖万元整</v>
      </c>
      <c r="E5" s="3219"/>
      <c r="F5" s="3219" t="str">
        <f ca="1">结果表!F119</f>
        <v>叁亿壹仟捌佰柒拾肆万元整</v>
      </c>
      <c r="G5" s="3219"/>
      <c r="H5" s="3219" t="str">
        <f ca="1">结果表!H119</f>
        <v>叁亿玖仟捌佰肆拾叁万元整</v>
      </c>
      <c r="I5" s="3219"/>
    </row>
    <row r="6" spans="1:9" ht="15.75">
      <c r="A6" s="3218" t="str">
        <f>结果表!A120</f>
        <v>估价师知悉的法定优先受偿款</v>
      </c>
      <c r="B6" s="3218"/>
      <c r="C6" s="3218"/>
      <c r="D6" s="3218">
        <f>结果表!D120</f>
        <v>0</v>
      </c>
      <c r="E6" s="3218"/>
      <c r="F6" s="3218"/>
      <c r="G6" s="3218"/>
      <c r="H6" s="3218"/>
      <c r="I6" s="3218"/>
    </row>
    <row r="7" spans="1:9" ht="15">
      <c r="A7" s="3219" t="s">
        <v>927</v>
      </c>
      <c r="B7" s="3219"/>
      <c r="C7" s="3219"/>
      <c r="D7" s="3220" t="str">
        <f>结果表!D121</f>
        <v>零元整</v>
      </c>
      <c r="E7" s="3221"/>
      <c r="F7" s="3221"/>
      <c r="G7" s="3221"/>
      <c r="H7" s="3221"/>
      <c r="I7" s="3222"/>
    </row>
    <row r="8" spans="1:9" ht="15.75">
      <c r="A8" s="3218" t="str">
        <f>结果表!A122</f>
        <v>房地产抵押价值</v>
      </c>
      <c r="B8" s="3218"/>
      <c r="C8" s="3218"/>
      <c r="D8" s="3218">
        <f ca="1">结果表!D122</f>
        <v>39843</v>
      </c>
      <c r="E8" s="3218"/>
      <c r="F8" s="3218"/>
      <c r="G8" s="3218"/>
      <c r="H8" s="3218"/>
      <c r="I8" s="3218"/>
    </row>
    <row r="9" spans="1:9" ht="15">
      <c r="A9" s="3219" t="s">
        <v>927</v>
      </c>
      <c r="B9" s="3219"/>
      <c r="C9" s="3219"/>
      <c r="D9" s="3219" t="str">
        <f ca="1">结果表!D123</f>
        <v>叁亿玖仟捌佰肆拾叁万元整</v>
      </c>
      <c r="E9" s="3219"/>
      <c r="F9" s="3219"/>
      <c r="G9" s="3219"/>
      <c r="H9" s="3219"/>
      <c r="I9" s="3219"/>
    </row>
    <row r="10" spans="1:9" ht="15.75">
      <c r="A10" s="3218" t="str">
        <f>结果表!A124</f>
        <v/>
      </c>
      <c r="B10" s="3218"/>
      <c r="C10" s="3218"/>
      <c r="D10" s="3218" t="str">
        <f>结果表!D124</f>
        <v>——</v>
      </c>
      <c r="E10" s="3218"/>
      <c r="F10" s="3218"/>
      <c r="G10" s="3218"/>
      <c r="H10" s="3218"/>
      <c r="I10" s="3218"/>
    </row>
    <row r="11" spans="1:9" ht="15">
      <c r="A11" s="3219" t="s">
        <v>927</v>
      </c>
      <c r="B11" s="3219"/>
      <c r="C11" s="3219"/>
      <c r="D11" s="3219" t="e">
        <f>结果表!D125</f>
        <v>#VALUE!</v>
      </c>
      <c r="E11" s="3219"/>
      <c r="F11" s="3219"/>
      <c r="G11" s="3219"/>
      <c r="H11" s="3219"/>
      <c r="I11" s="3219"/>
    </row>
    <row r="12" spans="1:9" ht="15.75">
      <c r="A12" s="3218" t="str">
        <f>结果表!A126</f>
        <v/>
      </c>
      <c r="B12" s="3218"/>
      <c r="C12" s="3218"/>
      <c r="D12" s="3218" t="str">
        <f>结果表!D126</f>
        <v>——</v>
      </c>
      <c r="E12" s="3218"/>
      <c r="F12" s="3218"/>
      <c r="G12" s="3218"/>
      <c r="H12" s="3218"/>
      <c r="I12" s="3218"/>
    </row>
    <row r="13" spans="1:9" ht="15.75" thickBot="1">
      <c r="A13" s="3216" t="s">
        <v>927</v>
      </c>
      <c r="B13" s="3216"/>
      <c r="C13" s="3216"/>
      <c r="D13" s="3216" t="e">
        <f>结果表!D127</f>
        <v>#VALUE!</v>
      </c>
      <c r="E13" s="3216"/>
      <c r="F13" s="3216"/>
      <c r="G13" s="3216"/>
      <c r="H13" s="3216"/>
      <c r="I13" s="3216"/>
    </row>
    <row r="14" spans="1:9" ht="15" thickTop="1">
      <c r="A14" s="3217" t="s">
        <v>932</v>
      </c>
      <c r="B14" s="3217"/>
      <c r="C14" s="3217"/>
      <c r="D14" s="3217"/>
      <c r="E14" s="3217"/>
      <c r="F14" s="3217"/>
      <c r="G14" s="3217"/>
      <c r="H14" s="3217"/>
      <c r="I14" s="3217"/>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5">
        <f>基准地价修正!G23</f>
        <v>45607</v>
      </c>
      <c r="B1" s="2927" t="s">
        <v>3384</v>
      </c>
      <c r="C1" s="2928"/>
      <c r="D1" s="2928"/>
      <c r="E1" s="2928"/>
      <c r="F1" s="2928"/>
      <c r="G1" s="2928"/>
      <c r="H1" s="2928"/>
      <c r="I1" s="2928"/>
      <c r="J1" s="2894"/>
      <c r="K1" s="2928" t="s">
        <v>454</v>
      </c>
      <c r="L1" s="2928"/>
      <c r="M1" s="2928"/>
      <c r="N1" s="2928"/>
      <c r="O1" s="2928"/>
      <c r="P1" s="2928"/>
      <c r="Q1" s="2894"/>
      <c r="R1" s="3544" t="s">
        <v>456</v>
      </c>
      <c r="S1" s="3545"/>
      <c r="T1" s="3545"/>
      <c r="U1" s="3545"/>
      <c r="V1" s="3545"/>
      <c r="W1" s="3545"/>
      <c r="X1" s="2894"/>
      <c r="Y1" s="3544" t="s">
        <v>457</v>
      </c>
      <c r="Z1" s="3545"/>
      <c r="AA1" s="3545"/>
      <c r="AB1" s="3545"/>
      <c r="AC1" s="3545"/>
      <c r="AD1" s="3545"/>
    </row>
    <row r="2" spans="1:30" s="2007" customFormat="1" ht="14.25" thickBot="1">
      <c r="B2" s="2879"/>
      <c r="C2" s="2880"/>
      <c r="D2" s="2008" t="s">
        <v>2812</v>
      </c>
      <c r="E2" s="2009" t="s">
        <v>2813</v>
      </c>
      <c r="F2" s="2009" t="s">
        <v>2814</v>
      </c>
      <c r="G2" s="2009" t="s">
        <v>2815</v>
      </c>
      <c r="H2" s="2009" t="s">
        <v>2816</v>
      </c>
      <c r="I2" s="2009" t="s">
        <v>2633</v>
      </c>
      <c r="J2" s="2881"/>
      <c r="K2" s="2008" t="s">
        <v>2812</v>
      </c>
      <c r="L2" s="2009" t="s">
        <v>2813</v>
      </c>
      <c r="M2" s="2009" t="s">
        <v>2814</v>
      </c>
      <c r="N2" s="2009" t="s">
        <v>2815</v>
      </c>
      <c r="O2" s="2009" t="s">
        <v>2817</v>
      </c>
      <c r="P2" s="2009" t="s">
        <v>2633</v>
      </c>
      <c r="Q2" s="2881"/>
      <c r="R2" s="2008" t="s">
        <v>2812</v>
      </c>
      <c r="S2" s="2009" t="s">
        <v>2813</v>
      </c>
      <c r="T2" s="2009" t="s">
        <v>2814</v>
      </c>
      <c r="U2" s="2009" t="s">
        <v>2818</v>
      </c>
      <c r="V2" s="2009" t="s">
        <v>2819</v>
      </c>
      <c r="W2" s="2009" t="s">
        <v>2633</v>
      </c>
      <c r="X2" s="2881"/>
      <c r="Y2" s="2008" t="s">
        <v>2812</v>
      </c>
      <c r="Z2" s="2009" t="s">
        <v>2813</v>
      </c>
      <c r="AA2" s="2009" t="s">
        <v>2814</v>
      </c>
      <c r="AB2" s="2009" t="s">
        <v>2820</v>
      </c>
      <c r="AC2" s="2009" t="s">
        <v>2819</v>
      </c>
      <c r="AD2" s="2009" t="s">
        <v>2633</v>
      </c>
    </row>
    <row r="3" spans="1:30" s="2884" customFormat="1" ht="12.75">
      <c r="A3" s="2882" t="s">
        <v>2821</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037" t="s">
        <v>3380</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1.0620000000000001</v>
      </c>
      <c r="S5" s="2024">
        <f>ROUND(IF(项目基本情况!$B$8="出让",SUMPRODUCT(PRODUCT(1+L5:$L$21)),SUMPRODUCT(PRODUCT(1+L5:$L$20))),4)</f>
        <v>1.0448</v>
      </c>
      <c r="T5" s="2024">
        <f>ROUND(IF(项目基本情况!$B$8="出让",SUMPRODUCT(PRODUCT(1+M5:$M$21)),SUMPRODUCT(PRODUCT(1+M5:$M$20))),4)</f>
        <v>1.0079</v>
      </c>
      <c r="U5" s="2024">
        <f>ROUND(IF(项目基本情况!$B$8="出让",SUMPRODUCT(PRODUCT(1+N5:$N$21)),SUMPRODUCT(PRODUCT(1+N5:$N$20))),4)</f>
        <v>1.0672999999999999</v>
      </c>
      <c r="V5" s="2024">
        <f>ROUND(IF(项目基本情况!$B$8="出让",SUMPRODUCT(PRODUCT(1+O5:$O$21)),SUMPRODUCT(PRODUCT(1+O5:$O$20))),4)</f>
        <v>1.0818000000000001</v>
      </c>
      <c r="W5" s="2024">
        <f>T5</f>
        <v>1.0079</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2.75">
      <c r="A6" s="2905" t="s">
        <v>3389</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2" customFormat="1" ht="12.75">
      <c r="A7" s="2037" t="s">
        <v>3388</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3" t="s">
        <v>3381</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3" t="s">
        <v>3377</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2.75">
      <c r="A10" s="2903" t="s">
        <v>3373</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2.75">
      <c r="A11" s="2903" t="s">
        <v>3372</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2.75">
      <c r="A12" s="2903" t="s">
        <v>3370</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2.75">
      <c r="A13" s="2903" t="s">
        <v>3369</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2.75">
      <c r="A14" s="2903" t="s">
        <v>3368</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3" t="s">
        <v>3366</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3" t="s">
        <v>3357</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3" t="s">
        <v>2822</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3" t="s">
        <v>2823</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3" t="s">
        <v>2824</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3" t="s">
        <v>2825</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thickBot="1">
      <c r="A21" s="2916" t="s">
        <v>2826</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3387</v>
      </c>
    </row>
    <row r="24" spans="1:30">
      <c r="I24" s="1402" t="s">
        <v>2827</v>
      </c>
    </row>
    <row r="26" spans="1:30" s="2006" customFormat="1" ht="12.75">
      <c r="B26" s="2927" t="s">
        <v>3385</v>
      </c>
      <c r="C26" s="2928"/>
      <c r="D26" s="2928"/>
      <c r="E26" s="2928"/>
      <c r="F26" s="2928"/>
      <c r="G26" s="2928"/>
      <c r="H26" s="2928"/>
      <c r="I26" s="2928"/>
      <c r="J26" s="2894"/>
      <c r="K26" s="2928" t="s">
        <v>2828</v>
      </c>
      <c r="L26" s="2928"/>
      <c r="M26" s="2928"/>
      <c r="N26" s="2928"/>
      <c r="O26" s="2928"/>
      <c r="P26" s="2928"/>
      <c r="Q26" s="2894"/>
      <c r="R26" s="3544" t="s">
        <v>2829</v>
      </c>
      <c r="S26" s="3545"/>
      <c r="T26" s="3545"/>
      <c r="U26" s="3545"/>
      <c r="V26" s="3545"/>
      <c r="W26" s="3545"/>
      <c r="X26" s="2894"/>
      <c r="Y26" s="3544" t="s">
        <v>2830</v>
      </c>
      <c r="Z26" s="3545"/>
      <c r="AA26" s="3545"/>
      <c r="AB26" s="3545"/>
      <c r="AC26" s="3545"/>
      <c r="AD26" s="3545"/>
    </row>
    <row r="27" spans="1:30" s="2007" customFormat="1" ht="14.25" thickBot="1">
      <c r="B27" s="2879"/>
      <c r="C27" s="2880"/>
      <c r="D27" s="2008" t="s">
        <v>2831</v>
      </c>
      <c r="E27" s="2009" t="s">
        <v>2832</v>
      </c>
      <c r="F27" s="2009" t="s">
        <v>2833</v>
      </c>
      <c r="G27" s="2009" t="s">
        <v>2834</v>
      </c>
      <c r="H27" s="2009"/>
      <c r="I27" s="2009" t="s">
        <v>2835</v>
      </c>
      <c r="J27" s="2881"/>
      <c r="K27" s="2008" t="s">
        <v>2831</v>
      </c>
      <c r="L27" s="2009" t="s">
        <v>2832</v>
      </c>
      <c r="M27" s="2009" t="s">
        <v>2833</v>
      </c>
      <c r="N27" s="2009" t="s">
        <v>2834</v>
      </c>
      <c r="O27" s="2009"/>
      <c r="P27" s="2009" t="s">
        <v>2835</v>
      </c>
      <c r="Q27" s="2881"/>
      <c r="R27" s="2008" t="s">
        <v>2831</v>
      </c>
      <c r="S27" s="2009" t="s">
        <v>2832</v>
      </c>
      <c r="T27" s="2009" t="s">
        <v>2833</v>
      </c>
      <c r="U27" s="2009" t="s">
        <v>2834</v>
      </c>
      <c r="V27" s="2009"/>
      <c r="W27" s="2009" t="s">
        <v>2835</v>
      </c>
      <c r="X27" s="2881"/>
      <c r="Y27" s="2008" t="s">
        <v>2831</v>
      </c>
      <c r="Z27" s="2009" t="s">
        <v>2832</v>
      </c>
      <c r="AA27" s="2009" t="s">
        <v>2833</v>
      </c>
      <c r="AB27" s="2009" t="s">
        <v>2834</v>
      </c>
      <c r="AC27" s="2009"/>
      <c r="AD27" s="2009" t="s">
        <v>2835</v>
      </c>
    </row>
    <row r="28" spans="1:30" s="2884" customFormat="1" ht="12.75">
      <c r="A28" s="2882" t="s">
        <v>2836</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6" customFormat="1" ht="12.75">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2.75">
      <c r="A30" s="2037" t="s">
        <v>3380</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1.0364</v>
      </c>
      <c r="T30" s="2024">
        <f>ROUND(IF(项目基本情况!$B$8="出让",SUMPRODUCT(PRODUCT(1+M30:M$46)),SUMPRODUCT(PRODUCT(1+M30:M$45))),4)</f>
        <v>1.0244</v>
      </c>
      <c r="U30" s="2024">
        <f>ROUND(IF(项目基本情况!$B$8="出让",SUMPRODUCT(PRODUCT(1+N30:N$46)),SUMPRODUCT(PRODUCT(1+N30:N$45))),4)</f>
        <v>1.048</v>
      </c>
      <c r="V30" s="2024"/>
      <c r="W30" s="2024">
        <f>T30</f>
        <v>1.0244</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2.75">
      <c r="A31" s="2905" t="s">
        <v>3382</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2" customFormat="1" ht="12.75">
      <c r="A32" s="2037" t="s">
        <v>3375</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2.75">
      <c r="A33" s="2903" t="s">
        <v>3383</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2.75">
      <c r="A34" s="2903" t="s">
        <v>3376</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2.75">
      <c r="A35" s="2903" t="s">
        <v>3374</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2.75">
      <c r="A36" s="2903" t="s">
        <v>3372</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2.75">
      <c r="A37" s="2903" t="s">
        <v>3371</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2.75">
      <c r="A38" s="2903" t="s">
        <v>3369</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2.75">
      <c r="A39" s="2903" t="s">
        <v>3368</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2.75">
      <c r="A40" s="2903" t="s">
        <v>3367</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2.75">
      <c r="A41" s="2903" t="s">
        <v>3357</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2.75">
      <c r="A42" s="2903" t="s">
        <v>2837</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2.75">
      <c r="A43" s="2903" t="s">
        <v>2838</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2.75">
      <c r="A44" s="2903" t="s">
        <v>2839</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2.75">
      <c r="A45" s="2903" t="s">
        <v>2840</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thickBot="1">
      <c r="A46" s="2916" t="s">
        <v>2826</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49" t="s">
        <v>452</v>
      </c>
      <c r="C1" s="3549"/>
      <c r="D1" s="3549"/>
      <c r="E1" s="3549"/>
      <c r="F1" s="3549"/>
      <c r="G1" s="3545" t="s">
        <v>453</v>
      </c>
      <c r="H1" s="3545"/>
      <c r="I1" s="3545"/>
      <c r="J1" s="3545"/>
      <c r="K1" s="3545"/>
      <c r="L1" s="3545"/>
      <c r="N1" s="3545" t="s">
        <v>454</v>
      </c>
      <c r="O1" s="3545"/>
      <c r="P1" s="3545"/>
      <c r="Q1" s="3545"/>
      <c r="S1" s="3545" t="s">
        <v>455</v>
      </c>
      <c r="T1" s="3545"/>
      <c r="U1" s="3545"/>
      <c r="V1" s="3545"/>
      <c r="X1" s="3544" t="s">
        <v>456</v>
      </c>
      <c r="Y1" s="3545"/>
      <c r="Z1" s="3545"/>
      <c r="AA1" s="3545"/>
      <c r="AB1" s="3545"/>
      <c r="AD1" s="3544" t="s">
        <v>457</v>
      </c>
      <c r="AE1" s="3545"/>
      <c r="AF1" s="3545"/>
      <c r="AG1" s="3545"/>
      <c r="AH1" s="3545"/>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3365</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3362</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3363</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3364</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2438</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2315</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2314</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2313</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2310</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2309</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47">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47"/>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47"/>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54"/>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50">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47"/>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47"/>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54"/>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50">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47"/>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47"/>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48"/>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46">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47"/>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47"/>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48"/>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46">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47"/>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47"/>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48"/>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51">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52"/>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52"/>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53"/>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46">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47"/>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47"/>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48"/>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46">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47">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47">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48">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46">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47">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47">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48">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46">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47">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47">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48">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46">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47">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47">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48">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46">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47">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47">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48">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46">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47">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47">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48">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46">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47">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47">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48">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46">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47">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47">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48">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46">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47">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47">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48">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46">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47">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47">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48">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45607</v>
      </c>
      <c r="D1" s="1214" t="s">
        <v>603</v>
      </c>
      <c r="E1" s="1209">
        <f>'数据-取费表'!B22</f>
        <v>2</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3">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4"/>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2311</v>
      </c>
      <c r="C26" s="1204">
        <v>43697</v>
      </c>
      <c r="D26" s="2572">
        <v>4.25</v>
      </c>
      <c r="E26" s="2572">
        <v>4.25</v>
      </c>
      <c r="F26" s="2572">
        <v>4.25</v>
      </c>
      <c r="G26" s="2572">
        <v>4.25</v>
      </c>
      <c r="H26" s="2572">
        <v>4.8499999999999996</v>
      </c>
      <c r="I26" s="2572"/>
      <c r="J26" s="257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5"/>
      <c r="C27" s="2576">
        <v>42301</v>
      </c>
      <c r="D27" s="2577">
        <v>4.3499999999999996</v>
      </c>
      <c r="E27" s="2577">
        <v>4.3499999999999996</v>
      </c>
      <c r="F27" s="2577">
        <v>4.75</v>
      </c>
      <c r="G27" s="2577">
        <v>4.75</v>
      </c>
      <c r="H27" s="2577">
        <v>4.9000000000000004</v>
      </c>
      <c r="I27" s="2577"/>
      <c r="J27" s="2577"/>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31" t="s">
        <v>949</v>
      </c>
      <c r="B1" s="3231"/>
      <c r="C1" s="3231"/>
      <c r="D1" s="3231"/>
    </row>
    <row r="2" spans="1:4" ht="18">
      <c r="A2" s="3232" t="s">
        <v>933</v>
      </c>
      <c r="B2" s="3232"/>
      <c r="C2" s="3232"/>
      <c r="D2" s="3232"/>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232" t="s">
        <v>939</v>
      </c>
      <c r="B6" s="3232"/>
      <c r="C6" s="3232"/>
      <c r="D6" s="3232"/>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33" t="s">
        <v>942</v>
      </c>
      <c r="B11" s="3225"/>
      <c r="C11" s="3225"/>
      <c r="D11" s="3225"/>
    </row>
    <row r="12" spans="1:4" ht="15.75">
      <c r="A12" s="3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0"/>
      <c r="C12" s="3230"/>
      <c r="D12" s="3230"/>
    </row>
    <row r="13" spans="1:4" ht="30" customHeight="1">
      <c r="A13" s="32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0"/>
      <c r="C13" s="3230"/>
      <c r="D13" s="3230"/>
    </row>
    <row r="14" spans="1:4" ht="15.75" customHeight="1">
      <c r="A14" s="3225" t="str">
        <f>IF(项目基本情况!B8="抵押","4.本次评估估价师所知悉的法定优先受偿款情况说明如下：","——")</f>
        <v>4.本次评估估价师所知悉的法定优先受偿款情况说明如下：</v>
      </c>
      <c r="B14" s="3230"/>
      <c r="C14" s="3230"/>
      <c r="D14" s="3230"/>
    </row>
    <row r="15" spans="1:4" ht="42" customHeight="1">
      <c r="A15" s="322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5"/>
      <c r="C15" s="3225"/>
      <c r="D15" s="3225"/>
    </row>
    <row r="16" spans="1:4" ht="30" customHeight="1">
      <c r="A16" s="3227" t="s">
        <v>943</v>
      </c>
      <c r="B16" s="3227"/>
      <c r="C16" s="3227"/>
      <c r="D16" s="3227"/>
    </row>
    <row r="17" spans="1:4" ht="144" customHeight="1">
      <c r="A17" s="3227" t="s">
        <v>944</v>
      </c>
      <c r="B17" s="3227"/>
      <c r="C17" s="3227"/>
      <c r="D17" s="3227"/>
    </row>
    <row r="18" spans="1:4" ht="15.75" customHeight="1">
      <c r="A18" s="3225" t="str">
        <f>IF(项目基本情况!B8="抵押",结果表!K120,"——")</f>
        <v>故，本次评估不存在估价师知悉的法定优先受偿款</v>
      </c>
      <c r="B18" s="3225"/>
      <c r="C18" s="3225"/>
      <c r="D18" s="3225"/>
    </row>
    <row r="19" spans="1:4" ht="46.5" customHeight="1">
      <c r="A19" s="3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5"/>
      <c r="C19" s="3225"/>
      <c r="D19" s="3225"/>
    </row>
    <row r="20" spans="1:4" ht="57.75" customHeight="1">
      <c r="A20" s="3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5"/>
      <c r="C20" s="3225"/>
      <c r="D20" s="3225"/>
    </row>
    <row r="21" spans="1:4" ht="57.75" customHeight="1">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8"/>
      <c r="C21" s="3228"/>
      <c r="D21" s="3228"/>
    </row>
    <row r="22" spans="1:4" ht="18.75" customHeight="1">
      <c r="A22" s="3229" t="s">
        <v>945</v>
      </c>
      <c r="B22" s="3229"/>
      <c r="C22" s="3229"/>
      <c r="D22" s="3229"/>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226">
        <v>42551</v>
      </c>
      <c r="D31" s="32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39" t="s">
        <v>956</v>
      </c>
      <c r="B15" s="3234" t="s">
        <v>109</v>
      </c>
      <c r="C15" s="3235"/>
    </row>
    <row r="16" spans="1:7" ht="13.5">
      <c r="A16" s="3240"/>
      <c r="B16" s="3234" t="s">
        <v>42</v>
      </c>
      <c r="C16" s="3235"/>
    </row>
    <row r="17" spans="1:3" ht="13.5">
      <c r="A17" s="3240"/>
      <c r="B17" s="3237" t="s">
        <v>957</v>
      </c>
      <c r="C17" s="1426" t="s">
        <v>956</v>
      </c>
    </row>
    <row r="18" spans="1:3" ht="13.5">
      <c r="A18" s="3240"/>
      <c r="B18" s="3237"/>
      <c r="C18" s="1426" t="s">
        <v>958</v>
      </c>
    </row>
    <row r="19" spans="1:3" ht="13.5">
      <c r="A19" s="3240"/>
      <c r="B19" s="3237"/>
      <c r="C19" s="1426" t="s">
        <v>959</v>
      </c>
    </row>
    <row r="20" spans="1:3" ht="13.5">
      <c r="A20" s="3241"/>
      <c r="B20" s="3236" t="s">
        <v>960</v>
      </c>
      <c r="C20" s="3235"/>
    </row>
    <row r="21" spans="1:3" ht="13.5">
      <c r="A21" s="1427" t="s">
        <v>961</v>
      </c>
      <c r="B21" s="1428"/>
      <c r="C21" s="1429"/>
    </row>
    <row r="22" spans="1:3" ht="13.5">
      <c r="A22" s="3238" t="s">
        <v>962</v>
      </c>
      <c r="B22" s="3236" t="s">
        <v>963</v>
      </c>
      <c r="C22" s="3235"/>
    </row>
    <row r="23" spans="1:3" ht="13.5">
      <c r="A23" s="3238"/>
      <c r="B23" s="3236" t="s">
        <v>964</v>
      </c>
      <c r="C23" s="3235"/>
    </row>
    <row r="24" spans="1:3" ht="13.5">
      <c r="A24" s="3238"/>
      <c r="B24" s="3236" t="s">
        <v>965</v>
      </c>
      <c r="C24" s="3235"/>
    </row>
    <row r="25" spans="1:3" ht="13.5">
      <c r="A25" s="3238"/>
      <c r="B25" s="3237" t="s">
        <v>966</v>
      </c>
      <c r="C25" s="1426" t="s">
        <v>967</v>
      </c>
    </row>
    <row r="26" spans="1:3" ht="13.5">
      <c r="A26" s="3238"/>
      <c r="B26" s="3237"/>
      <c r="C26" s="1426" t="s">
        <v>968</v>
      </c>
    </row>
    <row r="27" spans="1:3" ht="13.5">
      <c r="A27" s="3238"/>
      <c r="B27" s="3237"/>
      <c r="C27" s="1426" t="s">
        <v>969</v>
      </c>
    </row>
    <row r="28" spans="1:3" ht="13.5">
      <c r="A28" s="3238"/>
      <c r="B28" s="3237"/>
      <c r="C28" s="1426" t="s">
        <v>970</v>
      </c>
    </row>
    <row r="29" spans="1:3" ht="13.5">
      <c r="A29" s="3238"/>
      <c r="B29" s="3237"/>
      <c r="C29" s="1426" t="s">
        <v>971</v>
      </c>
    </row>
    <row r="30" spans="1:3" ht="13.5">
      <c r="A30" s="3238"/>
      <c r="B30" s="3237"/>
      <c r="C30" s="1426" t="s">
        <v>972</v>
      </c>
    </row>
    <row r="31" spans="1:3" ht="13.5">
      <c r="A31" s="3238"/>
      <c r="B31" s="3237"/>
      <c r="C31" s="1426" t="s">
        <v>973</v>
      </c>
    </row>
    <row r="32" spans="1:3" ht="13.5">
      <c r="A32" s="3238"/>
      <c r="B32" s="3237"/>
      <c r="C32" s="1426" t="s">
        <v>974</v>
      </c>
    </row>
    <row r="33" spans="1:3" ht="13.5">
      <c r="A33" s="3238"/>
      <c r="B33" s="3237"/>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topLeftCell="A4"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45616</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f ca="1">IF(C10&lt;B2,"已过期",1120100036)</f>
        <v>1120100036</v>
      </c>
      <c r="C10" s="2164">
        <v>45752</v>
      </c>
      <c r="D10" s="2160" t="str">
        <f t="shared" ca="1" si="0"/>
        <v>崔锴（注册号：1120100036）</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2439</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42" t="s">
        <v>2160</v>
      </c>
      <c r="B17" s="3242"/>
      <c r="C17" s="3242"/>
      <c r="D17" s="3242"/>
      <c r="E17" s="3242"/>
      <c r="F17" s="3242"/>
      <c r="G17" s="3242"/>
      <c r="H17" s="3242"/>
    </row>
    <row r="18" spans="1:8" ht="24" customHeight="1">
      <c r="A18" s="3243" t="s">
        <v>2161</v>
      </c>
      <c r="B18" s="3243"/>
      <c r="C18" s="3243"/>
      <c r="D18" s="2157"/>
      <c r="E18" s="3244" t="s">
        <v>2162</v>
      </c>
      <c r="F18" s="3243"/>
      <c r="G18" s="3243"/>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2440</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153</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弃用</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收益法</vt:lpstr>
      <vt:lpstr>收益法 (元)</vt:lpstr>
      <vt:lpstr>收益法-酒店模型</vt:lpstr>
      <vt:lpstr>收益法 车库</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基准地价修正</vt:lpstr>
      <vt:lpstr>假设开发法</vt:lpstr>
      <vt:lpstr>土地比较法-工业</vt:lpstr>
      <vt:lpstr>面积清单</vt:lpstr>
      <vt:lpstr>规划许可证面积表</vt:lpstr>
      <vt:lpstr>层高</vt:lpstr>
      <vt:lpstr>租赁合同</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 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2024-11-20T05:52:35Z</dcterms:modified>
</cp:coreProperties>
</file>