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s>
  <externalReferences>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8" i="76" l="1"/>
  <c r="E16" i="76"/>
  <c r="M10" i="76" l="1"/>
  <c r="E6" i="76"/>
  <c r="D15" i="66" l="1"/>
  <c r="B15" i="66" l="1"/>
  <c r="C15" i="66"/>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s="1"/>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N3" i="76"/>
  <c r="M3" i="76"/>
  <c r="L3" i="76"/>
  <c r="K3" i="76"/>
  <c r="J3" i="76"/>
  <c r="I3" i="76"/>
  <c r="H3" i="76"/>
  <c r="G3" i="76"/>
  <c r="F3" i="76"/>
  <c r="E3" i="76"/>
  <c r="E11" i="76" l="1"/>
  <c r="C4" i="76"/>
  <c r="C5" i="76"/>
  <c r="D5" i="76" s="1"/>
  <c r="F11" i="76"/>
  <c r="H11" i="76"/>
  <c r="J11" i="76"/>
  <c r="L11" i="76"/>
  <c r="AD13" i="3" s="1"/>
  <c r="N11" i="76"/>
  <c r="C10" i="76"/>
  <c r="D10" i="76" s="1"/>
  <c r="C6" i="76"/>
  <c r="C9" i="76"/>
  <c r="D9" i="76" s="1"/>
  <c r="C7" i="76"/>
  <c r="D7" i="76" s="1"/>
  <c r="AL13" i="3" l="1"/>
  <c r="E14" i="76"/>
  <c r="K13" i="3" s="1"/>
  <c r="C11" i="76"/>
  <c r="D4" i="76"/>
  <c r="E13" i="76"/>
  <c r="I13" i="3" s="1"/>
  <c r="D6" i="76"/>
  <c r="D11" i="76"/>
  <c r="E15" i="76" s="1"/>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F8" i="67"/>
  <c r="F40" i="15"/>
  <c r="M8" i="44"/>
  <c r="J36" i="15"/>
  <c r="F13" i="67"/>
  <c r="B11" i="67"/>
  <c r="N7" i="65"/>
  <c r="B12" i="67"/>
  <c r="N6" i="65"/>
  <c r="F11" i="44"/>
  <c r="N3" i="65"/>
  <c r="B8" i="67"/>
  <c r="F13" i="15"/>
  <c r="F37" i="15"/>
  <c r="M23" i="44"/>
  <c r="E8" i="67"/>
  <c r="N5" i="65"/>
  <c r="B9" i="67"/>
  <c r="F14" i="67"/>
  <c r="F39" i="44"/>
  <c r="E11" i="67"/>
  <c r="N4" i="65"/>
  <c r="E13" i="67"/>
  <c r="F6" i="15"/>
  <c r="B10" i="67"/>
  <c r="F11" i="67"/>
  <c r="E10" i="67"/>
  <c r="B14" i="67"/>
  <c r="M27" i="15"/>
  <c r="E9" i="67"/>
  <c r="M26" i="15"/>
  <c r="L48" i="44"/>
  <c r="E12" i="67"/>
  <c r="F38" i="44"/>
  <c r="F16" i="15"/>
  <c r="E14" i="67"/>
  <c r="M26" i="44"/>
  <c r="F12" i="67"/>
  <c r="F10" i="67"/>
  <c r="M24" i="44"/>
  <c r="L49" i="44"/>
  <c r="F9" i="15"/>
  <c r="B13" i="67"/>
  <c r="M25" i="44"/>
  <c r="F9" i="67"/>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F8" i="44"/>
  <c r="C16" i="15"/>
  <c r="M11" i="44"/>
  <c r="I5" i="65"/>
  <c r="J15" i="15"/>
  <c r="F37" i="44"/>
  <c r="F45" i="44"/>
  <c r="F10" i="44"/>
  <c r="L47" i="15"/>
  <c r="M9" i="15"/>
  <c r="J3" i="65"/>
  <c r="F18" i="44"/>
  <c r="J5" i="65"/>
  <c r="M6" i="15"/>
  <c r="J6" i="65"/>
  <c r="M10" i="44"/>
  <c r="F8" i="15"/>
  <c r="J17" i="44"/>
  <c r="F43" i="44"/>
  <c r="F26" i="15"/>
  <c r="F15" i="44"/>
  <c r="F46" i="44"/>
  <c r="M29" i="44"/>
  <c r="I7" i="65"/>
  <c r="F43" i="15"/>
  <c r="F36" i="15"/>
  <c r="F38" i="15"/>
  <c r="M29" i="15"/>
  <c r="I3" i="65"/>
  <c r="I6" i="65"/>
  <c r="M31" i="44"/>
  <c r="I4" i="65"/>
  <c r="F40" i="44"/>
  <c r="C19" i="44"/>
  <c r="F42" i="15"/>
  <c r="M28" i="15"/>
  <c r="M23" i="15"/>
  <c r="M8" i="15"/>
  <c r="M24" i="15"/>
  <c r="F28" i="44"/>
  <c r="L48" i="15"/>
  <c r="M30" i="44"/>
  <c r="J4" i="65"/>
  <c r="M22" i="15"/>
  <c r="M28" i="44"/>
  <c r="F9" i="44"/>
  <c r="F7" i="15"/>
  <c r="J7" i="65"/>
  <c r="AH11" i="46" l="1"/>
  <c r="AC11" i="46"/>
  <c r="AC13" i="46" s="1"/>
  <c r="AE11" i="46"/>
  <c r="AE13" i="46" s="1"/>
  <c r="K101" i="46"/>
  <c r="K107" i="46" s="1"/>
  <c r="G101" i="46"/>
  <c r="G22" i="46"/>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F16" i="68"/>
  <c r="M23" i="68"/>
  <c r="F8" i="68"/>
  <c r="M29" i="68"/>
  <c r="F37" i="68"/>
  <c r="M24" i="68"/>
  <c r="M27" i="68"/>
  <c r="F42" i="68"/>
  <c r="J15" i="68"/>
  <c r="C18" i="44"/>
  <c r="F6" i="68"/>
  <c r="E3" i="65"/>
  <c r="M22" i="68"/>
  <c r="M26" i="68"/>
  <c r="F9" i="68"/>
  <c r="F26" i="68"/>
  <c r="F38" i="68"/>
  <c r="F40" i="68"/>
  <c r="AE7" i="1"/>
  <c r="L47" i="68"/>
  <c r="F7" i="68"/>
  <c r="F36" i="68"/>
  <c r="M6" i="68"/>
  <c r="E2" i="65"/>
  <c r="M8" i="68"/>
  <c r="F43" i="68"/>
  <c r="M28" i="68"/>
  <c r="J36" i="68"/>
  <c r="L48" i="68"/>
  <c r="M9" i="68"/>
  <c r="F13" i="68"/>
  <c r="D22" i="46" l="1"/>
  <c r="N103" i="46"/>
  <c r="F18" i="11"/>
  <c r="C18" i="11" s="1"/>
  <c r="C107" i="46"/>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AY6" i="3" s="1"/>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J24" i="15"/>
  <c r="L52" i="44"/>
  <c r="C16" i="68"/>
  <c r="C17" i="68"/>
  <c r="C17" i="15"/>
  <c r="F41" i="15"/>
  <c r="W12" i="39" l="1"/>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J18" i="68"/>
  <c r="C47" i="68"/>
  <c r="C65" i="68" s="1"/>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AE8" i="1"/>
  <c r="C14" i="15"/>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6" i="44"/>
  <c r="F41" i="68"/>
  <c r="C14" i="68"/>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M21" i="68"/>
  <c r="F7" i="67"/>
  <c r="F35" i="68"/>
  <c r="M21" i="15"/>
  <c r="F35" i="15"/>
  <c r="C21" i="44" l="1"/>
  <c r="C22" i="44" s="1"/>
  <c r="C25" i="44" s="1"/>
  <c r="C19" i="68"/>
  <c r="C20" i="68" s="1"/>
  <c r="C26"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23" i="68" l="1"/>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L51" i="68"/>
  <c r="C40" i="68" l="1"/>
  <c r="Q57" i="68" s="1"/>
  <c r="Q63" i="68" s="1"/>
  <c r="J39" i="68"/>
  <c r="J40" i="68" s="1"/>
  <c r="C46" i="68"/>
  <c r="Q68" i="68"/>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2" i="68" l="1"/>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19" i="9"/>
  <c r="D20" i="9"/>
  <c r="C21" i="9"/>
  <c r="C20" i="9"/>
  <c r="D21"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C97" i="9" s="1"/>
  <c r="D70" i="9"/>
  <c r="M83" i="9"/>
  <c r="N83" i="9" s="1"/>
  <c r="M84" i="9"/>
  <c r="N84" i="9" s="1"/>
  <c r="M87" i="9"/>
  <c r="N87" i="9" s="1"/>
  <c r="R6" i="54"/>
  <c r="B50" i="63" s="1"/>
  <c r="M85" i="9"/>
  <c r="N85" i="9" s="1"/>
  <c r="M88" i="9"/>
  <c r="N88" i="9" s="1"/>
  <c r="N89" i="9" l="1"/>
  <c r="O89" i="9" s="1"/>
  <c r="C114" i="9"/>
  <c r="E114" i="9" s="1"/>
  <c r="E115" i="9" s="1"/>
  <c r="C98" i="9"/>
  <c r="E98" i="9" s="1"/>
  <c r="E99" i="9" s="1"/>
  <c r="C99" i="9" l="1"/>
  <c r="C115" i="9"/>
  <c r="D76" i="9" s="1"/>
  <c r="D74" i="9" s="1"/>
  <c r="N74" i="9" s="1"/>
  <c r="O77" i="9" s="1"/>
  <c r="O79" i="9" s="1"/>
  <c r="P84" i="9" s="1"/>
  <c r="C46" i="9" l="1"/>
  <c r="K33" i="9" s="1"/>
  <c r="O81" i="9"/>
  <c r="O80" i="9"/>
  <c r="Q77" i="9"/>
  <c r="O78" i="9"/>
  <c r="D46" i="9" l="1"/>
  <c r="E46" i="9"/>
  <c r="O41" i="9"/>
  <c r="R8" i="54" s="1"/>
  <c r="B54" i="63" s="1"/>
  <c r="F46" i="9"/>
  <c r="I14" i="66"/>
  <c r="B8" i="66" s="1"/>
  <c r="D8" i="66" s="1"/>
  <c r="C8" i="66" l="1"/>
  <c r="K34" i="9"/>
  <c r="G15" i="66"/>
  <c r="B6" i="66" s="1"/>
  <c r="F15" i="66"/>
  <c r="E15" i="66"/>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<sst xmlns="http://schemas.openxmlformats.org/spreadsheetml/2006/main" count="8978" uniqueCount="3607">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</sst>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17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5" fontId="0" fillId="29" borderId="0" xfId="0" applyNumberFormat="1" applyFill="1">
      <alignment vertical="center"/>
    </xf>
    <xf numFmtId="0" fontId="145" fillId="0" borderId="0" xfId="0" applyFont="1">
      <alignment vertical="center"/>
    </xf>
    <xf numFmtId="176" fontId="0" fillId="0" borderId="0" xfId="0" applyNumberFormat="1">
      <alignment vertical="center"/>
    </xf>
    <xf numFmtId="195" fontId="0" fillId="9" borderId="0" xfId="0" applyNumberFormat="1" applyFill="1">
      <alignment vertical="center"/>
    </xf>
    <xf numFmtId="43" fontId="283" fillId="9" borderId="2" xfId="16" applyFont="1" applyFill="1" applyBorder="1" applyAlignment="1">
      <alignment horizontal="center" vertical="center" wrapText="1"/>
    </xf>
    <xf numFmtId="43" fontId="0" fillId="20" borderId="0" xfId="0" applyNumberFormat="1" applyFill="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5;&#30340;&#25991;&#26723;/Downloads/&#27915;&#20108;&#35843;&#25972;&#20026;38.97&#20137;-&#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105;&#30340;&#25991;&#26723;/Downloads/&#27915;&#20108;&#35843;&#25972;&#20026;38.97&#20137;&#65288;&#20999;&#21106;&#35777;&#65289;-&#22303;&#22320;-&#36213;&#2985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row r="3">
          <cell r="A3">
            <v>25981.37</v>
          </cell>
        </row>
      </sheetData>
      <sheetData sheetId="11"/>
      <sheetData sheetId="12"/>
      <sheetData sheetId="13"/>
      <sheetData sheetId="14"/>
      <sheetData sheetId="15"/>
      <sheetData sheetId="16"/>
      <sheetData sheetId="17"/>
      <sheetData sheetId="18">
        <row r="32">
          <cell r="C32">
            <v>10167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10165</v>
          </cell>
        </row>
      </sheetData>
      <sheetData sheetId="18">
        <row r="79">
          <cell r="O79">
            <v>8425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111184.34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根据《国有土地使用证》[]，估价对象（分摊）出让国有建设用地使用权面积为20122.04平方米。根据《建设工程规划许可证》[]、《出让合同》[]，估价对象规划建筑面积为111184.34平方米。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111184.34000000001</v>
      </c>
    </row>
    <row r="46" spans="1:2">
      <c r="A46" s="2831" t="s">
        <v>2722</v>
      </c>
      <c r="B46" s="2832">
        <f ca="1">'预评函-2'!P5</f>
        <v>7135</v>
      </c>
    </row>
    <row r="47" spans="1:2">
      <c r="A47" s="2831" t="s">
        <v>2723</v>
      </c>
      <c r="B47" s="2832">
        <f ca="1">'预评函-2'!Q5</f>
        <v>1291</v>
      </c>
    </row>
    <row r="48" spans="1:2">
      <c r="A48" s="2831" t="s">
        <v>2724</v>
      </c>
      <c r="B48" s="2832">
        <f ca="1">'预评函-2'!R5</f>
        <v>14357</v>
      </c>
    </row>
    <row r="49" spans="1:2">
      <c r="A49" s="2831" t="s">
        <v>2740</v>
      </c>
      <c r="B49" s="2832" t="str">
        <f>'预评函-2'!A6</f>
        <v>抵押价格</v>
      </c>
    </row>
    <row r="50" spans="1:2">
      <c r="A50" s="2831" t="s">
        <v>2725</v>
      </c>
      <c r="B50" s="2832">
        <f ca="1">'预评函-2'!R6</f>
        <v>14357</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10172</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5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5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5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5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5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H2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53" t="str">
        <f>IF(B10="北京市","北京市",C10)&amp;F10&amp;B16&amp;"国有建设用地使用权"&amp;B9&amp;"预评估"</f>
        <v>出让国有建设用地使用权抵押价格预评估</v>
      </c>
      <c r="C1" s="3854"/>
      <c r="D1" s="3854"/>
      <c r="E1" s="3854"/>
      <c r="F1" s="3854"/>
      <c r="G1" s="3854"/>
      <c r="H1" s="3854"/>
      <c r="I1" s="3855"/>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59"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860"/>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56"/>
      <c r="C12" s="3857"/>
      <c r="D12" s="3858"/>
      <c r="E12" s="1681" t="s">
        <v>2061</v>
      </c>
      <c r="F12" s="3874" t="s">
        <v>2888</v>
      </c>
      <c r="G12" s="3875"/>
      <c r="H12" s="3875"/>
      <c r="I12" s="3876"/>
      <c r="J12" s="1676"/>
      <c r="K12" s="1756"/>
      <c r="L12" s="1705"/>
      <c r="M12" s="1705"/>
      <c r="N12" s="1676"/>
      <c r="O12" s="1677"/>
      <c r="P12" s="1676"/>
      <c r="Q12" s="1676"/>
      <c r="R12" s="1676"/>
      <c r="S12" s="1676"/>
      <c r="T12" s="1676"/>
      <c r="U12" s="1676"/>
    </row>
    <row r="13" spans="1:21">
      <c r="A13" s="1669" t="s">
        <v>2059</v>
      </c>
      <c r="B13" s="3856"/>
      <c r="C13" s="3857"/>
      <c r="D13" s="3858"/>
      <c r="E13" s="1681" t="s">
        <v>2061</v>
      </c>
      <c r="F13" s="3874" t="s">
        <v>2889</v>
      </c>
      <c r="G13" s="3875"/>
      <c r="H13" s="3875"/>
      <c r="I13" s="3876"/>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71"/>
      <c r="E20" s="3872"/>
      <c r="F20" s="3872"/>
      <c r="G20" s="3872"/>
      <c r="H20" s="3872"/>
      <c r="I20" s="3873"/>
      <c r="J20" s="1676"/>
      <c r="K20" s="1756"/>
      <c r="L20" s="1705"/>
      <c r="M20" s="1705"/>
      <c r="N20" s="1676"/>
      <c r="O20" s="1677"/>
      <c r="P20" s="1676"/>
      <c r="Q20" s="1676"/>
      <c r="R20" s="1676"/>
      <c r="S20" s="1676"/>
      <c r="T20" s="1676"/>
      <c r="U20" s="1676"/>
    </row>
    <row r="21" spans="1:21">
      <c r="A21" s="1745" t="s">
        <v>1958</v>
      </c>
      <c r="B21" s="1746" t="s">
        <v>1959</v>
      </c>
      <c r="C21" s="1741">
        <f>'数据-汇总表'!E3</f>
        <v>111184.34000000001</v>
      </c>
      <c r="D21" s="1742" t="s">
        <v>1960</v>
      </c>
      <c r="E21" s="3861" t="s">
        <v>1998</v>
      </c>
      <c r="F21" s="3862"/>
      <c r="G21" s="3862"/>
      <c r="H21" s="3862"/>
      <c r="I21" s="3863"/>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861" t="s">
        <v>2890</v>
      </c>
      <c r="F22" s="3862"/>
      <c r="G22" s="3862"/>
      <c r="H22" s="3862"/>
      <c r="I22" s="3863"/>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64" t="s">
        <v>1966</v>
      </c>
      <c r="C24" s="3865"/>
      <c r="D24" s="3866" t="s">
        <v>1967</v>
      </c>
      <c r="E24" s="3867"/>
      <c r="F24" s="1690" t="s">
        <v>1968</v>
      </c>
      <c r="G24" s="1676"/>
      <c r="H24" s="1676"/>
      <c r="I24" s="1689"/>
      <c r="J24" s="1676"/>
      <c r="K24" s="3852"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5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5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79" t="s">
        <v>2001</v>
      </c>
      <c r="B31" s="1746" t="s">
        <v>2002</v>
      </c>
      <c r="C31" s="3877"/>
      <c r="D31" s="3878"/>
      <c r="E31" s="1676"/>
      <c r="F31" s="1676"/>
      <c r="G31" s="1676"/>
      <c r="H31" s="1676"/>
      <c r="I31" s="1689"/>
      <c r="J31" s="1676"/>
      <c r="K31" s="2420"/>
      <c r="L31" s="1676"/>
      <c r="M31" s="1676"/>
      <c r="N31" s="1676"/>
      <c r="O31" s="1676"/>
      <c r="P31" s="1676"/>
      <c r="Q31" s="1676"/>
      <c r="R31" s="1676"/>
      <c r="S31" s="1676"/>
      <c r="T31" s="1676"/>
      <c r="U31" s="1676"/>
    </row>
    <row r="32" spans="1:21">
      <c r="A32" s="3879"/>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79"/>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80"/>
      <c r="B34" s="1643" t="s">
        <v>2005</v>
      </c>
      <c r="C34" s="3881"/>
      <c r="D34" s="3882"/>
      <c r="E34" s="1676"/>
      <c r="F34" s="1676"/>
      <c r="G34" s="1676"/>
      <c r="H34" s="1676"/>
      <c r="I34" s="1689"/>
      <c r="J34" s="1676"/>
      <c r="K34" s="2420"/>
      <c r="L34" s="1676"/>
      <c r="M34" s="1676"/>
      <c r="N34" s="1676"/>
      <c r="O34" s="1676"/>
      <c r="P34" s="1676"/>
      <c r="Q34" s="1676"/>
      <c r="R34" s="1676"/>
      <c r="S34" s="1676"/>
      <c r="T34" s="1676"/>
      <c r="U34" s="1676"/>
    </row>
    <row r="35" spans="1:21">
      <c r="A35" s="3883" t="s">
        <v>847</v>
      </c>
      <c r="B35" s="1704"/>
      <c r="C35" s="1758" t="str">
        <f>IF(B35="场地平整","——","具体情况：")</f>
        <v>具体情况：</v>
      </c>
      <c r="D35" s="3885"/>
      <c r="E35" s="3886"/>
      <c r="F35" s="3886"/>
      <c r="G35" s="3886"/>
      <c r="H35" s="3886"/>
      <c r="I35" s="3887"/>
      <c r="J35" s="1676"/>
      <c r="K35" s="1757"/>
      <c r="L35" s="1705"/>
      <c r="M35" s="1705"/>
      <c r="N35" s="1676"/>
      <c r="O35" s="1677"/>
      <c r="P35" s="1676"/>
      <c r="Q35" s="1676"/>
      <c r="R35" s="1676"/>
      <c r="S35" s="1676"/>
      <c r="T35" s="1676"/>
      <c r="U35" s="1676"/>
    </row>
    <row r="36" spans="1:21">
      <c r="A36" s="3879"/>
      <c r="B36" s="3888" t="s">
        <v>2054</v>
      </c>
      <c r="C36" s="3889"/>
      <c r="D36" s="1774"/>
      <c r="E36" s="3890"/>
      <c r="F36" s="3890"/>
      <c r="G36" s="1669" t="str">
        <f>IF(B35="场地未平整","估价结果处理","")</f>
        <v/>
      </c>
      <c r="H36" s="3891"/>
      <c r="I36" s="3891"/>
      <c r="J36" s="1676"/>
      <c r="K36" s="1757"/>
      <c r="L36" s="1705"/>
      <c r="M36" s="1705"/>
      <c r="N36" s="1676"/>
      <c r="O36" s="1677"/>
      <c r="P36" s="1676"/>
      <c r="Q36" s="1676"/>
      <c r="R36" s="1676"/>
      <c r="S36" s="1676"/>
      <c r="T36" s="1676"/>
      <c r="U36" s="1676"/>
    </row>
    <row r="37" spans="1:21" ht="28.5">
      <c r="A37" s="3879"/>
      <c r="B37" s="3868"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79"/>
      <c r="B38" s="3869"/>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80"/>
      <c r="B39" s="387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51" t="s">
        <v>1985</v>
      </c>
      <c r="T40" s="1713" t="str">
        <f>NUMBERSTRING(7-K40,1)&amp;"通"</f>
        <v>七通</v>
      </c>
      <c r="U40" s="1676"/>
    </row>
    <row r="41" spans="1:21">
      <c r="A41" s="1645"/>
      <c r="B41" s="3884" t="s">
        <v>1721</v>
      </c>
      <c r="C41" s="3884"/>
      <c r="D41" s="3884"/>
      <c r="E41" s="3884"/>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51"/>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111184.34000000001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111184.34000000001</v>
      </c>
      <c r="H5" s="27">
        <f t="shared" ref="H5:AT5" si="0">SUM(H13:H641)</f>
        <v>107990.14000000001</v>
      </c>
      <c r="I5" s="27">
        <f t="shared" si="0"/>
        <v>82106.820000000007</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111184.34000000001</v>
      </c>
      <c r="BA5" s="29">
        <f t="shared" si="1"/>
        <v>107990.14000000001</v>
      </c>
      <c r="BB5" s="29">
        <f t="shared" si="1"/>
        <v>82106.820000000007</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20122.04</v>
      </c>
      <c r="F6" s="27" t="s">
        <v>1</v>
      </c>
      <c r="G6" s="27" t="s">
        <v>2</v>
      </c>
      <c r="H6" s="33">
        <f>SUMIF(I$12:AB$12,"总值",I6:AB6)</f>
        <v>19543.96</v>
      </c>
      <c r="I6" s="27">
        <f t="shared" ref="I6:AB6" si="2">ROUND($A$3*I5/$B$3,2)</f>
        <v>14859.62</v>
      </c>
      <c r="J6" s="27">
        <f t="shared" si="2"/>
        <v>0</v>
      </c>
      <c r="K6" s="27">
        <f t="shared" si="2"/>
        <v>1175.1400000000001</v>
      </c>
      <c r="L6" s="27">
        <f t="shared" si="2"/>
        <v>0</v>
      </c>
      <c r="M6" s="27">
        <f t="shared" si="2"/>
        <v>3509.2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578.08000000000004</v>
      </c>
      <c r="AD6" s="27">
        <f t="shared" ref="AD6:AS6" si="3">ROUND($A$3*AD5/$B$3,2)</f>
        <v>193.91</v>
      </c>
      <c r="AE6" s="27">
        <f t="shared" si="3"/>
        <v>0</v>
      </c>
      <c r="AF6" s="27">
        <f t="shared" si="3"/>
        <v>0</v>
      </c>
      <c r="AG6" s="27">
        <f t="shared" si="3"/>
        <v>0</v>
      </c>
      <c r="AH6" s="27">
        <f t="shared" si="3"/>
        <v>0</v>
      </c>
      <c r="AI6" s="27">
        <f t="shared" si="3"/>
        <v>0</v>
      </c>
      <c r="AJ6" s="27">
        <f t="shared" si="3"/>
        <v>0</v>
      </c>
      <c r="AK6" s="27">
        <f t="shared" si="3"/>
        <v>0</v>
      </c>
      <c r="AL6" s="27">
        <f t="shared" si="3"/>
        <v>384.17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19543.96</v>
      </c>
      <c r="BB6" s="27">
        <f>ROUND($AY$6*BB5/$AZ$5,2)</f>
        <v>14859.62</v>
      </c>
      <c r="BC6" s="27">
        <f t="shared" ref="BC6:BH6" si="4">ROUND($AY$6*BC5/$AZ$5,2)</f>
        <v>1175.1400000000001</v>
      </c>
      <c r="BD6" s="27">
        <f t="shared" si="4"/>
        <v>3509.2</v>
      </c>
      <c r="BE6" s="27">
        <f t="shared" si="4"/>
        <v>0</v>
      </c>
      <c r="BF6" s="27">
        <f t="shared" si="4"/>
        <v>0</v>
      </c>
      <c r="BG6" s="27">
        <f t="shared" si="4"/>
        <v>0</v>
      </c>
      <c r="BH6" s="27">
        <f t="shared" si="4"/>
        <v>0</v>
      </c>
      <c r="BI6" s="27">
        <f t="shared" ref="BI6:BT6" si="5">ROUND($AY$6*BI5/$AZ$5,2)</f>
        <v>0</v>
      </c>
      <c r="BJ6" s="27">
        <f t="shared" si="5"/>
        <v>0</v>
      </c>
      <c r="BK6" s="27">
        <f t="shared" si="5"/>
        <v>0</v>
      </c>
      <c r="BL6" s="27">
        <f t="shared" si="5"/>
        <v>578.08000000000004</v>
      </c>
      <c r="BM6" s="27">
        <f t="shared" si="5"/>
        <v>193.91</v>
      </c>
      <c r="BN6" s="27">
        <f t="shared" si="5"/>
        <v>0</v>
      </c>
      <c r="BO6" s="27">
        <f t="shared" si="5"/>
        <v>0</v>
      </c>
      <c r="BP6" s="27">
        <f t="shared" si="5"/>
        <v>0</v>
      </c>
      <c r="BQ6" s="27">
        <f t="shared" si="5"/>
        <v>384.17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111184.34000000001</v>
      </c>
      <c r="H13" s="33">
        <f t="shared" ref="H13:H20" si="8">SUMIF(I$12:AB$12,"总值",I13:AB13)</f>
        <v>107990.14000000001</v>
      </c>
      <c r="I13" s="2967">
        <f>三块地面积表!E13</f>
        <v>82106.820000000007</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111184.34000000001</v>
      </c>
      <c r="BA13" s="27">
        <f t="shared" ref="BA13:BA20" si="13">SUM(BB13:BK13)</f>
        <v>107990.14000000001</v>
      </c>
      <c r="BB13" s="27">
        <f t="shared" ref="BB13:BB20" si="14">IF($D13="是",I13-J13,0)</f>
        <v>82106.820000000007</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92" t="s">
        <v>0</v>
      </c>
      <c r="B1" s="3892" t="s">
        <v>4</v>
      </c>
      <c r="C1" s="3892" t="s">
        <v>5</v>
      </c>
      <c r="D1" s="3893" t="s">
        <v>40</v>
      </c>
      <c r="E1" s="3893" t="s">
        <v>41</v>
      </c>
      <c r="F1" s="3893"/>
      <c r="G1" s="3893"/>
      <c r="H1" s="3893"/>
      <c r="I1" s="3893"/>
      <c r="J1" s="3893"/>
      <c r="K1" s="3893"/>
      <c r="L1" s="3893"/>
      <c r="M1" s="3893"/>
    </row>
    <row r="2" spans="1:13" ht="27" customHeight="1">
      <c r="A2" s="3892"/>
      <c r="B2" s="3892"/>
      <c r="C2" s="3892"/>
      <c r="D2" s="3893"/>
      <c r="E2" s="3893" t="s">
        <v>24</v>
      </c>
      <c r="F2" s="3893" t="s">
        <v>25</v>
      </c>
      <c r="G2" s="3893"/>
      <c r="H2" s="3893"/>
      <c r="I2" s="3893"/>
      <c r="J2" s="3893" t="s">
        <v>26</v>
      </c>
      <c r="K2" s="3893"/>
      <c r="L2" s="3893"/>
      <c r="M2" s="3893"/>
    </row>
    <row r="3" spans="1:13" ht="28.5">
      <c r="A3" s="3892"/>
      <c r="B3" s="3892"/>
      <c r="C3" s="3892"/>
      <c r="D3" s="3893"/>
      <c r="E3" s="38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93" t="s">
        <v>42</v>
      </c>
      <c r="B9" s="3893"/>
      <c r="C9" s="38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40" t="s">
        <v>3178</v>
      </c>
      <c r="B1" s="3940"/>
      <c r="C1" s="3940"/>
      <c r="D1" s="3940"/>
      <c r="E1" s="3940"/>
      <c r="F1" s="3940"/>
      <c r="G1" s="3940"/>
      <c r="H1" s="3940"/>
      <c r="I1" s="3940"/>
      <c r="J1" s="3940"/>
      <c r="K1" s="3940"/>
      <c r="L1" s="3207"/>
      <c r="M1" s="3207"/>
      <c r="N1" s="3208"/>
      <c r="O1" s="3208"/>
      <c r="P1" s="3208"/>
      <c r="Q1" s="3208"/>
      <c r="R1" s="3208"/>
      <c r="S1" s="3208"/>
      <c r="T1" s="3208"/>
      <c r="U1" s="3208"/>
    </row>
    <row r="2" spans="1:21" ht="14.25">
      <c r="A2" s="3941" t="s">
        <v>3179</v>
      </c>
      <c r="B2" s="3942" t="s">
        <v>3180</v>
      </c>
      <c r="C2" s="3942" t="s">
        <v>3181</v>
      </c>
      <c r="D2" s="3942" t="s">
        <v>3182</v>
      </c>
      <c r="E2" s="3942" t="s">
        <v>3183</v>
      </c>
      <c r="F2" s="3942" t="s">
        <v>3184</v>
      </c>
      <c r="G2" s="3941" t="s">
        <v>3185</v>
      </c>
      <c r="H2" s="3942" t="s">
        <v>3186</v>
      </c>
      <c r="I2" s="3943" t="s">
        <v>3187</v>
      </c>
      <c r="J2" s="3942" t="s">
        <v>3188</v>
      </c>
      <c r="K2" s="3942" t="s">
        <v>3189</v>
      </c>
      <c r="L2" s="3210"/>
      <c r="M2" s="3210"/>
      <c r="N2" s="3211" t="s">
        <v>3190</v>
      </c>
      <c r="O2" s="3208"/>
      <c r="P2" s="3211"/>
      <c r="Q2" s="3208"/>
      <c r="R2" s="3208"/>
      <c r="S2" s="3208"/>
      <c r="T2" s="3208"/>
      <c r="U2" s="3208"/>
    </row>
    <row r="3" spans="1:21" ht="14.25">
      <c r="A3" s="3941"/>
      <c r="B3" s="3942"/>
      <c r="C3" s="3942"/>
      <c r="D3" s="3942"/>
      <c r="E3" s="3942"/>
      <c r="F3" s="3942"/>
      <c r="G3" s="3941"/>
      <c r="H3" s="3942"/>
      <c r="I3" s="3943"/>
      <c r="J3" s="3942"/>
      <c r="K3" s="3942"/>
      <c r="L3" s="3210"/>
      <c r="M3" s="3210"/>
      <c r="N3" s="3208"/>
      <c r="O3" s="3208"/>
      <c r="P3" s="3208"/>
      <c r="Q3" s="3208"/>
      <c r="R3" s="3208"/>
      <c r="S3" s="3208"/>
      <c r="T3" s="3208"/>
      <c r="U3" s="3208"/>
    </row>
    <row r="4" spans="1:21" ht="14.25">
      <c r="A4" s="3941"/>
      <c r="B4" s="3942"/>
      <c r="C4" s="3942"/>
      <c r="D4" s="3942"/>
      <c r="E4" s="3942"/>
      <c r="F4" s="3942"/>
      <c r="G4" s="3941"/>
      <c r="H4" s="3942"/>
      <c r="I4" s="3943"/>
      <c r="J4" s="3942"/>
      <c r="K4" s="3942"/>
      <c r="L4" s="3210"/>
      <c r="M4" s="3210"/>
      <c r="N4" s="3208"/>
      <c r="O4" s="3208"/>
      <c r="P4" s="3211"/>
      <c r="Q4" s="3211"/>
      <c r="R4" s="3211"/>
      <c r="S4" s="3212"/>
      <c r="T4" s="3212"/>
      <c r="U4" s="3212"/>
    </row>
    <row r="5" spans="1:21" ht="14.25">
      <c r="A5" s="3907" t="s">
        <v>3191</v>
      </c>
      <c r="B5" s="3917" t="s">
        <v>3192</v>
      </c>
      <c r="C5" s="3939" t="s">
        <v>3193</v>
      </c>
      <c r="D5" s="3213" t="s">
        <v>2997</v>
      </c>
      <c r="E5" s="3213" t="s">
        <v>3194</v>
      </c>
      <c r="F5" s="3939">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07"/>
      <c r="B6" s="3938"/>
      <c r="C6" s="3939"/>
      <c r="D6" s="3213" t="s">
        <v>3196</v>
      </c>
      <c r="E6" s="3213">
        <v>3</v>
      </c>
      <c r="F6" s="3939"/>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07"/>
      <c r="B7" s="3938"/>
      <c r="C7" s="3939"/>
      <c r="D7" s="3213" t="s">
        <v>3198</v>
      </c>
      <c r="E7" s="3213">
        <v>3</v>
      </c>
      <c r="F7" s="3939"/>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07"/>
      <c r="B8" s="3938"/>
      <c r="C8" s="3939"/>
      <c r="D8" s="3213" t="s">
        <v>3201</v>
      </c>
      <c r="E8" s="3213">
        <v>6</v>
      </c>
      <c r="F8" s="3939"/>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07"/>
      <c r="B9" s="3938"/>
      <c r="C9" s="3939"/>
      <c r="D9" s="3213" t="s">
        <v>3203</v>
      </c>
      <c r="E9" s="3213">
        <v>4.5</v>
      </c>
      <c r="F9" s="3939"/>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07"/>
      <c r="B10" s="3938"/>
      <c r="C10" s="3903" t="s">
        <v>3205</v>
      </c>
      <c r="D10" s="3225" t="s">
        <v>3206</v>
      </c>
      <c r="E10" s="3903">
        <v>3</v>
      </c>
      <c r="F10" s="3903">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07"/>
      <c r="B11" s="3938"/>
      <c r="C11" s="3908"/>
      <c r="D11" s="3225" t="s">
        <v>3207</v>
      </c>
      <c r="E11" s="3908"/>
      <c r="F11" s="3908"/>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07"/>
      <c r="B12" s="3938"/>
      <c r="C12" s="3904"/>
      <c r="D12" s="3225" t="s">
        <v>3208</v>
      </c>
      <c r="E12" s="3904"/>
      <c r="F12" s="3904"/>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07"/>
      <c r="B13" s="3938"/>
      <c r="C13" s="3903" t="s">
        <v>3209</v>
      </c>
      <c r="D13" s="3225" t="s">
        <v>3206</v>
      </c>
      <c r="E13" s="3903">
        <v>3</v>
      </c>
      <c r="F13" s="3903">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07"/>
      <c r="B14" s="3938"/>
      <c r="C14" s="3904"/>
      <c r="D14" s="3225" t="s">
        <v>3198</v>
      </c>
      <c r="E14" s="3904"/>
      <c r="F14" s="3904"/>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07"/>
      <c r="B15" s="3938"/>
      <c r="C15" s="3903" t="s">
        <v>3210</v>
      </c>
      <c r="D15" s="3225" t="s">
        <v>923</v>
      </c>
      <c r="E15" s="3903">
        <v>3</v>
      </c>
      <c r="F15" s="3903">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07"/>
      <c r="B16" s="3938"/>
      <c r="C16" s="3904"/>
      <c r="D16" s="3225" t="s">
        <v>3208</v>
      </c>
      <c r="E16" s="3904"/>
      <c r="F16" s="3904"/>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07"/>
      <c r="B17" s="3938"/>
      <c r="C17" s="3903" t="s">
        <v>3211</v>
      </c>
      <c r="D17" s="3225" t="s">
        <v>923</v>
      </c>
      <c r="E17" s="3903">
        <v>3</v>
      </c>
      <c r="F17" s="3903">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07"/>
      <c r="B18" s="3918"/>
      <c r="C18" s="3904"/>
      <c r="D18" s="3225" t="s">
        <v>3208</v>
      </c>
      <c r="E18" s="3904"/>
      <c r="F18" s="3904"/>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07"/>
      <c r="B19" s="3894" t="s">
        <v>27</v>
      </c>
      <c r="C19" s="3894"/>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34" t="s">
        <v>3212</v>
      </c>
      <c r="B20" s="3909"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35"/>
      <c r="B21" s="3910"/>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35"/>
      <c r="B22" s="3910"/>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35"/>
      <c r="B23" s="3910"/>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35"/>
      <c r="B24" s="3911"/>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36"/>
      <c r="B25" s="3912" t="s">
        <v>3217</v>
      </c>
      <c r="C25" s="3913"/>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28" t="s">
        <v>3218</v>
      </c>
      <c r="B26" s="3926" t="s">
        <v>3219</v>
      </c>
      <c r="C26" s="3931" t="s">
        <v>3193</v>
      </c>
      <c r="D26" s="3241" t="s">
        <v>2997</v>
      </c>
      <c r="E26" s="3241">
        <v>4.8</v>
      </c>
      <c r="F26" s="3931">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28"/>
      <c r="B27" s="3937"/>
      <c r="C27" s="3932"/>
      <c r="D27" s="3241" t="s">
        <v>3221</v>
      </c>
      <c r="E27" s="3241">
        <v>4.5</v>
      </c>
      <c r="F27" s="3932"/>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28"/>
      <c r="B28" s="3937"/>
      <c r="C28" s="3933"/>
      <c r="D28" s="3241" t="s">
        <v>3223</v>
      </c>
      <c r="E28" s="3241">
        <v>3</v>
      </c>
      <c r="F28" s="3933"/>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28"/>
      <c r="B29" s="3937"/>
      <c r="C29" s="3926" t="s">
        <v>3225</v>
      </c>
      <c r="D29" s="3249" t="s">
        <v>3226</v>
      </c>
      <c r="E29" s="3926">
        <v>3</v>
      </c>
      <c r="F29" s="3926">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28"/>
      <c r="B30" s="3937"/>
      <c r="C30" s="3927"/>
      <c r="D30" s="3249" t="s">
        <v>3227</v>
      </c>
      <c r="E30" s="3927"/>
      <c r="F30" s="3927"/>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28"/>
      <c r="B31" s="3937"/>
      <c r="C31" s="3926" t="s">
        <v>3228</v>
      </c>
      <c r="D31" s="3249" t="s">
        <v>923</v>
      </c>
      <c r="E31" s="3926">
        <v>3</v>
      </c>
      <c r="F31" s="3926">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28"/>
      <c r="B32" s="3937"/>
      <c r="C32" s="3927"/>
      <c r="D32" s="3249" t="s">
        <v>3229</v>
      </c>
      <c r="E32" s="3927"/>
      <c r="F32" s="3927"/>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28"/>
      <c r="B33" s="3937"/>
      <c r="C33" s="3926" t="s">
        <v>3230</v>
      </c>
      <c r="D33" s="3249" t="s">
        <v>923</v>
      </c>
      <c r="E33" s="3926">
        <v>3</v>
      </c>
      <c r="F33" s="3926">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28"/>
      <c r="B34" s="3927"/>
      <c r="C34" s="3927"/>
      <c r="D34" s="3249" t="s">
        <v>3231</v>
      </c>
      <c r="E34" s="3927"/>
      <c r="F34" s="3927"/>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28"/>
      <c r="B35" s="3928" t="s">
        <v>27</v>
      </c>
      <c r="C35" s="3928"/>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23" t="s">
        <v>3232</v>
      </c>
      <c r="B36" s="3923" t="s">
        <v>3233</v>
      </c>
      <c r="C36" s="3923" t="s">
        <v>3234</v>
      </c>
      <c r="D36" s="3250" t="s">
        <v>3222</v>
      </c>
      <c r="E36" s="3251">
        <v>4.8</v>
      </c>
      <c r="F36" s="3923">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25"/>
      <c r="B37" s="3925"/>
      <c r="C37" s="3925"/>
      <c r="D37" s="3250" t="s">
        <v>3220</v>
      </c>
      <c r="E37" s="3929">
        <v>3</v>
      </c>
      <c r="F37" s="3925"/>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25"/>
      <c r="B38" s="3925"/>
      <c r="C38" s="3924"/>
      <c r="D38" s="3250" t="s">
        <v>3236</v>
      </c>
      <c r="E38" s="3930"/>
      <c r="F38" s="3924"/>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25"/>
      <c r="B39" s="3925"/>
      <c r="C39" s="3923" t="s">
        <v>3237</v>
      </c>
      <c r="D39" s="3250" t="s">
        <v>3238</v>
      </c>
      <c r="E39" s="3923">
        <v>3</v>
      </c>
      <c r="F39" s="3923">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25"/>
      <c r="B40" s="3925"/>
      <c r="C40" s="3924"/>
      <c r="D40" s="3250" t="s">
        <v>3239</v>
      </c>
      <c r="E40" s="3924"/>
      <c r="F40" s="3924"/>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25"/>
      <c r="B41" s="3925"/>
      <c r="C41" s="3923" t="s">
        <v>3240</v>
      </c>
      <c r="D41" s="3250" t="s">
        <v>923</v>
      </c>
      <c r="E41" s="3923">
        <v>3</v>
      </c>
      <c r="F41" s="3923">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25"/>
      <c r="B42" s="3925"/>
      <c r="C42" s="3924"/>
      <c r="D42" s="3250" t="s">
        <v>3236</v>
      </c>
      <c r="E42" s="3924"/>
      <c r="F42" s="3924"/>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25"/>
      <c r="B43" s="3925"/>
      <c r="C43" s="3923" t="s">
        <v>3241</v>
      </c>
      <c r="D43" s="3250" t="s">
        <v>923</v>
      </c>
      <c r="E43" s="3923">
        <v>3</v>
      </c>
      <c r="F43" s="3923">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25"/>
      <c r="B44" s="3925"/>
      <c r="C44" s="3924"/>
      <c r="D44" s="3250" t="s">
        <v>3236</v>
      </c>
      <c r="E44" s="3924"/>
      <c r="F44" s="3924"/>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25"/>
      <c r="B45" s="3925"/>
      <c r="C45" s="3923" t="s">
        <v>3242</v>
      </c>
      <c r="D45" s="3250" t="s">
        <v>923</v>
      </c>
      <c r="E45" s="3923">
        <v>3</v>
      </c>
      <c r="F45" s="3923">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25"/>
      <c r="B46" s="3924"/>
      <c r="C46" s="3924"/>
      <c r="D46" s="3250" t="s">
        <v>3236</v>
      </c>
      <c r="E46" s="3924"/>
      <c r="F46" s="3924"/>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24"/>
      <c r="B47" s="3921" t="s">
        <v>27</v>
      </c>
      <c r="C47" s="3921"/>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19" t="s">
        <v>3243</v>
      </c>
      <c r="B48" s="3919" t="s">
        <v>3244</v>
      </c>
      <c r="C48" s="3919" t="s">
        <v>3245</v>
      </c>
      <c r="D48" s="3257" t="s">
        <v>3246</v>
      </c>
      <c r="E48" s="3258">
        <v>4.8</v>
      </c>
      <c r="F48" s="3919">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22"/>
      <c r="B49" s="3922"/>
      <c r="C49" s="3922"/>
      <c r="D49" s="3257" t="s">
        <v>3247</v>
      </c>
      <c r="E49" s="3263">
        <v>3</v>
      </c>
      <c r="F49" s="3922"/>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22"/>
      <c r="B50" s="3922"/>
      <c r="C50" s="3920"/>
      <c r="D50" s="3257" t="s">
        <v>3248</v>
      </c>
      <c r="E50" s="3263"/>
      <c r="F50" s="3920"/>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22"/>
      <c r="B51" s="3922"/>
      <c r="C51" s="3919" t="s">
        <v>3249</v>
      </c>
      <c r="D51" s="3257" t="s">
        <v>3250</v>
      </c>
      <c r="E51" s="3919">
        <v>3</v>
      </c>
      <c r="F51" s="3919">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22"/>
      <c r="B52" s="3922"/>
      <c r="C52" s="3920"/>
      <c r="D52" s="3257" t="s">
        <v>3248</v>
      </c>
      <c r="E52" s="3920"/>
      <c r="F52" s="3920"/>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22"/>
      <c r="B53" s="3922"/>
      <c r="C53" s="3919" t="s">
        <v>3251</v>
      </c>
      <c r="D53" s="3257" t="s">
        <v>923</v>
      </c>
      <c r="E53" s="3919">
        <v>3</v>
      </c>
      <c r="F53" s="3919">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22"/>
      <c r="B54" s="3922"/>
      <c r="C54" s="3920"/>
      <c r="D54" s="3257" t="s">
        <v>3248</v>
      </c>
      <c r="E54" s="3920"/>
      <c r="F54" s="3920"/>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22"/>
      <c r="B55" s="3922"/>
      <c r="C55" s="3919" t="s">
        <v>3252</v>
      </c>
      <c r="D55" s="3257" t="s">
        <v>923</v>
      </c>
      <c r="E55" s="3919">
        <v>3</v>
      </c>
      <c r="F55" s="3919">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22"/>
      <c r="B56" s="3922"/>
      <c r="C56" s="3920"/>
      <c r="D56" s="3257" t="s">
        <v>3248</v>
      </c>
      <c r="E56" s="3920"/>
      <c r="F56" s="3920"/>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22"/>
      <c r="B57" s="3922"/>
      <c r="C57" s="3919" t="s">
        <v>3253</v>
      </c>
      <c r="D57" s="3257" t="s">
        <v>923</v>
      </c>
      <c r="E57" s="3919">
        <v>3</v>
      </c>
      <c r="F57" s="3919">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22"/>
      <c r="B58" s="3920"/>
      <c r="C58" s="3920"/>
      <c r="D58" s="3257" t="s">
        <v>3248</v>
      </c>
      <c r="E58" s="3920"/>
      <c r="F58" s="3920"/>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20"/>
      <c r="B59" s="3916" t="s">
        <v>27</v>
      </c>
      <c r="C59" s="3916"/>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00" t="s">
        <v>3254</v>
      </c>
      <c r="B60" s="3909"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01"/>
      <c r="B61" s="3910"/>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01"/>
      <c r="B62" s="3910"/>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01"/>
      <c r="B63" s="3910"/>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01"/>
      <c r="B64" s="3911"/>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02"/>
      <c r="B65" s="3912" t="s">
        <v>3258</v>
      </c>
      <c r="C65" s="3913"/>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19" t="s">
        <v>3259</v>
      </c>
      <c r="B66" s="3919" t="s">
        <v>3255</v>
      </c>
      <c r="C66" s="3919" t="s">
        <v>3256</v>
      </c>
      <c r="D66" s="3257" t="s">
        <v>3257</v>
      </c>
      <c r="E66" s="3258">
        <v>4.8</v>
      </c>
      <c r="F66" s="3919">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22"/>
      <c r="B67" s="3922"/>
      <c r="C67" s="3922"/>
      <c r="D67" s="3257" t="s">
        <v>3250</v>
      </c>
      <c r="E67" s="3263">
        <v>3</v>
      </c>
      <c r="F67" s="3922"/>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22"/>
      <c r="B68" s="3922"/>
      <c r="C68" s="3919" t="s">
        <v>3249</v>
      </c>
      <c r="D68" s="3257" t="s">
        <v>3250</v>
      </c>
      <c r="E68" s="3919">
        <v>3</v>
      </c>
      <c r="F68" s="3919">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22"/>
      <c r="B69" s="3922"/>
      <c r="C69" s="3920"/>
      <c r="D69" s="3257" t="s">
        <v>3248</v>
      </c>
      <c r="E69" s="3920"/>
      <c r="F69" s="3920"/>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22"/>
      <c r="B70" s="3922"/>
      <c r="C70" s="3919" t="s">
        <v>3251</v>
      </c>
      <c r="D70" s="3257" t="s">
        <v>923</v>
      </c>
      <c r="E70" s="3919">
        <v>3</v>
      </c>
      <c r="F70" s="3919">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22"/>
      <c r="B71" s="3922"/>
      <c r="C71" s="3920"/>
      <c r="D71" s="3257" t="s">
        <v>3248</v>
      </c>
      <c r="E71" s="3920"/>
      <c r="F71" s="3920"/>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22"/>
      <c r="B72" s="3922"/>
      <c r="C72" s="3919" t="s">
        <v>3252</v>
      </c>
      <c r="D72" s="3257" t="s">
        <v>923</v>
      </c>
      <c r="E72" s="3919">
        <v>3</v>
      </c>
      <c r="F72" s="3919">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22"/>
      <c r="B73" s="3922"/>
      <c r="C73" s="3920"/>
      <c r="D73" s="3257" t="s">
        <v>3248</v>
      </c>
      <c r="E73" s="3920"/>
      <c r="F73" s="3920"/>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22"/>
      <c r="B74" s="3922"/>
      <c r="C74" s="3919" t="s">
        <v>3253</v>
      </c>
      <c r="D74" s="3257" t="s">
        <v>923</v>
      </c>
      <c r="E74" s="3919">
        <v>3</v>
      </c>
      <c r="F74" s="3919">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22"/>
      <c r="B75" s="3920"/>
      <c r="C75" s="3920"/>
      <c r="D75" s="3257" t="s">
        <v>3248</v>
      </c>
      <c r="E75" s="3920"/>
      <c r="F75" s="3920"/>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20"/>
      <c r="B76" s="3916" t="s">
        <v>27</v>
      </c>
      <c r="C76" s="3916"/>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23" t="s">
        <v>3260</v>
      </c>
      <c r="B77" s="3923" t="s">
        <v>3255</v>
      </c>
      <c r="C77" s="3923" t="s">
        <v>3256</v>
      </c>
      <c r="D77" s="3250" t="s">
        <v>3257</v>
      </c>
      <c r="E77" s="3251">
        <v>4.8</v>
      </c>
      <c r="F77" s="3923">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25"/>
      <c r="B78" s="3925"/>
      <c r="C78" s="3925"/>
      <c r="D78" s="3250" t="s">
        <v>3250</v>
      </c>
      <c r="E78" s="3264">
        <v>3</v>
      </c>
      <c r="F78" s="3925"/>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25"/>
      <c r="B79" s="3925"/>
      <c r="C79" s="3924"/>
      <c r="D79" s="3250" t="s">
        <v>3248</v>
      </c>
      <c r="E79" s="3264"/>
      <c r="F79" s="3924"/>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25"/>
      <c r="B80" s="3925"/>
      <c r="C80" s="3923" t="s">
        <v>3249</v>
      </c>
      <c r="D80" s="3250" t="s">
        <v>3250</v>
      </c>
      <c r="E80" s="3923">
        <v>3</v>
      </c>
      <c r="F80" s="3923">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25"/>
      <c r="B81" s="3925"/>
      <c r="C81" s="3924"/>
      <c r="D81" s="3250" t="s">
        <v>3248</v>
      </c>
      <c r="E81" s="3924"/>
      <c r="F81" s="3924"/>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25"/>
      <c r="B82" s="3925"/>
      <c r="C82" s="3923" t="s">
        <v>3251</v>
      </c>
      <c r="D82" s="3250" t="s">
        <v>923</v>
      </c>
      <c r="E82" s="3923">
        <v>3</v>
      </c>
      <c r="F82" s="3923">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25"/>
      <c r="B83" s="3925"/>
      <c r="C83" s="3924"/>
      <c r="D83" s="3250" t="s">
        <v>3248</v>
      </c>
      <c r="E83" s="3924"/>
      <c r="F83" s="3924"/>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25"/>
      <c r="B84" s="3925"/>
      <c r="C84" s="3923" t="s">
        <v>3252</v>
      </c>
      <c r="D84" s="3250" t="s">
        <v>923</v>
      </c>
      <c r="E84" s="3923">
        <v>3</v>
      </c>
      <c r="F84" s="3923">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25"/>
      <c r="B85" s="3925"/>
      <c r="C85" s="3924"/>
      <c r="D85" s="3250" t="s">
        <v>3248</v>
      </c>
      <c r="E85" s="3924"/>
      <c r="F85" s="3924"/>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25"/>
      <c r="B86" s="3925"/>
      <c r="C86" s="3923" t="s">
        <v>3253</v>
      </c>
      <c r="D86" s="3250" t="s">
        <v>923</v>
      </c>
      <c r="E86" s="3923">
        <v>3</v>
      </c>
      <c r="F86" s="3923">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25"/>
      <c r="B87" s="3924"/>
      <c r="C87" s="3924"/>
      <c r="D87" s="3250" t="s">
        <v>3248</v>
      </c>
      <c r="E87" s="3924"/>
      <c r="F87" s="3924"/>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24"/>
      <c r="B88" s="3921" t="s">
        <v>27</v>
      </c>
      <c r="C88" s="3921"/>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00" t="s">
        <v>3261</v>
      </c>
      <c r="B89" s="3909"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01"/>
      <c r="B90" s="3910"/>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01"/>
      <c r="B91" s="3910"/>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01"/>
      <c r="B92" s="3910"/>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01"/>
      <c r="B93" s="3911"/>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02"/>
      <c r="B94" s="3912" t="s">
        <v>3258</v>
      </c>
      <c r="C94" s="3913"/>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00" t="s">
        <v>3262</v>
      </c>
      <c r="B95" s="3909"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01"/>
      <c r="B96" s="3910"/>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01"/>
      <c r="B97" s="3910"/>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01"/>
      <c r="B98" s="3910"/>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01"/>
      <c r="B99" s="3911"/>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02"/>
      <c r="B100" s="3912" t="s">
        <v>3258</v>
      </c>
      <c r="C100" s="3913"/>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23" t="s">
        <v>3263</v>
      </c>
      <c r="B101" s="3923" t="s">
        <v>3255</v>
      </c>
      <c r="C101" s="3923" t="s">
        <v>3256</v>
      </c>
      <c r="D101" s="3250" t="s">
        <v>3257</v>
      </c>
      <c r="E101" s="3251">
        <v>4.8</v>
      </c>
      <c r="F101" s="3923">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25"/>
      <c r="B102" s="3925"/>
      <c r="C102" s="3925"/>
      <c r="D102" s="3250" t="s">
        <v>3250</v>
      </c>
      <c r="E102" s="3264">
        <v>3</v>
      </c>
      <c r="F102" s="3925"/>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25"/>
      <c r="B103" s="3925"/>
      <c r="C103" s="3924"/>
      <c r="D103" s="3250" t="s">
        <v>3248</v>
      </c>
      <c r="E103" s="3264"/>
      <c r="F103" s="3924"/>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25"/>
      <c r="B104" s="3925"/>
      <c r="C104" s="3923" t="s">
        <v>3249</v>
      </c>
      <c r="D104" s="3250" t="s">
        <v>3250</v>
      </c>
      <c r="E104" s="3923">
        <v>3</v>
      </c>
      <c r="F104" s="3923">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25"/>
      <c r="B105" s="3925"/>
      <c r="C105" s="3924"/>
      <c r="D105" s="3250" t="s">
        <v>3248</v>
      </c>
      <c r="E105" s="3924"/>
      <c r="F105" s="3924"/>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25"/>
      <c r="B106" s="3925"/>
      <c r="C106" s="3923" t="s">
        <v>3251</v>
      </c>
      <c r="D106" s="3250" t="s">
        <v>923</v>
      </c>
      <c r="E106" s="3923">
        <v>3</v>
      </c>
      <c r="F106" s="3923">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25"/>
      <c r="B107" s="3925"/>
      <c r="C107" s="3924"/>
      <c r="D107" s="3250" t="s">
        <v>3248</v>
      </c>
      <c r="E107" s="3924"/>
      <c r="F107" s="3924"/>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25"/>
      <c r="B108" s="3925"/>
      <c r="C108" s="3923" t="s">
        <v>3252</v>
      </c>
      <c r="D108" s="3250" t="s">
        <v>923</v>
      </c>
      <c r="E108" s="3923">
        <v>3</v>
      </c>
      <c r="F108" s="3923">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25"/>
      <c r="B109" s="3925"/>
      <c r="C109" s="3924"/>
      <c r="D109" s="3250" t="s">
        <v>3248</v>
      </c>
      <c r="E109" s="3924"/>
      <c r="F109" s="3924"/>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25"/>
      <c r="B110" s="3925"/>
      <c r="C110" s="3923" t="s">
        <v>3253</v>
      </c>
      <c r="D110" s="3250" t="s">
        <v>923</v>
      </c>
      <c r="E110" s="3923">
        <v>3</v>
      </c>
      <c r="F110" s="3923">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25"/>
      <c r="B111" s="3924"/>
      <c r="C111" s="3924"/>
      <c r="D111" s="3250" t="s">
        <v>3248</v>
      </c>
      <c r="E111" s="3924"/>
      <c r="F111" s="3924"/>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24"/>
      <c r="B112" s="3921" t="s">
        <v>27</v>
      </c>
      <c r="C112" s="3921"/>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19" t="s">
        <v>3264</v>
      </c>
      <c r="B113" s="3919" t="s">
        <v>3255</v>
      </c>
      <c r="C113" s="3919" t="s">
        <v>3256</v>
      </c>
      <c r="D113" s="3257" t="s">
        <v>3257</v>
      </c>
      <c r="E113" s="3258">
        <v>4.8</v>
      </c>
      <c r="F113" s="3919">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22"/>
      <c r="B114" s="3922"/>
      <c r="C114" s="3922"/>
      <c r="D114" s="3257" t="s">
        <v>3265</v>
      </c>
      <c r="E114" s="3263">
        <v>3</v>
      </c>
      <c r="F114" s="3922"/>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22"/>
      <c r="B115" s="3922"/>
      <c r="C115" s="3920"/>
      <c r="D115" s="3257" t="s">
        <v>3266</v>
      </c>
      <c r="E115" s="3263">
        <v>3</v>
      </c>
      <c r="F115" s="3920"/>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22"/>
      <c r="B116" s="3922"/>
      <c r="C116" s="3919" t="s">
        <v>3249</v>
      </c>
      <c r="D116" s="3257" t="s">
        <v>3250</v>
      </c>
      <c r="E116" s="3919">
        <v>3</v>
      </c>
      <c r="F116" s="3919">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22"/>
      <c r="B117" s="3922"/>
      <c r="C117" s="3920"/>
      <c r="D117" s="3257" t="s">
        <v>3248</v>
      </c>
      <c r="E117" s="3920"/>
      <c r="F117" s="3920"/>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22"/>
      <c r="B118" s="3922"/>
      <c r="C118" s="3919" t="s">
        <v>3251</v>
      </c>
      <c r="D118" s="3257" t="s">
        <v>923</v>
      </c>
      <c r="E118" s="3919">
        <v>3</v>
      </c>
      <c r="F118" s="3919">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22"/>
      <c r="B119" s="3922"/>
      <c r="C119" s="3920"/>
      <c r="D119" s="3257" t="s">
        <v>3248</v>
      </c>
      <c r="E119" s="3920"/>
      <c r="F119" s="3920"/>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22"/>
      <c r="B120" s="3922"/>
      <c r="C120" s="3919" t="s">
        <v>3268</v>
      </c>
      <c r="D120" s="3257" t="s">
        <v>923</v>
      </c>
      <c r="E120" s="3919">
        <v>3</v>
      </c>
      <c r="F120" s="3919">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22"/>
      <c r="B121" s="3922"/>
      <c r="C121" s="3920"/>
      <c r="D121" s="3257" t="s">
        <v>3248</v>
      </c>
      <c r="E121" s="3920"/>
      <c r="F121" s="3920"/>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22"/>
      <c r="B122" s="3922"/>
      <c r="C122" s="3919" t="s">
        <v>3269</v>
      </c>
      <c r="D122" s="3257" t="s">
        <v>923</v>
      </c>
      <c r="E122" s="3919">
        <v>3</v>
      </c>
      <c r="F122" s="3919">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22"/>
      <c r="B123" s="3920"/>
      <c r="C123" s="3920"/>
      <c r="D123" s="3257" t="s">
        <v>3248</v>
      </c>
      <c r="E123" s="3920"/>
      <c r="F123" s="3920"/>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20"/>
      <c r="B124" s="3916" t="s">
        <v>27</v>
      </c>
      <c r="C124" s="3916"/>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00" t="s">
        <v>3270</v>
      </c>
      <c r="B125" s="3903" t="s">
        <v>3255</v>
      </c>
      <c r="C125" s="3894" t="s">
        <v>3256</v>
      </c>
      <c r="D125" s="3225" t="s">
        <v>3257</v>
      </c>
      <c r="E125" s="3266">
        <v>4.8</v>
      </c>
      <c r="F125" s="3903">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01"/>
      <c r="B126" s="3908"/>
      <c r="C126" s="3894"/>
      <c r="D126" s="3225" t="s">
        <v>3266</v>
      </c>
      <c r="E126" s="3266">
        <v>6</v>
      </c>
      <c r="F126" s="3908"/>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01"/>
      <c r="B127" s="3908"/>
      <c r="C127" s="3894"/>
      <c r="D127" s="3225" t="s">
        <v>3265</v>
      </c>
      <c r="E127" s="3266">
        <v>3</v>
      </c>
      <c r="F127" s="3908"/>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01"/>
      <c r="B128" s="3908"/>
      <c r="C128" s="3908" t="s">
        <v>3249</v>
      </c>
      <c r="D128" s="3225" t="s">
        <v>3250</v>
      </c>
      <c r="E128" s="3917">
        <v>3</v>
      </c>
      <c r="F128" s="3908">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01"/>
      <c r="B129" s="3908"/>
      <c r="C129" s="3904"/>
      <c r="D129" s="3225" t="s">
        <v>3248</v>
      </c>
      <c r="E129" s="3918"/>
      <c r="F129" s="3904"/>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01"/>
      <c r="B130" s="3908"/>
      <c r="C130" s="3903" t="s">
        <v>3251</v>
      </c>
      <c r="D130" s="3225" t="s">
        <v>923</v>
      </c>
      <c r="E130" s="3903">
        <v>3</v>
      </c>
      <c r="F130" s="3903">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01"/>
      <c r="B131" s="3908"/>
      <c r="C131" s="3904"/>
      <c r="D131" s="3225" t="s">
        <v>3248</v>
      </c>
      <c r="E131" s="3904"/>
      <c r="F131" s="3904"/>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01"/>
      <c r="B132" s="3908"/>
      <c r="C132" s="3903" t="s">
        <v>3252</v>
      </c>
      <c r="D132" s="3225" t="s">
        <v>923</v>
      </c>
      <c r="E132" s="3903">
        <v>3</v>
      </c>
      <c r="F132" s="3903">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01"/>
      <c r="B133" s="3908"/>
      <c r="C133" s="3904"/>
      <c r="D133" s="3225" t="s">
        <v>3248</v>
      </c>
      <c r="E133" s="3904"/>
      <c r="F133" s="3904"/>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01"/>
      <c r="B134" s="3908"/>
      <c r="C134" s="3903" t="s">
        <v>3253</v>
      </c>
      <c r="D134" s="3225" t="s">
        <v>923</v>
      </c>
      <c r="E134" s="3903">
        <v>3</v>
      </c>
      <c r="F134" s="3903">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01"/>
      <c r="B135" s="3904"/>
      <c r="C135" s="3904"/>
      <c r="D135" s="3225" t="s">
        <v>3248</v>
      </c>
      <c r="E135" s="3904"/>
      <c r="F135" s="3904"/>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02"/>
      <c r="B136" s="3894" t="s">
        <v>3258</v>
      </c>
      <c r="C136" s="3894"/>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00" t="s">
        <v>3271</v>
      </c>
      <c r="B137" s="3903"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01"/>
      <c r="B138" s="3908"/>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01"/>
      <c r="B139" s="3904"/>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02"/>
      <c r="B140" s="3914" t="s">
        <v>3258</v>
      </c>
      <c r="C140" s="3915"/>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00" t="s">
        <v>3274</v>
      </c>
      <c r="B141" s="3909"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01"/>
      <c r="B142" s="3910"/>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01"/>
      <c r="B143" s="3910"/>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01"/>
      <c r="B144" s="3910"/>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01"/>
      <c r="B145" s="3911"/>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02"/>
      <c r="B146" s="3912" t="s">
        <v>3258</v>
      </c>
      <c r="C146" s="3913"/>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00" t="s">
        <v>3276</v>
      </c>
      <c r="B147" s="3909"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01"/>
      <c r="B148" s="3910"/>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01"/>
      <c r="B149" s="3910"/>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01"/>
      <c r="B150" s="3910"/>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01"/>
      <c r="B151" s="3911"/>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02"/>
      <c r="B152" s="3912" t="s">
        <v>3258</v>
      </c>
      <c r="C152" s="3913"/>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00" t="s">
        <v>3277</v>
      </c>
      <c r="B153" s="3909"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01"/>
      <c r="B154" s="3910"/>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01"/>
      <c r="B155" s="3910"/>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01"/>
      <c r="B156" s="3910"/>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01"/>
      <c r="B157" s="3911"/>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02"/>
      <c r="B158" s="3912" t="s">
        <v>3258</v>
      </c>
      <c r="C158" s="3913"/>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00" t="s">
        <v>3278</v>
      </c>
      <c r="B159" s="3903" t="s">
        <v>3255</v>
      </c>
      <c r="C159" s="3903" t="s">
        <v>3256</v>
      </c>
      <c r="D159" s="3225" t="s">
        <v>3257</v>
      </c>
      <c r="E159" s="3213">
        <v>4.8</v>
      </c>
      <c r="F159" s="3903">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01"/>
      <c r="B160" s="3908"/>
      <c r="C160" s="3908"/>
      <c r="D160" s="3225" t="s">
        <v>3265</v>
      </c>
      <c r="E160" s="3266">
        <v>3</v>
      </c>
      <c r="F160" s="3908"/>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01"/>
      <c r="B161" s="3908"/>
      <c r="C161" s="3908"/>
      <c r="D161" s="3225" t="s">
        <v>3248</v>
      </c>
      <c r="E161" s="3266">
        <v>3</v>
      </c>
      <c r="F161" s="3908"/>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01"/>
      <c r="B162" s="3908"/>
      <c r="C162" s="3904"/>
      <c r="D162" s="3225" t="s">
        <v>3266</v>
      </c>
      <c r="E162" s="3266">
        <v>6</v>
      </c>
      <c r="F162" s="3904"/>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01"/>
      <c r="B163" s="3908"/>
      <c r="C163" s="3903" t="s">
        <v>3249</v>
      </c>
      <c r="D163" s="3225" t="s">
        <v>3250</v>
      </c>
      <c r="E163" s="3903">
        <v>3</v>
      </c>
      <c r="F163" s="3903">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01"/>
      <c r="B164" s="3908"/>
      <c r="C164" s="3904"/>
      <c r="D164" s="3225" t="s">
        <v>3248</v>
      </c>
      <c r="E164" s="3904"/>
      <c r="F164" s="3904"/>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01"/>
      <c r="B165" s="3908"/>
      <c r="C165" s="3903" t="s">
        <v>3251</v>
      </c>
      <c r="D165" s="3225" t="s">
        <v>923</v>
      </c>
      <c r="E165" s="3903">
        <v>3</v>
      </c>
      <c r="F165" s="3903">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01"/>
      <c r="B166" s="3908"/>
      <c r="C166" s="3904"/>
      <c r="D166" s="3225" t="s">
        <v>3248</v>
      </c>
      <c r="E166" s="3904"/>
      <c r="F166" s="3904"/>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01"/>
      <c r="B167" s="3908"/>
      <c r="C167" s="3903" t="s">
        <v>3252</v>
      </c>
      <c r="D167" s="3225" t="s">
        <v>923</v>
      </c>
      <c r="E167" s="3903">
        <v>3</v>
      </c>
      <c r="F167" s="3903">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01"/>
      <c r="B168" s="3908"/>
      <c r="C168" s="3904"/>
      <c r="D168" s="3225" t="s">
        <v>3248</v>
      </c>
      <c r="E168" s="3904"/>
      <c r="F168" s="3904"/>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01"/>
      <c r="B169" s="3908"/>
      <c r="C169" s="3903" t="s">
        <v>3253</v>
      </c>
      <c r="D169" s="3225" t="s">
        <v>923</v>
      </c>
      <c r="E169" s="3903">
        <v>3</v>
      </c>
      <c r="F169" s="3903">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01"/>
      <c r="B170" s="3904"/>
      <c r="C170" s="3904"/>
      <c r="D170" s="3225" t="s">
        <v>3248</v>
      </c>
      <c r="E170" s="3904"/>
      <c r="F170" s="3904"/>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02"/>
      <c r="B171" s="3894" t="s">
        <v>27</v>
      </c>
      <c r="C171" s="3894"/>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00" t="s">
        <v>3279</v>
      </c>
      <c r="B172" s="3900" t="s">
        <v>3280</v>
      </c>
      <c r="C172" s="3903"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01"/>
      <c r="B173" s="3902"/>
      <c r="C173" s="3904"/>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01"/>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02"/>
      <c r="B175" s="3905" t="s">
        <v>3258</v>
      </c>
      <c r="C175" s="3906"/>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07" t="s">
        <v>3284</v>
      </c>
      <c r="B176" s="3894" t="s">
        <v>3285</v>
      </c>
      <c r="C176" s="3894" t="s">
        <v>3286</v>
      </c>
      <c r="D176" s="3225" t="s">
        <v>2998</v>
      </c>
      <c r="E176" s="3894">
        <v>3.7</v>
      </c>
      <c r="F176" s="3894">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07"/>
      <c r="B177" s="3894"/>
      <c r="C177" s="3894"/>
      <c r="D177" s="3225" t="s">
        <v>3288</v>
      </c>
      <c r="E177" s="3894"/>
      <c r="F177" s="3894"/>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07"/>
      <c r="B178" s="3894" t="s">
        <v>27</v>
      </c>
      <c r="C178" s="3894"/>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895" t="s">
        <v>3290</v>
      </c>
      <c r="B179" s="3895"/>
      <c r="C179" s="3895"/>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896" t="s">
        <v>3291</v>
      </c>
      <c r="B180" s="3896"/>
      <c r="C180" s="3896"/>
      <c r="D180" s="3896"/>
      <c r="E180" s="3896"/>
      <c r="F180" s="3896"/>
      <c r="G180" s="3896"/>
      <c r="H180" s="3896"/>
      <c r="I180" s="3896"/>
      <c r="J180" s="3896"/>
      <c r="K180" s="3896"/>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897" t="s">
        <v>3292</v>
      </c>
    </row>
    <row r="202" spans="1:21" ht="14.25" hidden="1">
      <c r="A202" s="3290"/>
      <c r="B202" s="3291"/>
      <c r="C202" s="3291"/>
      <c r="D202" s="3291"/>
      <c r="E202" s="3291"/>
      <c r="F202" s="3291"/>
      <c r="G202" s="3292"/>
      <c r="H202" s="3291"/>
      <c r="I202" s="3292"/>
      <c r="J202" s="3291"/>
      <c r="K202" s="3291"/>
      <c r="L202" s="3291"/>
      <c r="M202" s="3291"/>
      <c r="U202" s="3898"/>
    </row>
    <row r="203" spans="1:21" ht="14.25" hidden="1">
      <c r="A203" s="3290"/>
      <c r="B203" s="3291"/>
      <c r="C203" s="3291"/>
      <c r="D203" s="3291"/>
      <c r="E203" s="3291"/>
      <c r="F203" s="3291"/>
      <c r="G203" s="3292"/>
      <c r="H203" s="3291"/>
      <c r="I203" s="3292"/>
      <c r="J203" s="3291"/>
      <c r="K203" s="3291"/>
      <c r="L203" s="3291"/>
      <c r="M203" s="3291"/>
      <c r="U203" s="3898"/>
    </row>
    <row r="204" spans="1:21" ht="14.25" hidden="1">
      <c r="A204" s="3290"/>
      <c r="B204" s="3291"/>
      <c r="C204" s="3291"/>
      <c r="D204" s="3291"/>
      <c r="E204" s="3291"/>
      <c r="F204" s="3291"/>
      <c r="G204" s="3292"/>
      <c r="H204" s="3291"/>
      <c r="I204" s="3292"/>
      <c r="J204" s="3291"/>
      <c r="K204" s="3291"/>
      <c r="L204" s="3291"/>
      <c r="M204" s="3291"/>
      <c r="U204" s="3899"/>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5"/>
  <sheetViews>
    <sheetView tabSelected="1" workbookViewId="0">
      <selection activeCell="H21" sqref="H21"/>
    </sheetView>
  </sheetViews>
  <sheetFormatPr defaultRowHeight="13.5"/>
  <cols>
    <col min="1" max="1" width="4.25" customWidth="1"/>
    <col min="2" max="2" width="8.125" customWidth="1"/>
    <col min="3" max="3" width="13.75" customWidth="1"/>
    <col min="4" max="4" width="12.125" customWidth="1"/>
    <col min="5" max="5" width="17" style="3772" customWidth="1"/>
    <col min="6" max="6" width="9" style="3768"/>
    <col min="7" max="7" width="12.75" style="3768" bestFit="1" customWidth="1"/>
    <col min="8" max="8" width="9" style="3772"/>
    <col min="9" max="9" width="8" style="3758" customWidth="1"/>
    <col min="10" max="10" width="9" style="3762"/>
    <col min="11" max="11" width="8.5" style="3758" customWidth="1"/>
    <col min="12" max="12" width="9" style="3758"/>
    <col min="13" max="13" width="9.25" style="3762" bestFit="1" customWidth="1"/>
    <col min="14" max="14" width="10.75" customWidth="1"/>
    <col min="15" max="15" width="9" style="3758"/>
  </cols>
  <sheetData>
    <row r="1" spans="1:16" ht="21">
      <c r="A1" s="3944" t="s">
        <v>3583</v>
      </c>
      <c r="B1" s="3944"/>
      <c r="C1" s="3944"/>
      <c r="D1" s="3944"/>
      <c r="E1" s="3944"/>
      <c r="F1" s="3944"/>
      <c r="G1" s="3944"/>
      <c r="H1" s="3944"/>
      <c r="I1" s="3944"/>
      <c r="J1" s="3944"/>
      <c r="K1" s="3944"/>
      <c r="L1" s="3944"/>
      <c r="M1" s="3944"/>
      <c r="N1" s="3944"/>
      <c r="O1" s="3944"/>
      <c r="P1" s="3944"/>
    </row>
    <row r="2" spans="1:16" ht="16.5">
      <c r="A2" s="3745"/>
      <c r="B2" s="3745"/>
      <c r="C2" s="3745"/>
      <c r="D2" s="3745"/>
      <c r="E2" s="3769"/>
      <c r="F2" s="3764"/>
      <c r="G2" s="3764"/>
      <c r="H2" s="3769"/>
      <c r="I2" s="3755"/>
      <c r="J2" s="3759"/>
      <c r="K2" s="3755"/>
      <c r="L2" s="3755"/>
      <c r="M2" s="3759"/>
      <c r="N2" s="3746"/>
      <c r="O2" s="3755"/>
      <c r="P2" s="3745" t="s">
        <v>3584</v>
      </c>
    </row>
    <row r="3" spans="1:16" ht="16.5">
      <c r="A3" s="3747" t="s">
        <v>3585</v>
      </c>
      <c r="B3" s="3747" t="s">
        <v>3586</v>
      </c>
      <c r="C3" s="3747" t="s">
        <v>3587</v>
      </c>
      <c r="D3" s="3747" t="s">
        <v>3588</v>
      </c>
      <c r="E3" s="3770" t="str">
        <f>[2]高十指标计算书!D44</f>
        <v>居住</v>
      </c>
      <c r="F3" s="3765" t="str">
        <f>[2]高十指标计算书!D42</f>
        <v>商业</v>
      </c>
      <c r="G3" s="3765" t="str">
        <f>[2]高十指标计算书!D43</f>
        <v>商烟</v>
      </c>
      <c r="H3" s="3770" t="str">
        <f>[2]高十指标计算书!D56</f>
        <v>梯帽</v>
      </c>
      <c r="I3" s="3756" t="str">
        <f>[2]高十指标计算书!D45</f>
        <v>物管用房</v>
      </c>
      <c r="J3" s="3760" t="str">
        <f>[2]高十指标计算书!D77</f>
        <v>架空层</v>
      </c>
      <c r="K3" s="3756" t="str">
        <f>[2]高十指标计算书!D41</f>
        <v>公厕</v>
      </c>
      <c r="L3" s="3756" t="str">
        <f>[2]高十指标计算书!D132</f>
        <v>消控室</v>
      </c>
      <c r="M3" s="3760" t="str">
        <f>[2]高十指标计算书!D134</f>
        <v>设备用房</v>
      </c>
      <c r="N3" s="3748" t="str">
        <f>[2]高十指标计算书!D133</f>
        <v>车库</v>
      </c>
      <c r="O3" s="3756" t="s">
        <v>3589</v>
      </c>
      <c r="P3" s="3747" t="s">
        <v>3590</v>
      </c>
    </row>
    <row r="4" spans="1:16" ht="16.5">
      <c r="A4" s="3749">
        <v>1</v>
      </c>
      <c r="B4" s="3749" t="s">
        <v>3591</v>
      </c>
      <c r="C4" s="3750">
        <f>SUM(E4:O4)</f>
        <v>22435.82</v>
      </c>
      <c r="D4" s="3750">
        <f>C4-J4-L4-M4-N4</f>
        <v>22435.82</v>
      </c>
      <c r="E4" s="3771">
        <f>SUMPRODUCT(([2]高十指标计算书!$A$40:$A$137=[2]高十楼栋面积表!$B4)*([2]高十指标计算书!$D$40:$D$137=[2]高十楼栋面积表!E$3)*[2]高十指标计算书!$H$40:$H$137)</f>
        <v>20118.77</v>
      </c>
      <c r="F4" s="3766">
        <f>SUMPRODUCT(([2]高十指标计算书!$A$40:$A$137=[2]高十楼栋面积表!$B4)*([2]高十指标计算书!$D$40:$D$137=[2]高十楼栋面积表!F$3)*[2]高十指标计算书!$H$40:$H$137)</f>
        <v>1808.14</v>
      </c>
      <c r="G4" s="3766">
        <f>SUMPRODUCT(([2]高十指标计算书!$A$40:$A$137=[2]高十楼栋面积表!$B4)*([2]高十指标计算书!$D$40:$D$137=[2]高十楼栋面积表!G$3)*[2]高十指标计算书!$H$40:$H$137)</f>
        <v>71.660000000000011</v>
      </c>
      <c r="H4" s="3771">
        <f>SUMPRODUCT(([2]高十指标计算书!$A$40:$A$137=[2]高十楼栋面积表!$B4)*([2]高十指标计算书!$D$40:$D$137=[2]高十楼栋面积表!H$3)*[2]高十指标计算书!$H$40:$H$137)</f>
        <v>97.12</v>
      </c>
      <c r="I4" s="3757">
        <f>SUMPRODUCT(([2]高十指标计算书!$A$40:$A$137=[2]高十楼栋面积表!$B4)*([2]高十指标计算书!$D$40:$D$137=[2]高十楼栋面积表!I$3)*[2]高十指标计算书!$H$40:$H$137)</f>
        <v>219.72</v>
      </c>
      <c r="J4" s="3761">
        <f>SUMPRODUCT(([2]高十指标计算书!$A$40:$A$137=[2]高十楼栋面积表!$B4)*([2]高十指标计算书!$D$40:$D$137=[2]高十楼栋面积表!J$3)*[2]高十指标计算书!$H$40:$H$137)</f>
        <v>0</v>
      </c>
      <c r="K4" s="3757">
        <f>SUMPRODUCT(([2]高十指标计算书!$A$40:$A$137=[2]高十楼栋面积表!$B4)*([2]高十指标计算书!$D$40:$D$137=[2]高十楼栋面积表!K$3)*[2]高十指标计算书!$H$40:$H$137)</f>
        <v>120.41</v>
      </c>
      <c r="L4" s="3757">
        <f>SUMPRODUCT(([2]高十指标计算书!$A$40:$A$137=[2]高十楼栋面积表!$B4)*([2]高十指标计算书!$D$40:$D$137=[2]高十楼栋面积表!L$3)*[2]高十指标计算书!$H$40:$H$137)</f>
        <v>0</v>
      </c>
      <c r="M4" s="3761">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7">
        <f>SUMPRODUCT(([2]高十指标计算书!$A$40:$A$137=[2]高十楼栋面积表!$B4)*([2]高十指标计算书!$D$40:$D$137=[2]高十楼栋面积表!O$3)*[2]高十指标计算书!$H$40:$H$137)</f>
        <v>0</v>
      </c>
      <c r="P4" s="3749"/>
    </row>
    <row r="5" spans="1:16" ht="16.5">
      <c r="A5" s="3749">
        <v>2</v>
      </c>
      <c r="B5" s="3749" t="s">
        <v>3592</v>
      </c>
      <c r="C5" s="3750">
        <f>SUM(E5:O5)</f>
        <v>22521.479999999996</v>
      </c>
      <c r="D5" s="3750">
        <f>C5-J5-L5-M5-N5</f>
        <v>22521.479999999996</v>
      </c>
      <c r="E5" s="3771">
        <f>SUMPRODUCT(([2]高十指标计算书!$A$40:$A$137=[2]高十楼栋面积表!$B5)*([2]高十指标计算书!$D$40:$D$137=[2]高十楼栋面积表!E$3)*[2]高十指标计算书!$H$40:$H$137)</f>
        <v>20522.399999999998</v>
      </c>
      <c r="F5" s="3766">
        <f>SUMPRODUCT(([2]高十指标计算书!$A$40:$A$137=[2]高十楼栋面积表!$B5)*([2]高十指标计算书!$D$40:$D$137=[2]高十楼栋面积表!F$3)*[2]高十指标计算书!$H$40:$H$137)</f>
        <v>1814.1200000000001</v>
      </c>
      <c r="G5" s="3766">
        <f>SUMPRODUCT(([2]高十指标计算书!$A$40:$A$137=[2]高十楼栋面积表!$B5)*([2]高十指标计算书!$D$40:$D$137=[2]高十楼栋面积表!G$3)*[2]高十指标计算书!$H$40:$H$137)</f>
        <v>87.84</v>
      </c>
      <c r="H5" s="3771">
        <f>SUMPRODUCT(([2]高十指标计算书!$A$40:$A$137=[2]高十楼栋面积表!$B5)*([2]高十指标计算书!$D$40:$D$137=[2]高十楼栋面积表!H$3)*[2]高十指标计算书!$H$40:$H$137)</f>
        <v>97.12</v>
      </c>
      <c r="I5" s="3757">
        <f>SUMPRODUCT(([2]高十指标计算书!$A$40:$A$137=[2]高十楼栋面积表!$B5)*([2]高十指标计算书!$D$40:$D$137=[2]高十楼栋面积表!I$3)*[2]高十指标计算书!$H$40:$H$137)</f>
        <v>0</v>
      </c>
      <c r="J5" s="3761">
        <f>SUMPRODUCT(([2]高十指标计算书!$A$40:$A$137=[2]高十楼栋面积表!$B5)*([2]高十指标计算书!$D$40:$D$137=[2]高十楼栋面积表!J$3)*[2]高十指标计算书!$H$40:$H$137)</f>
        <v>0</v>
      </c>
      <c r="K5" s="3757">
        <f>SUMPRODUCT(([2]高十指标计算书!$A$40:$A$137=[2]高十楼栋面积表!$B5)*([2]高十指标计算书!$D$40:$D$137=[2]高十楼栋面积表!K$3)*[2]高十指标计算书!$H$40:$H$137)</f>
        <v>0</v>
      </c>
      <c r="L5" s="3757">
        <f>SUMPRODUCT(([2]高十指标计算书!$A$40:$A$137=[2]高十楼栋面积表!$B5)*([2]高十指标计算书!$D$40:$D$137=[2]高十楼栋面积表!L$3)*[2]高十指标计算书!$H$40:$H$137)</f>
        <v>0</v>
      </c>
      <c r="M5" s="3761">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7">
        <f>SUMPRODUCT(([2]高十指标计算书!$A$40:$A$137=[2]高十楼栋面积表!$B5)*([2]高十指标计算书!$D$40:$D$137=[2]高十楼栋面积表!O$3)*[2]高十指标计算书!$H$40:$H$137)</f>
        <v>0</v>
      </c>
      <c r="P5" s="3749"/>
    </row>
    <row r="6" spans="1:16" s="3194" customFormat="1" ht="16.5">
      <c r="A6" s="3752">
        <v>3</v>
      </c>
      <c r="B6" s="3752" t="s">
        <v>3593</v>
      </c>
      <c r="C6" s="3753">
        <f t="shared" ref="C6:C10" si="0">SUM(E6:O6)</f>
        <v>21328.91</v>
      </c>
      <c r="D6" s="3753">
        <f t="shared" ref="D6:D10" si="1">C6-J6-L6-M6-N6</f>
        <v>20837.73</v>
      </c>
      <c r="E6" s="3771">
        <f>SUMPRODUCT(([2]高十指标计算书!$A$40:$A$137=[2]高十楼栋面积表!$B6)*([2]高十指标计算书!$D$40:$D$137=[2]高十楼栋面积表!E$3)*[2]高十指标计算书!$H$40:$H$137)</f>
        <v>19522.18</v>
      </c>
      <c r="F6" s="3766">
        <f>SUMPRODUCT(([2]高十指标计算书!$A$40:$A$137=[2]高十楼栋面积表!$B6)*([2]高十指标计算书!$D$40:$D$137=[2]高十楼栋面积表!F$3)*[2]高十指标计算书!$H$40:$H$137)</f>
        <v>1147.8699999999999</v>
      </c>
      <c r="G6" s="3766">
        <f>SUMPRODUCT(([2]高十指标计算书!$A$40:$A$137=[2]高十楼栋面积表!$B6)*([2]高十指标计算书!$D$40:$D$137=[2]高十楼栋面积表!G$3)*[2]高十指标计算书!$H$40:$H$137)</f>
        <v>70.56</v>
      </c>
      <c r="H6" s="3771">
        <f>SUMPRODUCT(([2]高十指标计算书!$A$40:$A$137=[2]高十楼栋面积表!$B6)*([2]高十指标计算书!$D$40:$D$137=[2]高十楼栋面积表!H$3)*[2]高十指标计算书!$H$40:$H$137)</f>
        <v>97.12</v>
      </c>
      <c r="I6" s="3754">
        <f>SUMPRODUCT(([2]高十指标计算书!$A$40:$A$137=[2]高十楼栋面积表!$B6)*([2]高十指标计算书!$D$40:$D$137=[2]高十楼栋面积表!I$3)*[2]高十指标计算书!$H$40:$H$137)</f>
        <v>0</v>
      </c>
      <c r="J6" s="3754">
        <f>SUMPRODUCT(([2]高十指标计算书!$A$40:$A$137=[2]高十楼栋面积表!$B6)*([2]高十指标计算书!$D$40:$D$137=[2]高十楼栋面积表!J$3)*[2]高十指标计算书!$H$40:$H$137)</f>
        <v>491.18</v>
      </c>
      <c r="K6" s="3754">
        <f>SUMPRODUCT(([2]高十指标计算书!$A$40:$A$137=[2]高十楼栋面积表!$B6)*([2]高十指标计算书!$D$40:$D$137=[2]高十楼栋面积表!K$3)*[2]高十指标计算书!$H$40:$H$137)</f>
        <v>0</v>
      </c>
      <c r="L6" s="3754">
        <f>SUMPRODUCT(([2]高十指标计算书!$A$40:$A$137=[2]高十楼栋面积表!$B6)*([2]高十指标计算书!$D$40:$D$137=[2]高十楼栋面积表!L$3)*[2]高十指标计算书!$H$40:$H$137)</f>
        <v>0</v>
      </c>
      <c r="M6" s="3754">
        <f>SUMPRODUCT(([2]高十指标计算书!$A$40:$A$137=[2]高十楼栋面积表!$B6)*([2]高十指标计算书!$D$40:$D$137=[2]高十楼栋面积表!M$3)*[2]高十指标计算书!$H$40:$H$137)</f>
        <v>0</v>
      </c>
      <c r="N6" s="3754">
        <f>SUMPRODUCT(([2]高十指标计算书!$A$40:$A$137=[2]高十楼栋面积表!$B6)*([2]高十指标计算书!$D$40:$D$137=[2]高十楼栋面积表!N$3)*[2]高十指标计算书!$H$40:$H$137)</f>
        <v>0</v>
      </c>
      <c r="O6" s="3754">
        <f>SUMPRODUCT(([2]高十指标计算书!$A$40:$A$137=[2]高十楼栋面积表!$B6)*([2]高十指标计算书!$D$40:$D$137=[2]高十楼栋面积表!O$3)*[2]高十指标计算书!$H$40:$H$137)</f>
        <v>0</v>
      </c>
      <c r="P6" s="3752"/>
    </row>
    <row r="7" spans="1:16" s="3194" customFormat="1" ht="16.5">
      <c r="A7" s="3752">
        <v>4</v>
      </c>
      <c r="B7" s="3752" t="s">
        <v>3594</v>
      </c>
      <c r="C7" s="3753">
        <f t="shared" si="0"/>
        <v>21843.019999999997</v>
      </c>
      <c r="D7" s="3753">
        <f t="shared" si="1"/>
        <v>21661.199999999997</v>
      </c>
      <c r="E7" s="3771">
        <f>SUMPRODUCT(([2]高十指标计算书!$A$40:$A$137=[2]高十楼栋面积表!$B7)*([2]高十指标计算书!$D$40:$D$137=[2]高十楼栋面积表!E$3)*[2]高十指标计算书!$H$40:$H$137)</f>
        <v>20199.559999999998</v>
      </c>
      <c r="F7" s="3766">
        <f>SUMPRODUCT(([2]高十指标计算书!$A$40:$A$137=[2]高十楼栋面积表!$B7)*([2]高十指标计算书!$D$40:$D$137=[2]高十楼栋面积表!F$3)*[2]高十指标计算书!$H$40:$H$137)</f>
        <v>1292.8599999999999</v>
      </c>
      <c r="G7" s="3766">
        <f>SUMPRODUCT(([2]高十指标计算书!$A$40:$A$137=[2]高十楼栋面积表!$B7)*([2]高十指标计算书!$D$40:$D$137=[2]高十楼栋面积表!G$3)*[2]高十指标计算书!$H$40:$H$137)</f>
        <v>71.660000000000011</v>
      </c>
      <c r="H7" s="3771">
        <f>SUMPRODUCT(([2]高十指标计算书!$A$40:$A$137=[2]高十楼栋面积表!$B7)*([2]高十指标计算书!$D$40:$D$137=[2]高十楼栋面积表!H$3)*[2]高十指标计算书!$H$40:$H$137)</f>
        <v>97.12</v>
      </c>
      <c r="I7" s="3754">
        <f>SUMPRODUCT(([2]高十指标计算书!$A$40:$A$137=[2]高十楼栋面积表!$B7)*([2]高十指标计算书!$D$40:$D$137=[2]高十楼栋面积表!I$3)*[2]高十指标计算书!$H$40:$H$137)</f>
        <v>0</v>
      </c>
      <c r="J7" s="3754">
        <f>SUMPRODUCT(([2]高十指标计算书!$A$40:$A$137=[2]高十楼栋面积表!$B7)*([2]高十指标计算书!$D$40:$D$137=[2]高十楼栋面积表!J$3)*[2]高十指标计算书!$H$40:$H$137)</f>
        <v>181.82</v>
      </c>
      <c r="K7" s="3754">
        <f>SUMPRODUCT(([2]高十指标计算书!$A$40:$A$137=[2]高十楼栋面积表!$B7)*([2]高十指标计算书!$D$40:$D$137=[2]高十楼栋面积表!K$3)*[2]高十指标计算书!$H$40:$H$137)</f>
        <v>0</v>
      </c>
      <c r="L7" s="3754">
        <f>SUMPRODUCT(([2]高十指标计算书!$A$40:$A$137=[2]高十楼栋面积表!$B7)*([2]高十指标计算书!$D$40:$D$137=[2]高十楼栋面积表!L$3)*[2]高十指标计算书!$H$40:$H$137)</f>
        <v>0</v>
      </c>
      <c r="M7" s="3754">
        <f>SUMPRODUCT(([2]高十指标计算书!$A$40:$A$137=[2]高十楼栋面积表!$B7)*([2]高十指标计算书!$D$40:$D$137=[2]高十楼栋面积表!M$3)*[2]高十指标计算书!$H$40:$H$137)</f>
        <v>0</v>
      </c>
      <c r="N7" s="3754">
        <f>SUMPRODUCT(([2]高十指标计算书!$A$40:$A$137=[2]高十楼栋面积表!$B7)*([2]高十指标计算书!$D$40:$D$137=[2]高十楼栋面积表!N$3)*[2]高十指标计算书!$H$40:$H$137)</f>
        <v>0</v>
      </c>
      <c r="O7" s="3754">
        <f>SUMPRODUCT(([2]高十指标计算书!$A$40:$A$137=[2]高十楼栋面积表!$B7)*([2]高十指标计算书!$D$40:$D$137=[2]高十楼栋面积表!O$3)*[2]高十指标计算书!$H$40:$H$137)</f>
        <v>0</v>
      </c>
      <c r="P7" s="3752"/>
    </row>
    <row r="8" spans="1:16" ht="16.5">
      <c r="A8" s="3749">
        <v>5</v>
      </c>
      <c r="B8" s="3749" t="s">
        <v>3595</v>
      </c>
      <c r="C8" s="3750">
        <f t="shared" si="0"/>
        <v>22469.929999999997</v>
      </c>
      <c r="D8" s="3750">
        <f t="shared" si="1"/>
        <v>22261.889999999996</v>
      </c>
      <c r="E8" s="3771">
        <f>SUMPRODUCT(([2]高十指标计算书!$A$40:$A$137=[2]高十楼栋面积表!$B8)*([2]高十指标计算书!$D$40:$D$137=[2]高十楼栋面积表!E$3)*[2]高十指标计算书!$H$40:$H$137)</f>
        <v>20878.719999999998</v>
      </c>
      <c r="F8" s="3766">
        <f>SUMPRODUCT(([2]高十指标计算书!$A$40:$A$137=[2]高十楼栋面积表!$B8)*([2]高十指标计算书!$D$40:$D$137=[2]高十楼栋面积表!F$3)*[2]高十指标计算书!$H$40:$H$137)</f>
        <v>1211.0899999999999</v>
      </c>
      <c r="G8" s="3766">
        <f>SUMPRODUCT(([2]高十指标计算书!$A$40:$A$137=[2]高十楼栋面积表!$B8)*([2]高十指标计算书!$D$40:$D$137=[2]高十楼栋面积表!G$3)*[2]高十指标计算书!$H$40:$H$137)</f>
        <v>74.960000000000022</v>
      </c>
      <c r="H8" s="3771">
        <f>SUMPRODUCT(([2]高十指标计算书!$A$40:$A$137=[2]高十楼栋面积表!$B8)*([2]高十指标计算书!$D$40:$D$137=[2]高十楼栋面积表!H$3)*[2]高十指标计算书!$H$40:$H$137)</f>
        <v>97.12</v>
      </c>
      <c r="I8" s="3757">
        <f>SUMPRODUCT(([2]高十指标计算书!$A$40:$A$137=[2]高十楼栋面积表!$B8)*([2]高十指标计算书!$D$40:$D$137=[2]高十楼栋面积表!I$3)*[2]高十指标计算书!$H$40:$H$137)</f>
        <v>0</v>
      </c>
      <c r="J8" s="3761">
        <f>SUMPRODUCT(([2]高十指标计算书!$A$40:$A$137=[2]高十楼栋面积表!$B8)*([2]高十指标计算书!$D$40:$D$137=[2]高十楼栋面积表!J$3)*[2]高十指标计算书!$H$40:$H$137)</f>
        <v>208.04</v>
      </c>
      <c r="K8" s="3757">
        <f>SUMPRODUCT(([2]高十指标计算书!$A$40:$A$137=[2]高十楼栋面积表!$B8)*([2]高十指标计算书!$D$40:$D$137=[2]高十楼栋面积表!K$3)*[2]高十指标计算书!$H$40:$H$137)</f>
        <v>0</v>
      </c>
      <c r="L8" s="3757">
        <f>SUMPRODUCT(([2]高十指标计算书!$A$40:$A$137=[2]高十楼栋面积表!$B8)*([2]高十指标计算书!$D$40:$D$137=[2]高十楼栋面积表!L$3)*[2]高十指标计算书!$H$40:$H$137)</f>
        <v>0</v>
      </c>
      <c r="M8" s="3761">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7">
        <f>SUMPRODUCT(([2]高十指标计算书!$A$40:$A$137=[2]高十楼栋面积表!$B8)*([2]高十指标计算书!$D$40:$D$137=[2]高十楼栋面积表!O$3)*[2]高十指标计算书!$H$40:$H$137)</f>
        <v>0</v>
      </c>
      <c r="P8" s="3749"/>
    </row>
    <row r="9" spans="1:16" ht="16.5">
      <c r="A9" s="3749">
        <v>6</v>
      </c>
      <c r="B9" s="3749" t="s">
        <v>3596</v>
      </c>
      <c r="C9" s="3750">
        <f t="shared" si="0"/>
        <v>22378.100000000002</v>
      </c>
      <c r="D9" s="3750">
        <f t="shared" si="1"/>
        <v>22273.980000000003</v>
      </c>
      <c r="E9" s="3771">
        <f>SUMPRODUCT(([2]高十指标计算书!$A$40:$A$137=[2]高十楼栋面积表!$B9)*([2]高十指标计算书!$D$40:$D$137=[2]高十楼栋面积表!E$3)*[2]高十指标计算书!$H$40:$H$137)</f>
        <v>20198.45</v>
      </c>
      <c r="F9" s="3766">
        <f>SUMPRODUCT(([2]高十指标计算书!$A$40:$A$137=[2]高十楼栋面积表!$B9)*([2]高十指标计算书!$D$40:$D$137=[2]高十楼栋面积表!F$3)*[2]高十指标计算书!$H$40:$H$137)</f>
        <v>1353.74</v>
      </c>
      <c r="G9" s="3766">
        <f>SUMPRODUCT(([2]高十指标计算书!$A$40:$A$137=[2]高十楼栋面积表!$B9)*([2]高十指标计算书!$D$40:$D$137=[2]高十楼栋面积表!G$3)*[2]高十指标计算书!$H$40:$H$137)</f>
        <v>71.660000000000011</v>
      </c>
      <c r="H9" s="3771">
        <f>SUMPRODUCT(([2]高十指标计算书!$A$40:$A$137=[2]高十楼栋面积表!$B9)*([2]高十指标计算书!$D$40:$D$137=[2]高十楼栋面积表!H$3)*[2]高十指标计算书!$H$40:$H$137)</f>
        <v>97.12</v>
      </c>
      <c r="I9" s="3757">
        <f>SUMPRODUCT(([2]高十指标计算书!$A$40:$A$137=[2]高十楼栋面积表!$B9)*([2]高十指标计算书!$D$40:$D$137=[2]高十楼栋面积表!I$3)*[2]高十指标计算书!$H$40:$H$137)</f>
        <v>546.61</v>
      </c>
      <c r="J9" s="3761">
        <f>SUMPRODUCT(([2]高十指标计算书!$A$40:$A$137=[2]高十楼栋面积表!$B9)*([2]高十指标计算书!$D$40:$D$137=[2]高十楼栋面积表!J$3)*[2]高十指标计算书!$H$40:$H$137)</f>
        <v>104.12</v>
      </c>
      <c r="K9" s="3757">
        <f>SUMPRODUCT(([2]高十指标计算书!$A$40:$A$137=[2]高十楼栋面积表!$B9)*([2]高十指标计算书!$D$40:$D$137=[2]高十楼栋面积表!K$3)*[2]高十指标计算书!$H$40:$H$137)</f>
        <v>0</v>
      </c>
      <c r="L9" s="3757">
        <f>SUMPRODUCT(([2]高十指标计算书!$A$40:$A$137=[2]高十楼栋面积表!$B9)*([2]高十指标计算书!$D$40:$D$137=[2]高十楼栋面积表!L$3)*[2]高十指标计算书!$H$40:$H$137)</f>
        <v>0</v>
      </c>
      <c r="M9" s="3761">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7">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1">
        <f>SUMPRODUCT(([2]高十指标计算书!$A$40:$A$137=[2]高十楼栋面积表!$B10)*([2]高十指标计算书!$D$40:$D$137=[2]高十楼栋面积表!E$3)*[2]高十指标计算书!$H$40:$H$137)</f>
        <v>0</v>
      </c>
      <c r="F10" s="3767">
        <f>SUMPRODUCT(([2]高十指标计算书!$A$40:$A$137=[2]高十楼栋面积表!$B10)*([2]高十指标计算书!$D$40:$D$137=[2]高十楼栋面积表!F$3)*[2]高十指标计算书!$H$40:$H$137)</f>
        <v>0</v>
      </c>
      <c r="G10" s="3766">
        <f>SUMPRODUCT(([2]高十指标计算书!$A$40:$A$137=[2]高十楼栋面积表!$B10)*([2]高十指标计算书!$D$40:$D$137=[2]高十楼栋面积表!G$3)*[2]高十指标计算书!$H$40:$H$137)</f>
        <v>0</v>
      </c>
      <c r="H10" s="3771">
        <f>SUMPRODUCT(([2]高十指标计算书!$A$40:$A$137=[2]高十楼栋面积表!$B10)*([2]高十指标计算书!$D$40:$D$137=[2]高十楼栋面积表!H$3)*[2]高十指标计算书!$H$40:$H$137)</f>
        <v>0</v>
      </c>
      <c r="I10" s="3757">
        <f>SUMPRODUCT(([2]高十指标计算书!$A$40:$A$137=[2]高十楼栋面积表!$B10)*([2]高十指标计算书!$D$40:$D$137=[2]高十楼栋面积表!I$3)*[2]高十指标计算书!$H$40:$H$137)</f>
        <v>0</v>
      </c>
      <c r="J10" s="3761">
        <f>SUMPRODUCT(([2]高十指标计算书!$A$40:$A$137=[2]高十楼栋面积表!$B10)*([2]高十指标计算书!$D$40:$D$137=[2]高十楼栋面积表!J$3)*[2]高十指标计算书!$H$40:$H$137)</f>
        <v>0</v>
      </c>
      <c r="K10" s="3757">
        <f>SUMPRODUCT(([2]高十指标计算书!$A$40:$A$137=[2]高十楼栋面积表!$B10)*([2]高十指标计算书!$D$40:$D$137=[2]高十楼栋面积表!K$3)*[2]高十指标计算书!$H$40:$H$137)</f>
        <v>0</v>
      </c>
      <c r="L10" s="3757">
        <f>SUMPRODUCT(([2]高十指标计算书!$A$40:$A$137=[2]高十楼栋面积表!$B10)*([2]高十指标计算书!$D$40:$D$137=[2]高十楼栋面积表!L$3)*[2]高十指标计算书!$H$40:$H$137)</f>
        <v>178.33</v>
      </c>
      <c r="M10" s="3761">
        <f>SUMPRODUCT(([2]高十指标计算书!$A$40:$A$137=[2]高十楼栋面积表!$B10)*([2]高十指标计算书!$D$40:$D$137=[2]高十楼栋面积表!M$3)*[2]高十指标计算书!$H$40:$H$137)</f>
        <v>1810.57</v>
      </c>
      <c r="N10" s="3751">
        <f>SUMPRODUCT(([2]高十指标计算书!$A$40:$A$137=[2]高十楼栋面积表!$B10)*([2]高十指标计算书!$D$40:$D$137=[2]高十楼栋面积表!N$3)*[2]高十指标计算书!$H$40:$H$137)</f>
        <v>28598.17</v>
      </c>
      <c r="O10" s="3757">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D11:O11" si="2">SUM(D4:D10)</f>
        <v>131992.1</v>
      </c>
      <c r="E11" s="3770">
        <f t="shared" si="2"/>
        <v>121440.08</v>
      </c>
      <c r="F11" s="3765">
        <f t="shared" si="2"/>
        <v>8627.82</v>
      </c>
      <c r="G11" s="3765">
        <f t="shared" si="2"/>
        <v>448.34000000000009</v>
      </c>
      <c r="H11" s="3770">
        <f t="shared" si="2"/>
        <v>582.72</v>
      </c>
      <c r="I11" s="3756">
        <f t="shared" si="2"/>
        <v>766.33</v>
      </c>
      <c r="J11" s="3760">
        <f t="shared" si="2"/>
        <v>985.16</v>
      </c>
      <c r="K11" s="3756">
        <f t="shared" si="2"/>
        <v>120.41</v>
      </c>
      <c r="L11" s="3756">
        <f t="shared" si="2"/>
        <v>178.33</v>
      </c>
      <c r="M11" s="3760">
        <f t="shared" si="2"/>
        <v>1810.57</v>
      </c>
      <c r="N11" s="3748">
        <f t="shared" si="2"/>
        <v>28598.17</v>
      </c>
      <c r="O11" s="3778">
        <f t="shared" si="2"/>
        <v>6.4</v>
      </c>
      <c r="P11" s="3748"/>
    </row>
    <row r="12" spans="1:16">
      <c r="A12" t="s">
        <v>3605</v>
      </c>
    </row>
    <row r="13" spans="1:16">
      <c r="A13" t="s">
        <v>3599</v>
      </c>
      <c r="C13" s="3772"/>
      <c r="E13" s="3777">
        <f>ROUND((E11+H11-E6-E7-H6-H7),2)</f>
        <v>82106.820000000007</v>
      </c>
    </row>
    <row r="14" spans="1:16">
      <c r="A14" t="s">
        <v>3600</v>
      </c>
      <c r="C14" s="3768"/>
      <c r="E14" s="3774">
        <f>ROUND((F11+G11-F6-F7-G6-G7),2)</f>
        <v>6493.21</v>
      </c>
    </row>
    <row r="15" spans="1:16">
      <c r="A15" t="s">
        <v>3601</v>
      </c>
      <c r="E15" s="3774">
        <f>ROUND((N11*(D11-D6-D7)/D11),2)</f>
        <v>19390.11</v>
      </c>
    </row>
    <row r="16" spans="1:16">
      <c r="A16" t="s">
        <v>3602</v>
      </c>
      <c r="C16" s="3763"/>
      <c r="E16" s="3777">
        <f>ROUND((I11+K11+L11+O11),2)</f>
        <v>1071.47</v>
      </c>
    </row>
    <row r="17" spans="1:7">
      <c r="E17" s="3774"/>
    </row>
    <row r="18" spans="1:7">
      <c r="A18" t="s">
        <v>3603</v>
      </c>
      <c r="C18" s="3762"/>
      <c r="E18" s="3777">
        <f>ROUND((J11+M11-J6-J7),2)</f>
        <v>2122.73</v>
      </c>
    </row>
    <row r="19" spans="1:7">
      <c r="A19" t="s">
        <v>3604</v>
      </c>
      <c r="E19" s="3774">
        <f>ROUND((E13+E14+E15+E16+E18),2)</f>
        <v>111184.34</v>
      </c>
    </row>
    <row r="20" spans="1:7">
      <c r="E20" s="3773"/>
    </row>
    <row r="21" spans="1:7">
      <c r="A21" s="3775" t="s">
        <v>3606</v>
      </c>
      <c r="C21" s="3776"/>
      <c r="E21" s="3773">
        <f>D11-D6-D7</f>
        <v>89493.170000000013</v>
      </c>
    </row>
    <row r="22" spans="1:7">
      <c r="C22" s="3776"/>
    </row>
    <row r="25" spans="1:7">
      <c r="G25" s="3779"/>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54" t="s">
        <v>203</v>
      </c>
      <c r="B2" s="3954"/>
      <c r="C2" s="3954"/>
      <c r="D2" s="1958" t="s">
        <v>204</v>
      </c>
      <c r="E2" s="106" t="s">
        <v>205</v>
      </c>
      <c r="F2" s="1967"/>
      <c r="G2" s="1193"/>
      <c r="H2" s="1194"/>
      <c r="I2" s="1195" t="s">
        <v>857</v>
      </c>
      <c r="J2" s="1967"/>
      <c r="K2" s="1967"/>
      <c r="L2" s="1967"/>
    </row>
    <row r="3" spans="1:16" ht="15.75" thickBot="1">
      <c r="A3" s="3955" t="s">
        <v>206</v>
      </c>
      <c r="B3" s="3955"/>
      <c r="C3" s="3955"/>
      <c r="D3" s="107">
        <f>'数据-基础表'!AY6</f>
        <v>20122.04</v>
      </c>
      <c r="E3" s="107">
        <f>'数据-基础表'!AZ5</f>
        <v>111184.34000000001</v>
      </c>
      <c r="F3" s="1967"/>
      <c r="G3" s="279" t="s">
        <v>858</v>
      </c>
      <c r="H3" s="274" t="s">
        <v>859</v>
      </c>
      <c r="I3" s="1959">
        <f>ROUND('数据-基础表'!B3/'数据-基础表'!A3,2)</f>
        <v>5.53</v>
      </c>
      <c r="J3" s="1967"/>
      <c r="K3" s="1967"/>
      <c r="L3" s="1967"/>
    </row>
    <row r="4" spans="1:16" ht="15">
      <c r="A4" s="3956"/>
      <c r="B4" s="3957"/>
      <c r="C4" s="3958"/>
      <c r="D4" s="108" t="s">
        <v>204</v>
      </c>
      <c r="E4" s="109" t="s">
        <v>205</v>
      </c>
      <c r="F4" s="1967"/>
      <c r="G4" s="1196"/>
      <c r="H4" s="274" t="s">
        <v>860</v>
      </c>
      <c r="I4" s="1959">
        <f>ROUND(SUMIF('数据-基础表'!I9:AS9,"地上",'数据-基础表'!I5:AS5)/'数据-基础表'!A3,2)</f>
        <v>4.5599999999999996</v>
      </c>
      <c r="J4" s="1967"/>
      <c r="K4" s="1967"/>
      <c r="L4" s="1967"/>
    </row>
    <row r="5" spans="1:16">
      <c r="A5" s="110" t="s">
        <v>207</v>
      </c>
      <c r="B5" s="3959" t="s">
        <v>230</v>
      </c>
      <c r="C5" s="3959"/>
      <c r="D5" s="111">
        <f>ROUND($D$3*E5/$E$3,2)</f>
        <v>14859.62</v>
      </c>
      <c r="E5" s="112">
        <f>SUMIF('数据-基础表'!$11:$11,"住宅",'数据-基础表'!$5:$5)</f>
        <v>82106.820000000007</v>
      </c>
      <c r="F5" s="1967"/>
      <c r="G5" s="279" t="s">
        <v>861</v>
      </c>
      <c r="H5" s="274" t="s">
        <v>859</v>
      </c>
      <c r="I5" s="1959">
        <f>ROUND(E31/D31,2)</f>
        <v>5.53</v>
      </c>
      <c r="J5" s="1967"/>
      <c r="K5" s="1967"/>
      <c r="L5" s="1967"/>
    </row>
    <row r="6" spans="1:16" ht="15" thickBot="1">
      <c r="A6" s="113"/>
      <c r="B6" s="3959" t="s">
        <v>208</v>
      </c>
      <c r="C6" s="3959"/>
      <c r="D6" s="111">
        <f>ROUND($D$3*E6/$E$3,2)</f>
        <v>5262.42</v>
      </c>
      <c r="E6" s="112">
        <f>E3-E5</f>
        <v>29077.520000000004</v>
      </c>
      <c r="F6" s="1967"/>
      <c r="G6" s="1196"/>
      <c r="H6" s="274" t="s">
        <v>860</v>
      </c>
      <c r="I6" s="1959">
        <f>ROUND(F31/D31,2)</f>
        <v>4.5599999999999996</v>
      </c>
      <c r="J6" s="1967"/>
      <c r="K6" s="1967"/>
      <c r="L6" s="1967"/>
    </row>
    <row r="7" spans="1:16" ht="15">
      <c r="A7" s="3951"/>
      <c r="B7" s="3952"/>
      <c r="C7" s="3953"/>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16034.75</v>
      </c>
      <c r="E8" s="116">
        <f>SUMIF('数据-基础表'!BB10:BK10,"地上",'数据-基础表'!BB5:BK5)</f>
        <v>88600.030000000013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3509.2</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19543.95</v>
      </c>
      <c r="E16" s="120">
        <f>SUM(E8:E15)</f>
        <v>107990.14000000001</v>
      </c>
      <c r="F16" s="1967"/>
      <c r="G16" s="1969"/>
      <c r="H16" s="967" t="s">
        <v>219</v>
      </c>
      <c r="I16" s="968"/>
      <c r="J16" s="1967"/>
      <c r="K16" s="3945" t="s">
        <v>2565</v>
      </c>
      <c r="L16" s="3946"/>
      <c r="M16" s="3946"/>
      <c r="N16" s="3946"/>
      <c r="O16" s="3946"/>
      <c r="P16" s="3947"/>
    </row>
    <row r="17" spans="1:19" ht="15">
      <c r="A17" s="121" t="s">
        <v>216</v>
      </c>
      <c r="B17" s="122" t="s">
        <v>217</v>
      </c>
      <c r="C17" s="2281" t="s">
        <v>2313</v>
      </c>
      <c r="D17" s="108" t="s">
        <v>204</v>
      </c>
      <c r="E17" s="124" t="s">
        <v>205</v>
      </c>
      <c r="F17" s="125"/>
      <c r="G17" s="1361"/>
      <c r="H17" s="969" t="s">
        <v>218</v>
      </c>
      <c r="I17" s="970" t="s">
        <v>2312</v>
      </c>
      <c r="J17" s="1967"/>
      <c r="K17" s="3948" t="s">
        <v>2566</v>
      </c>
      <c r="L17" s="3949"/>
      <c r="M17" s="3950"/>
      <c r="N17" s="3948" t="s">
        <v>2567</v>
      </c>
      <c r="O17" s="3949"/>
      <c r="P17" s="3950"/>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14859.62</v>
      </c>
      <c r="E19" s="134">
        <f t="shared" ref="E19:E26" si="2">SUM(F19:G19)</f>
        <v>82106.820000000007</v>
      </c>
      <c r="F19" s="135">
        <f>'数据-基础表'!I13</f>
        <v>82106.820000000007</v>
      </c>
      <c r="G19" s="1363"/>
      <c r="H19" s="973">
        <f>ROUND($D$3*I19/$E$3,2)</f>
        <v>486</v>
      </c>
      <c r="I19" s="116">
        <f>IF($I$17="自定义",P19,M19)</f>
        <v>2685.42</v>
      </c>
      <c r="J19" s="1967"/>
      <c r="K19" s="2570">
        <f t="shared" ref="K19:K26" si="3">ROUND(E$28*E19/E$27,2)</f>
        <v>1613.95</v>
      </c>
      <c r="L19" s="274">
        <f t="shared" ref="L19:L26" si="4">ROUND(IF(COUNTIF(C19,"*住宅*")&gt;0,E$29*E19/E$32,0),2)</f>
        <v>1071.47</v>
      </c>
      <c r="M19" s="2571">
        <f>K19+L19</f>
        <v>2685.42</v>
      </c>
      <c r="N19" s="2572"/>
      <c r="O19" s="2573"/>
      <c r="P19" s="2574">
        <f>N19+O19</f>
        <v>0</v>
      </c>
      <c r="R19" s="274">
        <f t="shared" ref="R19:S26" si="5">D19+H19</f>
        <v>15345.62</v>
      </c>
      <c r="S19" s="2284">
        <f t="shared" si="5"/>
        <v>84792.24</v>
      </c>
    </row>
    <row r="20" spans="1:19">
      <c r="A20" s="138"/>
      <c r="B20" s="115" t="s">
        <v>226</v>
      </c>
      <c r="C20" s="2974" t="s">
        <v>3003</v>
      </c>
      <c r="D20" s="111">
        <f t="shared" si="1"/>
        <v>1175.1400000000001</v>
      </c>
      <c r="E20" s="134">
        <f t="shared" si="2"/>
        <v>6493.21</v>
      </c>
      <c r="F20" s="135">
        <f>'数据-基础表'!K13</f>
        <v>6493.21</v>
      </c>
      <c r="G20" s="1363"/>
      <c r="H20" s="973">
        <f t="shared" ref="H20:H26" si="6">ROUND($D$3*I20/$E$3,2)</f>
        <v>23.1</v>
      </c>
      <c r="I20" s="116">
        <f t="shared" ref="I20:I26" si="7">IF($I$17="自定义",P20,M20)</f>
        <v>127.64</v>
      </c>
      <c r="J20" s="1967"/>
      <c r="K20" s="2570">
        <f t="shared" si="3"/>
        <v>127.64</v>
      </c>
      <c r="L20" s="274">
        <f t="shared" si="4"/>
        <v>0</v>
      </c>
      <c r="M20" s="2571">
        <f t="shared" ref="M20:M26" si="8">K20+L20</f>
        <v>127.64</v>
      </c>
      <c r="N20" s="2572"/>
      <c r="O20" s="2573"/>
      <c r="P20" s="2574">
        <f t="shared" ref="P20:P26" si="9">N20+O20</f>
        <v>0</v>
      </c>
      <c r="R20" s="274">
        <f t="shared" si="5"/>
        <v>1198.24</v>
      </c>
      <c r="S20" s="2284">
        <f t="shared" si="5"/>
        <v>6620.85</v>
      </c>
    </row>
    <row r="21" spans="1:19">
      <c r="A21" s="138"/>
      <c r="B21" s="115" t="s">
        <v>226</v>
      </c>
      <c r="C21" s="2974" t="s">
        <v>3004</v>
      </c>
      <c r="D21" s="111">
        <f t="shared" si="1"/>
        <v>3509.2</v>
      </c>
      <c r="E21" s="134">
        <f t="shared" si="2"/>
        <v>19390.11</v>
      </c>
      <c r="F21" s="135"/>
      <c r="G21" s="1363">
        <f>'数据-基础表'!M13</f>
        <v>19390.11</v>
      </c>
      <c r="H21" s="973">
        <f t="shared" si="6"/>
        <v>68.98</v>
      </c>
      <c r="I21" s="116">
        <f t="shared" si="7"/>
        <v>381.15</v>
      </c>
      <c r="J21" s="1967"/>
      <c r="K21" s="2570">
        <f t="shared" si="3"/>
        <v>381.15</v>
      </c>
      <c r="L21" s="274">
        <f t="shared" si="4"/>
        <v>0</v>
      </c>
      <c r="M21" s="2571">
        <f t="shared" si="8"/>
        <v>381.15</v>
      </c>
      <c r="N21" s="2572"/>
      <c r="O21" s="2573"/>
      <c r="P21" s="2574">
        <f t="shared" si="9"/>
        <v>0</v>
      </c>
      <c r="R21" s="274">
        <f t="shared" si="5"/>
        <v>3578.18</v>
      </c>
      <c r="S21" s="2284">
        <f t="shared" si="5"/>
        <v>19771.260000000002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19543.96</v>
      </c>
      <c r="E27" s="143">
        <f>IF(SUM(E19:E26)='数据-基础表'!BA5,SUM(E19:E26),IF(F27="地上面积有误","面积有误","地下面积有误"))</f>
        <v>107990.14000000001</v>
      </c>
      <c r="F27" s="134">
        <f>IF(SUM(F19:F26)=E8,SUM(F19:F26),"地上面积有误")</f>
        <v>88600.030000000013</v>
      </c>
      <c r="G27" s="112">
        <f>SUM(G19:G26)</f>
        <v>19390.11</v>
      </c>
      <c r="H27" s="974">
        <f>SUM(H19:H26)</f>
        <v>578.08000000000004</v>
      </c>
      <c r="I27" s="975">
        <f>SUM(I19:I26)</f>
        <v>3194.21</v>
      </c>
      <c r="J27" s="1967"/>
      <c r="K27" s="2579">
        <f>SUM(K19:K26)</f>
        <v>2122.7400000000002</v>
      </c>
      <c r="L27" s="2580">
        <f>SUM(L19:L26)</f>
        <v>1071.47</v>
      </c>
      <c r="M27" s="2581">
        <f>SUM(M19:M26)</f>
        <v>3194.21</v>
      </c>
      <c r="N27" s="2579">
        <f t="shared" ref="N27:O27" si="10">SUM(N19:N26)</f>
        <v>0</v>
      </c>
      <c r="O27" s="2580">
        <f t="shared" si="10"/>
        <v>0</v>
      </c>
      <c r="P27" s="2582">
        <f>SUM(P19:P26)</f>
        <v>0</v>
      </c>
      <c r="R27" s="2288">
        <f>IF(SUM(R19:R26)=$D$3,SUM(R19:R26),SUM(R19:R26)&amp;"误差"&amp;ROUND(SUM(R19:R26)-$D$3,2))</f>
        <v>20122.04</v>
      </c>
      <c r="S27" s="274" t="str">
        <f>IF(SUM(S19:S26)=$E$3,SUM(S19:S26),SUM(S19:S26)&amp;"误差"&amp;ROUND(SUM(S19:S26)-E3,2))</f>
        <v>111184.35误差0.01</v>
      </c>
    </row>
    <row r="28" spans="1:19">
      <c r="A28" s="138"/>
      <c r="B28" s="115" t="s">
        <v>227</v>
      </c>
      <c r="C28" s="136" t="s">
        <v>228</v>
      </c>
      <c r="D28" s="111">
        <f>ROUND($D$3*E28/$E$3,2)</f>
        <v>384.17</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193.91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578.08000000000004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20122.04</v>
      </c>
      <c r="E31" s="1367">
        <f>E27+E30</f>
        <v>111184.34000000001</v>
      </c>
      <c r="F31" s="1368">
        <f>F27+F30</f>
        <v>91794.23000000001</v>
      </c>
      <c r="G31" s="1369">
        <f>G27+G30</f>
        <v>19390.11</v>
      </c>
      <c r="H31" s="1967"/>
      <c r="I31" s="1967"/>
      <c r="J31" s="1967"/>
      <c r="K31" s="1967"/>
      <c r="L31" s="1967"/>
    </row>
    <row r="32" spans="1:19">
      <c r="A32" s="1967"/>
      <c r="B32" s="2325" t="s">
        <v>2321</v>
      </c>
      <c r="C32" s="2609"/>
      <c r="D32" s="1196"/>
      <c r="E32" s="1196">
        <f>SUMIF(C19:C26,"*住宅*",E19:E26)</f>
        <v>82106.820000000007</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82106.820000000007</v>
      </c>
      <c r="L6" s="3327">
        <v>1800</v>
      </c>
      <c r="M6" s="177">
        <f t="shared" ref="M6:M14" si="0">ROUND(K6*L6/10000,0)</f>
        <v>14779</v>
      </c>
      <c r="N6" s="2976">
        <v>0</v>
      </c>
      <c r="O6" s="177">
        <f>IF($N$5="成新度","——",ROUND(M6*N6,0))</f>
        <v>0</v>
      </c>
      <c r="P6" s="178">
        <f>IF($N$5="成新度","——",M6-O6)</f>
        <v>14779</v>
      </c>
      <c r="Q6" s="3328">
        <v>0.15</v>
      </c>
      <c r="R6" s="179">
        <f>SUMIF('数据-汇总表'!C$19:C$33,A6,'数据-汇总表'!R$19:R$33)</f>
        <v>15345.62</v>
      </c>
      <c r="S6" s="132">
        <f>IF('数据-汇总表'!$I$17="按面积比例",SUMIF('数据-汇总表'!C$19:C$33,A6,'数据-汇总表'!K$19:K$33),SUMIF('数据-汇总表'!C$19:C$33,A6,'数据-汇总表'!N$19:N$33))</f>
        <v>1613.95</v>
      </c>
      <c r="T6" s="2217">
        <f>IF($T$4="按面积比例",IF(ISERROR(ROUND($M$14*S6/S$16,0)),"0",ROUND($M$14*S6/S$16,0)),"需自行计算录入")</f>
        <v>290</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1198.24</v>
      </c>
      <c r="S7" s="132">
        <f>IF('数据-汇总表'!$I$17="按面积比例",SUMIF('数据-汇总表'!C$19:C$33,A7,'数据-汇总表'!K$19:K$33),SUMIF('数据-汇总表'!C$19:C$33,A7,'数据-汇总表'!N$19:N$33))</f>
        <v>127.64</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3578.18</v>
      </c>
      <c r="S8" s="132">
        <f>IF('数据-汇总表'!$I$17="按面积比例",SUMIF('数据-汇总表'!C$19:C$33,A8,'数据-汇总表'!K$19:K$33),SUMIF('数据-汇总表'!C$19:C$33,A8,'数据-汇总表'!N$19:N$33))</f>
        <v>381.15</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111184.34000000001</v>
      </c>
      <c r="L16" s="206">
        <f>ROUND(M16*10000/SUM(K6:K14),0)</f>
        <v>1800</v>
      </c>
      <c r="M16" s="206">
        <f>SUM(M6:M14)</f>
        <v>19820</v>
      </c>
      <c r="N16" s="207">
        <f>ROUND(SUMPRODUCT(M6:M14,N6:N14)/M16,3)</f>
        <v>0</v>
      </c>
      <c r="O16" s="206">
        <f>SUM(O6:O14)</f>
        <v>0</v>
      </c>
      <c r="P16" s="206">
        <f>SUM(P6:P14)</f>
        <v>19820</v>
      </c>
      <c r="Q16" s="208">
        <f>ROUND(SUMPRODUCT(Q6:Q13,K6:K13)/SUMPRODUCT((Q6:Q13&gt;0)*(K6:K13)),2)</f>
        <v>0.13</v>
      </c>
      <c r="R16" s="2294">
        <f>SUM(R6:R13)</f>
        <v>20122.04</v>
      </c>
      <c r="S16" s="209">
        <f>SUM(S6:S13)</f>
        <v>2122.7400000000002</v>
      </c>
      <c r="T16" s="210">
        <f>IF(SUMIF(T6:T13,"&lt;9E307")=M14,SUMIF(T6:T13,"&lt;9E307"),"有误，请检查")</f>
        <v>382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60" t="s">
        <v>1663</v>
      </c>
      <c r="B1" s="3961"/>
      <c r="C1" s="3961"/>
      <c r="D1" s="3961"/>
      <c r="E1" s="3961"/>
      <c r="F1" s="3961"/>
      <c r="G1" s="396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2" sqref="A22"/>
    </sheetView>
  </sheetViews>
  <sheetFormatPr defaultColWidth="14.625" defaultRowHeight="13.5"/>
  <cols>
    <col min="1" max="1" width="24.375" customWidth="1"/>
  </cols>
  <sheetData>
    <row r="1" spans="1:9" ht="16.5">
      <c r="A1" s="2993" t="s">
        <v>2843</v>
      </c>
      <c r="B1" s="2993">
        <f>SUM(B14:B23)</f>
        <v>173075.57</v>
      </c>
      <c r="C1" s="2994"/>
      <c r="D1" s="2994"/>
      <c r="E1" s="2994"/>
      <c r="F1" s="2994"/>
    </row>
    <row r="2" spans="1:9" ht="16.5">
      <c r="A2" s="2993" t="s">
        <v>2844</v>
      </c>
      <c r="B2" s="2993">
        <f>SUM(C14:C23)</f>
        <v>46103.41</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24522</v>
      </c>
      <c r="C5" s="2993">
        <f ca="1">ROUND(B5*10000/$B$1,0)</f>
        <v>1417</v>
      </c>
      <c r="D5" s="2993">
        <f ca="1">ROUND(B5*10000/$B$2,0)</f>
        <v>5319</v>
      </c>
      <c r="E5" s="2994"/>
      <c r="F5" s="2994"/>
    </row>
    <row r="6" spans="1:9" ht="16.5">
      <c r="A6" s="2993" t="s">
        <v>2851</v>
      </c>
      <c r="B6" s="2993">
        <f ca="1">SUM(G14:G23)</f>
        <v>24522</v>
      </c>
      <c r="C6" s="2993">
        <f t="shared" ref="C6:C8" ca="1" si="0">ROUND(B6*10000/$B$1,0)</f>
        <v>1417</v>
      </c>
      <c r="D6" s="2993">
        <f t="shared" ref="D6:D8" ca="1" si="1">ROUND(B6*10000/$B$2,0)</f>
        <v>5319</v>
      </c>
      <c r="E6" s="2994"/>
      <c r="F6" s="2994"/>
    </row>
    <row r="7" spans="1:9" ht="16.5">
      <c r="A7" s="2993" t="s">
        <v>2852</v>
      </c>
      <c r="B7" s="2993">
        <f>SUM(H14:H23)</f>
        <v>0</v>
      </c>
      <c r="C7" s="2993">
        <f t="shared" si="0"/>
        <v>0</v>
      </c>
      <c r="D7" s="2993">
        <f t="shared" si="1"/>
        <v>0</v>
      </c>
      <c r="E7" s="2994"/>
      <c r="F7" s="2994"/>
    </row>
    <row r="8" spans="1:9" ht="16.5">
      <c r="A8" s="2993" t="s">
        <v>2853</v>
      </c>
      <c r="B8" s="2993">
        <f ca="1">SUM(I14:I23)</f>
        <v>18624</v>
      </c>
      <c r="C8" s="2993">
        <f t="shared" ca="1" si="0"/>
        <v>1076</v>
      </c>
      <c r="D8" s="2993">
        <f t="shared" ca="1" si="1"/>
        <v>4040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111184.34000000001</v>
      </c>
      <c r="C14" s="2997">
        <f>结果表!K38</f>
        <v>20122.04</v>
      </c>
      <c r="D14" s="2997">
        <f ca="1">结果表!C42</f>
        <v>14357</v>
      </c>
      <c r="E14" s="2997">
        <f ca="1">ROUND(D14*10000/B14,0)</f>
        <v>1291</v>
      </c>
      <c r="F14" s="2997">
        <f ca="1">ROUND(D14*10000/C14,0)</f>
        <v>7135</v>
      </c>
      <c r="G14" s="2997">
        <f ca="1">结果表!C44</f>
        <v>14357</v>
      </c>
      <c r="H14" s="2997" t="str">
        <f>结果表!C45</f>
        <v>——</v>
      </c>
      <c r="I14" s="2997">
        <f ca="1">结果表!C46</f>
        <v>10172</v>
      </c>
    </row>
    <row r="15" spans="1:9" ht="16.5">
      <c r="A15" s="3000" t="s">
        <v>2860</v>
      </c>
      <c r="B15" s="3742">
        <f>[3]系统读取表!$B$14</f>
        <v>61891.23</v>
      </c>
      <c r="C15" s="3743">
        <f>'[4]数据-基础表'!$A$3</f>
        <v>25981.37</v>
      </c>
      <c r="D15" s="3742">
        <f>[5]系统读取表!$D$14</f>
        <v>10165</v>
      </c>
      <c r="E15" s="2997">
        <f t="shared" ref="E15:E23" si="2">ROUND(D15*10000/B15,0)</f>
        <v>1642</v>
      </c>
      <c r="F15" s="2997">
        <f t="shared" ref="F15:F23" si="3">ROUND(D15*10000/C15,0)</f>
        <v>3912</v>
      </c>
      <c r="G15" s="3744">
        <f>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780" t="str">
        <f>项目基本情况!B1</f>
        <v>出让国有建设用地使用权抵押价格预评估</v>
      </c>
      <c r="C37" s="3780"/>
      <c r="D37" s="3780"/>
      <c r="E37" s="3780"/>
      <c r="F37" s="3780"/>
      <c r="G37" s="3780"/>
      <c r="H37" s="3780"/>
      <c r="I37" s="3780"/>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F24" sqref="F2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07" t="str">
        <f>项目基本情况!K2</f>
        <v>出让国有建设用地使用权</v>
      </c>
      <c r="B2" s="4008"/>
      <c r="C2" s="4009"/>
      <c r="D2" s="4009"/>
      <c r="E2" s="4009"/>
      <c r="F2" s="4009"/>
      <c r="G2" s="4008"/>
      <c r="H2" s="4008"/>
      <c r="I2" s="4010"/>
      <c r="J2" s="2013"/>
      <c r="K2" s="2012"/>
      <c r="L2" s="2012"/>
      <c r="M2" s="2012"/>
      <c r="N2" s="2012"/>
      <c r="O2" s="2012"/>
      <c r="P2" s="2012"/>
      <c r="Q2" s="2012"/>
      <c r="R2" s="2012"/>
      <c r="S2" s="2012"/>
      <c r="T2" s="2012"/>
      <c r="U2" s="2012"/>
      <c r="V2" s="2012"/>
    </row>
    <row r="3" spans="1:22" ht="14.25">
      <c r="A3" s="4018" t="s">
        <v>298</v>
      </c>
      <c r="B3" s="4019"/>
      <c r="C3" s="4019"/>
      <c r="D3" s="4019"/>
      <c r="E3" s="4019"/>
      <c r="F3" s="4019"/>
      <c r="G3" s="4019"/>
      <c r="H3" s="4019"/>
      <c r="I3" s="4019"/>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82" t="s">
        <v>301</v>
      </c>
      <c r="F4" s="4024"/>
      <c r="G4" s="4024"/>
      <c r="H4" s="4024"/>
      <c r="I4" s="3983"/>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4011" t="s">
        <v>302</v>
      </c>
      <c r="B5" s="4012">
        <v>25</v>
      </c>
      <c r="C5" s="4020"/>
      <c r="D5" s="4023"/>
      <c r="E5" s="260" t="s">
        <v>303</v>
      </c>
      <c r="F5" s="261"/>
      <c r="G5" s="261"/>
      <c r="H5" s="261"/>
      <c r="I5" s="262"/>
      <c r="J5" s="2013"/>
      <c r="K5" s="2012"/>
      <c r="L5" s="2012"/>
      <c r="M5" s="2012"/>
      <c r="N5" s="2012"/>
      <c r="O5" s="2012"/>
      <c r="P5" s="2012"/>
      <c r="Q5" s="2012"/>
      <c r="R5" s="2012"/>
      <c r="S5" s="2012"/>
      <c r="T5" s="2012"/>
      <c r="U5" s="2012"/>
      <c r="V5" s="2012"/>
    </row>
    <row r="6" spans="1:22" ht="14.25">
      <c r="A6" s="4011"/>
      <c r="B6" s="4012"/>
      <c r="C6" s="4021"/>
      <c r="D6" s="4023"/>
      <c r="E6" s="260" t="s">
        <v>304</v>
      </c>
      <c r="F6" s="261"/>
      <c r="G6" s="261"/>
      <c r="H6" s="261"/>
      <c r="I6" s="262"/>
      <c r="J6" s="2013"/>
      <c r="K6" s="2012"/>
      <c r="L6" s="2012"/>
      <c r="M6" s="2012"/>
      <c r="N6" s="2012"/>
      <c r="O6" s="2012"/>
      <c r="P6" s="2012"/>
      <c r="Q6" s="2012"/>
      <c r="R6" s="2012"/>
      <c r="S6" s="2012"/>
      <c r="T6" s="2012"/>
      <c r="U6" s="2012"/>
      <c r="V6" s="2012"/>
    </row>
    <row r="7" spans="1:22" ht="14.25">
      <c r="A7" s="4011"/>
      <c r="B7" s="4012"/>
      <c r="C7" s="4022"/>
      <c r="D7" s="4023"/>
      <c r="E7" s="260" t="s">
        <v>305</v>
      </c>
      <c r="F7" s="261"/>
      <c r="G7" s="261"/>
      <c r="H7" s="261"/>
      <c r="I7" s="262"/>
      <c r="J7" s="2013"/>
      <c r="K7" s="2012"/>
      <c r="L7" s="2012"/>
      <c r="M7" s="2012"/>
      <c r="N7" s="2012"/>
      <c r="O7" s="2012"/>
      <c r="P7" s="2012"/>
      <c r="Q7" s="2012"/>
      <c r="R7" s="2012"/>
      <c r="S7" s="2012"/>
      <c r="T7" s="2012"/>
      <c r="U7" s="2012"/>
      <c r="V7" s="2012"/>
    </row>
    <row r="8" spans="1:22" ht="14.25">
      <c r="A8" s="4011" t="s">
        <v>306</v>
      </c>
      <c r="B8" s="4012">
        <v>15</v>
      </c>
      <c r="C8" s="4020"/>
      <c r="D8" s="4023"/>
      <c r="E8" s="260" t="s">
        <v>307</v>
      </c>
      <c r="F8" s="261"/>
      <c r="G8" s="261"/>
      <c r="H8" s="261"/>
      <c r="I8" s="262"/>
      <c r="J8" s="2013"/>
      <c r="K8" s="2012"/>
      <c r="L8" s="2012"/>
      <c r="M8" s="2012"/>
      <c r="N8" s="2012"/>
      <c r="O8" s="2012"/>
      <c r="P8" s="2012"/>
      <c r="Q8" s="2012"/>
      <c r="R8" s="2012"/>
      <c r="S8" s="2012"/>
      <c r="T8" s="2012"/>
      <c r="U8" s="2012"/>
      <c r="V8" s="2012"/>
    </row>
    <row r="9" spans="1:22" ht="14.25">
      <c r="A9" s="4011"/>
      <c r="B9" s="4012"/>
      <c r="C9" s="4022"/>
      <c r="D9" s="4023"/>
      <c r="E9" s="260" t="s">
        <v>308</v>
      </c>
      <c r="F9" s="261"/>
      <c r="G9" s="261"/>
      <c r="H9" s="261"/>
      <c r="I9" s="262"/>
      <c r="J9" s="2013"/>
      <c r="K9" s="2012"/>
      <c r="L9" s="2012"/>
      <c r="M9" s="2012"/>
      <c r="N9" s="2012"/>
      <c r="O9" s="2012"/>
      <c r="P9" s="2012"/>
      <c r="Q9" s="2012"/>
      <c r="R9" s="2012"/>
      <c r="S9" s="2012"/>
      <c r="T9" s="2012"/>
      <c r="U9" s="2012"/>
      <c r="V9" s="2012"/>
    </row>
    <row r="10" spans="1:22" ht="14.25">
      <c r="A10" s="4011" t="s">
        <v>309</v>
      </c>
      <c r="B10" s="4012">
        <v>15</v>
      </c>
      <c r="C10" s="4020"/>
      <c r="D10" s="4023"/>
      <c r="E10" s="260" t="s">
        <v>310</v>
      </c>
      <c r="F10" s="261"/>
      <c r="G10" s="261"/>
      <c r="H10" s="261"/>
      <c r="I10" s="262"/>
      <c r="J10" s="2013"/>
      <c r="K10" s="2012"/>
      <c r="L10" s="2012"/>
      <c r="M10" s="2012"/>
      <c r="N10" s="2012"/>
      <c r="O10" s="2012"/>
      <c r="P10" s="2012"/>
      <c r="Q10" s="2012"/>
      <c r="R10" s="2012"/>
      <c r="S10" s="2012"/>
      <c r="T10" s="2012"/>
      <c r="U10" s="2012"/>
      <c r="V10" s="2012"/>
    </row>
    <row r="11" spans="1:22" ht="14.25">
      <c r="A11" s="4011"/>
      <c r="B11" s="4012"/>
      <c r="C11" s="4022"/>
      <c r="D11" s="4023"/>
      <c r="E11" s="260" t="s">
        <v>311</v>
      </c>
      <c r="F11" s="261"/>
      <c r="G11" s="261"/>
      <c r="H11" s="261"/>
      <c r="I11" s="262"/>
      <c r="J11" s="2013"/>
      <c r="K11" s="2012"/>
      <c r="L11" s="2012"/>
      <c r="M11" s="2012"/>
      <c r="N11" s="2012"/>
      <c r="O11" s="2012"/>
      <c r="P11" s="2012"/>
      <c r="Q11" s="2012"/>
      <c r="R11" s="2012"/>
      <c r="S11" s="2012"/>
      <c r="T11" s="2012"/>
      <c r="U11" s="2012"/>
      <c r="V11" s="2012"/>
    </row>
    <row r="12" spans="1:22" ht="14.25">
      <c r="A12" s="4011" t="s">
        <v>312</v>
      </c>
      <c r="B12" s="4012">
        <v>15</v>
      </c>
      <c r="C12" s="4020"/>
      <c r="D12" s="4023"/>
      <c r="E12" s="260" t="s">
        <v>313</v>
      </c>
      <c r="F12" s="261"/>
      <c r="G12" s="261"/>
      <c r="H12" s="261"/>
      <c r="I12" s="262"/>
      <c r="J12" s="2013"/>
      <c r="K12" s="2012"/>
      <c r="L12" s="2012"/>
      <c r="M12" s="2012"/>
      <c r="N12" s="2012"/>
      <c r="O12" s="2012"/>
      <c r="P12" s="2012"/>
      <c r="Q12" s="2012"/>
      <c r="R12" s="2012"/>
      <c r="S12" s="2012"/>
      <c r="T12" s="2012"/>
      <c r="U12" s="2012"/>
      <c r="V12" s="2012"/>
    </row>
    <row r="13" spans="1:22" ht="14.25">
      <c r="A13" s="4011"/>
      <c r="B13" s="4012"/>
      <c r="C13" s="4022"/>
      <c r="D13" s="4023"/>
      <c r="E13" s="260" t="s">
        <v>314</v>
      </c>
      <c r="F13" s="261"/>
      <c r="G13" s="261"/>
      <c r="H13" s="261"/>
      <c r="I13" s="262"/>
      <c r="J13" s="2013"/>
      <c r="K13" s="2012"/>
      <c r="L13" s="2012"/>
      <c r="M13" s="2012"/>
      <c r="N13" s="2012"/>
      <c r="O13" s="2012"/>
      <c r="P13" s="2012"/>
      <c r="Q13" s="2012"/>
      <c r="R13" s="2012"/>
      <c r="S13" s="2012"/>
      <c r="T13" s="2012"/>
      <c r="U13" s="2012"/>
      <c r="V13" s="2012"/>
    </row>
    <row r="14" spans="1:22" ht="14.25">
      <c r="A14" s="4011" t="s">
        <v>315</v>
      </c>
      <c r="B14" s="4012">
        <v>30</v>
      </c>
      <c r="C14" s="4020">
        <v>40</v>
      </c>
      <c r="D14" s="4023">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4011"/>
      <c r="B15" s="4012"/>
      <c r="C15" s="4021"/>
      <c r="D15" s="4023"/>
      <c r="E15" s="260" t="s">
        <v>317</v>
      </c>
      <c r="F15" s="261"/>
      <c r="G15" s="261"/>
      <c r="H15" s="261"/>
      <c r="I15" s="262"/>
      <c r="J15" s="2013"/>
      <c r="K15" s="2012"/>
      <c r="L15" s="2012"/>
      <c r="M15" s="2012"/>
      <c r="N15" s="2012"/>
      <c r="O15" s="2012"/>
      <c r="P15" s="2012"/>
      <c r="Q15" s="2012"/>
      <c r="R15" s="2012"/>
      <c r="S15" s="2012"/>
      <c r="T15" s="2012"/>
      <c r="U15" s="2012"/>
      <c r="V15" s="2012"/>
    </row>
    <row r="16" spans="1:22" ht="14.25">
      <c r="A16" s="4011"/>
      <c r="B16" s="4012"/>
      <c r="C16" s="4022"/>
      <c r="D16" s="4023"/>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11624</v>
      </c>
      <c r="D19" s="270">
        <f ca="1">SUMIF(INDIRECT("'"&amp;D4&amp;"'"&amp;"!A:A"),结果表!B19,INDIRECT("'"&amp;D4&amp;"'"&amp;"!B:B"))</f>
        <v>16179</v>
      </c>
      <c r="E19" s="267" t="s">
        <v>323</v>
      </c>
      <c r="F19" s="268" t="s">
        <v>322</v>
      </c>
      <c r="G19" s="271">
        <f ca="1">ROUND(C19*$C$18+D19*$D$18,0)</f>
        <v>14357</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1045</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5777</v>
      </c>
      <c r="D21" s="151">
        <f ca="1">SUMIF(INDIRECT("'"&amp;D4&amp;"'"&amp;"!A:A"),结果表!B21,INDIRECT("'"&amp;D4&amp;"'"&amp;"!B:B"))</f>
        <v>8040</v>
      </c>
      <c r="E21" s="273"/>
      <c r="F21" s="279" t="s">
        <v>327</v>
      </c>
      <c r="G21" s="281">
        <f ca="1">ROUND(C21*$C$18+D21*$D$18,0)</f>
        <v>7135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0.39186166551961454</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84"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4026"/>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出让国有建设用地使用权价格：14357万元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大写金额：人民币壹亿肆仟叁佰伍拾柒万元整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单位面积地价：7135元/平方米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抵押价格：14357万元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大写金额：人民币壹亿肆仟叁佰伍拾柒万元整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14357</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84" t="s">
        <v>338</v>
      </c>
      <c r="F33" s="295" t="s">
        <v>339</v>
      </c>
      <c r="G33" s="296"/>
      <c r="H33" s="979"/>
      <c r="I33" s="1254"/>
      <c r="J33" s="2012"/>
      <c r="K33" s="1253" t="str">
        <f ca="1">IF(项目基本情况!E9="——","——","抵押净值："&amp;C46&amp;"万元")</f>
        <v>抵押净值：10172万元</v>
      </c>
      <c r="L33" s="1247"/>
      <c r="M33" s="1247"/>
      <c r="N33" s="1247"/>
      <c r="O33" s="1246"/>
      <c r="P33" s="2012"/>
      <c r="V33" s="2012"/>
    </row>
    <row r="34" spans="1:26" s="1249" customFormat="1" ht="18.75" thickBot="1">
      <c r="A34" s="299"/>
      <c r="B34" s="1381" t="s">
        <v>1692</v>
      </c>
      <c r="C34" s="263">
        <f ca="1">ROUND(C32*10000/'数据-汇总表'!D3,0)</f>
        <v>7135</v>
      </c>
      <c r="D34" s="1382" t="s">
        <v>1691</v>
      </c>
      <c r="E34" s="3985"/>
      <c r="F34" s="127" t="s">
        <v>341</v>
      </c>
      <c r="G34" s="298"/>
      <c r="H34" s="105"/>
      <c r="I34" s="310"/>
      <c r="J34" s="2012"/>
      <c r="K34" s="1256" t="str">
        <f ca="1">IF(K33="——","——","大写金额：人民币"&amp;NUMBERSTRING(INT(O41*10000),2)&amp;"元整")</f>
        <v>大写金额：人民币壹亿零壹佰柒拾贰万元整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3986"/>
      <c r="F35" s="300" t="s">
        <v>342</v>
      </c>
      <c r="G35" s="981"/>
      <c r="H35" s="980" t="s">
        <v>343</v>
      </c>
      <c r="I35" s="310"/>
      <c r="J35" s="2012"/>
      <c r="K35" s="3990" t="s">
        <v>350</v>
      </c>
      <c r="L35" s="3990" t="s">
        <v>351</v>
      </c>
      <c r="M35" s="1259" t="s">
        <v>352</v>
      </c>
      <c r="N35" s="3990" t="s">
        <v>353</v>
      </c>
      <c r="O35" s="3990" t="s">
        <v>354</v>
      </c>
      <c r="P35" s="2012"/>
      <c r="V35" s="2012"/>
    </row>
    <row r="36" spans="1:26" ht="16.5" customHeight="1">
      <c r="A36" s="302" t="s">
        <v>344</v>
      </c>
      <c r="B36" s="303" t="s">
        <v>333</v>
      </c>
      <c r="C36" s="304" t="s">
        <v>345</v>
      </c>
      <c r="D36" s="304" t="s">
        <v>346</v>
      </c>
      <c r="E36" s="305" t="s">
        <v>347</v>
      </c>
      <c r="F36" s="310"/>
      <c r="G36" s="310"/>
      <c r="H36" s="310"/>
      <c r="I36" s="310"/>
      <c r="J36" s="2014"/>
      <c r="K36" s="3991"/>
      <c r="L36" s="3991"/>
      <c r="M36" s="1261" t="s">
        <v>355</v>
      </c>
      <c r="N36" s="3991"/>
      <c r="O36" s="3991"/>
      <c r="P36" s="2012"/>
      <c r="V36" s="2012"/>
    </row>
    <row r="37" spans="1:26" ht="16.5" customHeight="1" thickBot="1">
      <c r="A37" s="1255" t="s">
        <v>348</v>
      </c>
      <c r="B37" s="306"/>
      <c r="C37" s="293"/>
      <c r="D37" s="293"/>
      <c r="E37" s="294"/>
      <c r="F37" s="310"/>
      <c r="G37" s="310"/>
      <c r="H37" s="310"/>
      <c r="I37" s="310"/>
      <c r="J37" s="2014"/>
      <c r="K37" s="3992"/>
      <c r="L37" s="3992"/>
      <c r="M37" s="1262"/>
      <c r="N37" s="3992"/>
      <c r="O37" s="3992"/>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111184.34000000001</v>
      </c>
      <c r="M38" s="1264">
        <f ca="1">C34</f>
        <v>7135</v>
      </c>
      <c r="N38" s="1264">
        <f ca="1">C33</f>
        <v>1291</v>
      </c>
      <c r="O38" s="1265">
        <f ca="1">C32</f>
        <v>14357</v>
      </c>
      <c r="P38" s="2012"/>
      <c r="V38" s="2012"/>
    </row>
    <row r="39" spans="1:26" ht="16.5" customHeight="1" thickBot="1">
      <c r="A39" s="1260"/>
      <c r="B39" s="307"/>
      <c r="C39" s="308"/>
      <c r="D39" s="308"/>
      <c r="E39" s="309"/>
      <c r="F39" s="310"/>
      <c r="G39" s="310"/>
      <c r="H39" s="310"/>
      <c r="I39" s="310"/>
      <c r="J39" s="2014"/>
      <c r="K39" s="3967" t="str">
        <f>MID(A44,3,LEN(A44)-2)</f>
        <v>抵押价格</v>
      </c>
      <c r="L39" s="3968"/>
      <c r="M39" s="3968"/>
      <c r="N39" s="3969"/>
      <c r="O39" s="1387">
        <f ca="1">C44</f>
        <v>14357</v>
      </c>
      <c r="P39" s="2012"/>
      <c r="V39" s="2012"/>
    </row>
    <row r="40" spans="1:26" ht="19.5" thickBot="1">
      <c r="A40" s="104" t="s">
        <v>873</v>
      </c>
      <c r="B40" s="310"/>
      <c r="C40" s="310"/>
      <c r="D40" s="310"/>
      <c r="E40" s="310"/>
      <c r="F40" s="310"/>
      <c r="G40" s="310"/>
      <c r="H40" s="310"/>
      <c r="I40" s="310"/>
      <c r="J40" s="2014"/>
      <c r="K40" s="3967" t="str">
        <f t="shared" ref="K40:K41" si="0">MID(A45,3,LEN(A45)-2)</f>
        <v/>
      </c>
      <c r="L40" s="3968"/>
      <c r="M40" s="3968"/>
      <c r="N40" s="3969"/>
      <c r="O40" s="1387" t="str">
        <f>C45</f>
        <v>——</v>
      </c>
      <c r="P40" s="2012"/>
      <c r="V40" s="2012"/>
    </row>
    <row r="41" spans="1:26" ht="16.5" thickBot="1">
      <c r="A41" s="311" t="s">
        <v>356</v>
      </c>
      <c r="B41" s="312"/>
      <c r="C41" s="313" t="s">
        <v>357</v>
      </c>
      <c r="D41" s="314" t="s">
        <v>358</v>
      </c>
      <c r="E41" s="314" t="s">
        <v>359</v>
      </c>
      <c r="F41" s="315" t="s">
        <v>360</v>
      </c>
      <c r="G41" s="310"/>
      <c r="H41" s="310"/>
      <c r="I41" s="310"/>
      <c r="J41" s="2014"/>
      <c r="K41" s="3967" t="str">
        <f t="shared" si="0"/>
        <v>抵押净值</v>
      </c>
      <c r="L41" s="3968"/>
      <c r="M41" s="3968"/>
      <c r="N41" s="3969"/>
      <c r="O41" s="1387">
        <f ca="1">C46</f>
        <v>10172</v>
      </c>
      <c r="P41" s="2012"/>
      <c r="V41" s="2012"/>
    </row>
    <row r="42" spans="1:26" ht="29.25">
      <c r="A42" s="4027" t="s">
        <v>2067</v>
      </c>
      <c r="B42" s="4028"/>
      <c r="C42" s="263">
        <f ca="1">C32</f>
        <v>14357</v>
      </c>
      <c r="D42" s="316">
        <f ca="1">C33</f>
        <v>1291</v>
      </c>
      <c r="E42" s="316">
        <f ca="1">C34</f>
        <v>7135</v>
      </c>
      <c r="F42" s="317">
        <f ca="1">C35</f>
        <v>476</v>
      </c>
      <c r="G42" s="310"/>
      <c r="H42" s="310"/>
      <c r="I42" s="318"/>
      <c r="J42" s="2014"/>
      <c r="K42" s="1266" t="s">
        <v>361</v>
      </c>
      <c r="L42" s="2031" t="s">
        <v>362</v>
      </c>
      <c r="M42" s="1267" t="s">
        <v>363</v>
      </c>
      <c r="N42" s="2032" t="s">
        <v>364</v>
      </c>
      <c r="O42" s="2033" t="s">
        <v>365</v>
      </c>
      <c r="P42" s="2012"/>
      <c r="V42" s="2012"/>
    </row>
    <row r="43" spans="1:26" ht="30">
      <c r="A43" s="4037" t="s">
        <v>2729</v>
      </c>
      <c r="B43" s="4038"/>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11624</v>
      </c>
      <c r="M43" s="1270">
        <f>C18</f>
        <v>0.4</v>
      </c>
      <c r="N43" s="1271">
        <f ca="1">IF(N42="测算结果/万元",G19,G20)</f>
        <v>14357</v>
      </c>
      <c r="O43" s="1272">
        <f ca="1">IF(O42="最终结果/万元",C32,C33)</f>
        <v>14357</v>
      </c>
      <c r="P43" s="2012"/>
      <c r="V43" s="2012"/>
    </row>
    <row r="44" spans="1:26" ht="30.75" thickBot="1">
      <c r="A44" s="4027" t="str">
        <f>IF(OR(项目基本情况!E8="抵押价格",项目基本情况!E8="已注销及未注销"),"3.抵押价格","——")</f>
        <v>3.抵押价格</v>
      </c>
      <c r="B44" s="4028"/>
      <c r="C44" s="263">
        <f ca="1">IF(A44="——","——",C42-C43)</f>
        <v>14357</v>
      </c>
      <c r="D44" s="316">
        <f ca="1">ROUND(C44*10000/'数据-汇总表'!E3,0)</f>
        <v>1291</v>
      </c>
      <c r="E44" s="316">
        <f ca="1">ROUND(C44*10000/'数据-汇总表'!D3,0)</f>
        <v>7135</v>
      </c>
      <c r="F44" s="317">
        <f ca="1">ROUND(C44/('数据-汇总表'!D3/666.67),0)</f>
        <v>476</v>
      </c>
      <c r="G44" s="310"/>
      <c r="H44" s="310"/>
      <c r="I44" s="318"/>
      <c r="J44" s="2014"/>
      <c r="K44" s="1273" t="str">
        <f>D4</f>
        <v>剩余法-待开发</v>
      </c>
      <c r="L44" s="1274">
        <f ca="1">IF(L42="估价结果/万元",D19,D20)</f>
        <v>16179</v>
      </c>
      <c r="M44" s="1275">
        <f>D18</f>
        <v>0.6</v>
      </c>
      <c r="N44" s="1276"/>
      <c r="O44" s="1277"/>
      <c r="P44" s="2012"/>
      <c r="V44" s="2012"/>
    </row>
    <row r="45" spans="1:26" ht="15">
      <c r="A45" s="4032" t="str">
        <f>IF(项目基本情况!E8="已注销及未注销","4.抵押担保权已注销时的抵押价格",IF(项目基本情况!E8="已注销","3.抵押担保权已注销时的抵押价格","——"))</f>
        <v>——</v>
      </c>
      <c r="B45" s="403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29" t="str">
        <f>IF(项目基本情况!E9="抵押净值",IF(A45="——","4.抵押净值","5.抵押净值"),"——")</f>
        <v>4.抵押净值</v>
      </c>
      <c r="B46" s="4030"/>
      <c r="C46" s="319">
        <f ca="1">IF(A46="——","——",O79)</f>
        <v>10172</v>
      </c>
      <c r="D46" s="316">
        <f ca="1">ROUND(C46*10000/'数据-汇总表'!E3,0)</f>
        <v>915</v>
      </c>
      <c r="E46" s="316">
        <f ca="1">ROUND(C46*10000/'数据-汇总表'!D3,0)</f>
        <v>5055</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995" t="s">
        <v>374</v>
      </c>
      <c r="B63" s="3996"/>
      <c r="C63" s="3997"/>
      <c r="D63" s="340">
        <f ca="1">ROUND(C42*F63,0)</f>
        <v>14357</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34" t="s">
        <v>378</v>
      </c>
      <c r="B64" s="4035"/>
      <c r="C64" s="4035"/>
      <c r="D64" s="4035"/>
      <c r="E64" s="4035"/>
      <c r="F64" s="4035"/>
      <c r="G64" s="4036"/>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31" t="s">
        <v>386</v>
      </c>
      <c r="B66" s="4002"/>
      <c r="C66" s="4002"/>
      <c r="D66" s="260">
        <f ca="1">IF(H66="情况1",0,IF(H66="情况2",D70,IF(H66="情况3",D71,IF(H66="情况4",D72))))</f>
        <v>752</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971" t="s">
        <v>385</v>
      </c>
      <c r="M66" s="3972"/>
      <c r="N66" s="2421"/>
      <c r="O66" s="2422"/>
      <c r="P66" s="2423"/>
      <c r="Q66" s="2012"/>
      <c r="R66" s="2012"/>
      <c r="S66" s="2012"/>
      <c r="T66" s="2012"/>
      <c r="U66" s="2012"/>
      <c r="V66" s="2012"/>
    </row>
    <row r="67" spans="1:22" ht="25.5" customHeight="1">
      <c r="A67" s="351" t="s">
        <v>390</v>
      </c>
      <c r="B67" s="4014" t="s">
        <v>391</v>
      </c>
      <c r="C67" s="4014"/>
      <c r="D67" s="352">
        <v>0</v>
      </c>
      <c r="E67" s="41" t="s">
        <v>392</v>
      </c>
      <c r="F67" s="62" t="s">
        <v>21</v>
      </c>
      <c r="G67" s="3998"/>
      <c r="H67" s="310"/>
      <c r="I67" s="1287"/>
      <c r="J67" s="2019"/>
      <c r="K67" s="1960">
        <v>2</v>
      </c>
      <c r="L67" s="3970" t="s">
        <v>389</v>
      </c>
      <c r="M67" s="3970"/>
      <c r="N67" s="1320">
        <f>'数据-取费表'!B2</f>
        <v>43671</v>
      </c>
      <c r="O67" s="1320"/>
      <c r="P67" s="1320"/>
      <c r="Q67" s="2012"/>
      <c r="R67" s="2012"/>
      <c r="S67" s="2012"/>
      <c r="T67" s="2012"/>
      <c r="U67" s="2012"/>
      <c r="V67" s="2012"/>
    </row>
    <row r="68" spans="1:22" ht="25.5" customHeight="1">
      <c r="A68" s="353"/>
      <c r="B68" s="4014" t="s">
        <v>394</v>
      </c>
      <c r="C68" s="4014"/>
      <c r="D68" s="354"/>
      <c r="E68" s="77"/>
      <c r="F68" s="355"/>
      <c r="G68" s="3999"/>
      <c r="H68" s="310"/>
      <c r="I68" s="1287"/>
      <c r="J68" s="2019"/>
      <c r="K68" s="1960">
        <v>3</v>
      </c>
      <c r="L68" s="3970" t="s">
        <v>393</v>
      </c>
      <c r="M68" s="3970"/>
      <c r="N68" s="1288">
        <f ca="1">C42</f>
        <v>14357</v>
      </c>
      <c r="O68" s="1288"/>
      <c r="P68" s="1288"/>
      <c r="Q68" s="2012"/>
      <c r="R68" s="2012"/>
      <c r="S68" s="2012"/>
      <c r="T68" s="2012"/>
      <c r="U68" s="2012"/>
      <c r="V68" s="2012"/>
    </row>
    <row r="69" spans="1:22" ht="12" customHeight="1">
      <c r="A69" s="356"/>
      <c r="B69" s="4014" t="s">
        <v>395</v>
      </c>
      <c r="C69" s="4014"/>
      <c r="D69" s="357"/>
      <c r="E69" s="73"/>
      <c r="F69" s="355"/>
      <c r="G69" s="4000"/>
      <c r="H69" s="310"/>
      <c r="I69" s="1287"/>
      <c r="J69" s="2019"/>
      <c r="K69" s="1289">
        <v>4</v>
      </c>
      <c r="L69" s="3976" t="s">
        <v>2882</v>
      </c>
      <c r="M69" s="3977"/>
      <c r="N69" s="1290">
        <f ca="1">C44</f>
        <v>14357</v>
      </c>
      <c r="O69" s="1290"/>
      <c r="P69" s="1290"/>
      <c r="Q69" s="2012"/>
      <c r="R69" s="2012"/>
      <c r="S69" s="2012"/>
      <c r="T69" s="2012"/>
      <c r="U69" s="2012"/>
      <c r="V69" s="2012"/>
    </row>
    <row r="70" spans="1:22" ht="24" customHeight="1">
      <c r="A70" s="358" t="s">
        <v>396</v>
      </c>
      <c r="B70" s="4014" t="s">
        <v>397</v>
      </c>
      <c r="C70" s="4014"/>
      <c r="D70" s="357">
        <f ca="1">ROUND(D63*'数据-取费表'!B41/(1+'数据-取费表'!C42),0)</f>
        <v>752</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4013" t="s">
        <v>405</v>
      </c>
      <c r="C71" s="4025"/>
      <c r="D71" s="357">
        <f ca="1">ROUND(D63*'数据-取费表'!B41/(1+'数据-取费表'!C42),0)</f>
        <v>752</v>
      </c>
      <c r="E71" s="17" t="s">
        <v>398</v>
      </c>
      <c r="F71" s="359">
        <f>'数据-取费表'!B41</f>
        <v>5.5000000000000007E-2</v>
      </c>
      <c r="G71" s="360"/>
      <c r="H71" s="310"/>
      <c r="I71" s="1287"/>
      <c r="J71" s="2019"/>
      <c r="K71" s="3009" t="s">
        <v>399</v>
      </c>
      <c r="L71" s="3978" t="s">
        <v>400</v>
      </c>
      <c r="M71" s="3978"/>
      <c r="N71" s="3009" t="s">
        <v>401</v>
      </c>
      <c r="O71" s="3009" t="s">
        <v>402</v>
      </c>
      <c r="P71" s="3009" t="s">
        <v>403</v>
      </c>
      <c r="Q71" s="2012"/>
      <c r="R71" s="2012"/>
      <c r="S71" s="2012"/>
      <c r="T71" s="2012"/>
      <c r="U71" s="2012"/>
      <c r="V71" s="2012"/>
    </row>
    <row r="72" spans="1:22" ht="12" customHeight="1">
      <c r="A72" s="358" t="s">
        <v>407</v>
      </c>
      <c r="B72" s="4013" t="s">
        <v>408</v>
      </c>
      <c r="C72" s="4025"/>
      <c r="D72" s="357">
        <f ca="1">C86</f>
        <v>642</v>
      </c>
      <c r="E72" s="73" t="s">
        <v>409</v>
      </c>
      <c r="F72" s="359">
        <f>'数据-取费表'!B41</f>
        <v>5.5000000000000007E-2</v>
      </c>
      <c r="G72" s="360"/>
      <c r="H72" s="1293"/>
      <c r="I72" s="1287"/>
      <c r="J72" s="2019"/>
      <c r="K72" s="1960">
        <v>1</v>
      </c>
      <c r="L72" s="3975" t="s">
        <v>406</v>
      </c>
      <c r="M72" s="3975"/>
      <c r="N72" s="1291">
        <f ca="1">D66</f>
        <v>752</v>
      </c>
      <c r="O72" s="1843" t="str">
        <f>E66</f>
        <v>销售额×税（费）率</v>
      </c>
      <c r="P72" s="1292">
        <f>F66</f>
        <v>5.5000000000000007E-2</v>
      </c>
      <c r="Q72" s="2012"/>
      <c r="R72" s="2012"/>
      <c r="S72" s="2012"/>
      <c r="T72" s="2012"/>
      <c r="U72" s="2012"/>
      <c r="V72" s="2012"/>
    </row>
    <row r="73" spans="1:22" ht="24" customHeight="1">
      <c r="A73" s="4001" t="s">
        <v>411</v>
      </c>
      <c r="B73" s="4002"/>
      <c r="C73" s="4002"/>
      <c r="D73" s="361">
        <f ca="1">IF(H73="个人住宅",0,ROUND(D63*I73,0))</f>
        <v>7</v>
      </c>
      <c r="E73" s="17" t="s">
        <v>412</v>
      </c>
      <c r="F73" s="359">
        <f>IF(H73="正常",I73,"免征")</f>
        <v>5.0000000000000001E-4</v>
      </c>
      <c r="G73" s="360"/>
      <c r="H73" s="191" t="s">
        <v>3012</v>
      </c>
      <c r="I73" s="359">
        <f>'数据-取费表'!B49</f>
        <v>5.0000000000000001E-4</v>
      </c>
      <c r="J73" s="2019"/>
      <c r="K73" s="1960">
        <v>2</v>
      </c>
      <c r="L73" s="3975" t="s">
        <v>410</v>
      </c>
      <c r="M73" s="3975"/>
      <c r="N73" s="1291">
        <f t="shared" ref="N73:P74" ca="1" si="1">D73</f>
        <v>7</v>
      </c>
      <c r="O73" s="1843" t="str">
        <f t="shared" si="1"/>
        <v>销售额×税（费）率</v>
      </c>
      <c r="P73" s="1292">
        <f t="shared" si="1"/>
        <v>5.0000000000000001E-4</v>
      </c>
      <c r="Q73" s="2012"/>
      <c r="R73" s="2012"/>
      <c r="S73" s="2012"/>
      <c r="T73" s="2012"/>
      <c r="U73" s="2012"/>
      <c r="V73" s="2012"/>
    </row>
    <row r="74" spans="1:22" ht="24.75">
      <c r="A74" s="4001" t="s">
        <v>415</v>
      </c>
      <c r="B74" s="4002"/>
      <c r="C74" s="4002"/>
      <c r="D74" s="361">
        <f ca="1">IF(H74="个人住宅",D75,D76)</f>
        <v>3426</v>
      </c>
      <c r="E74" s="17" t="s">
        <v>416</v>
      </c>
      <c r="F74" s="359" t="str">
        <f>IF(H74="正常",F76,"免征")</f>
        <v>——</v>
      </c>
      <c r="G74" s="982" t="s">
        <v>417</v>
      </c>
      <c r="H74" s="362" t="s">
        <v>413</v>
      </c>
      <c r="I74" s="42"/>
      <c r="J74" s="2019"/>
      <c r="K74" s="1960">
        <v>3</v>
      </c>
      <c r="L74" s="3975" t="s">
        <v>414</v>
      </c>
      <c r="M74" s="3975"/>
      <c r="N74" s="1291">
        <f t="shared" ca="1" si="1"/>
        <v>3426</v>
      </c>
      <c r="O74" s="1843" t="str">
        <f t="shared" si="1"/>
        <v>增值额×税（费）率</v>
      </c>
      <c r="P74" s="1294" t="str">
        <f t="shared" si="1"/>
        <v>——</v>
      </c>
      <c r="Q74" s="2012"/>
      <c r="R74" s="2012"/>
      <c r="S74" s="2012"/>
      <c r="T74" s="2012"/>
      <c r="U74" s="2012"/>
      <c r="V74" s="2012"/>
    </row>
    <row r="75" spans="1:22" ht="12.75">
      <c r="A75" s="358" t="s">
        <v>418</v>
      </c>
      <c r="B75" s="3982" t="s">
        <v>419</v>
      </c>
      <c r="C75" s="3983"/>
      <c r="D75" s="363">
        <v>0</v>
      </c>
      <c r="E75" s="41" t="s">
        <v>420</v>
      </c>
      <c r="F75" s="364"/>
      <c r="G75" s="360"/>
      <c r="H75" s="42"/>
      <c r="I75" s="42"/>
      <c r="J75" s="2019"/>
      <c r="K75" s="3002" t="str">
        <f>IF(H77="非个人房产","",4)</f>
        <v/>
      </c>
      <c r="L75" s="3975" t="str">
        <f>IF(H77="非个人房产","——","个人所得税")</f>
        <v>——</v>
      </c>
      <c r="M75" s="3975"/>
      <c r="N75" s="1295" t="str">
        <f>D77</f>
        <v>——</v>
      </c>
      <c r="O75" s="1856" t="str">
        <f>E77</f>
        <v>——</v>
      </c>
      <c r="P75" s="1296" t="str">
        <f>F77</f>
        <v>——</v>
      </c>
      <c r="Q75" s="2012"/>
      <c r="R75" s="2012"/>
      <c r="S75" s="2012"/>
      <c r="T75" s="2012"/>
      <c r="U75" s="2012"/>
      <c r="V75" s="2012"/>
    </row>
    <row r="76" spans="1:22" ht="24.75">
      <c r="A76" s="358" t="s">
        <v>396</v>
      </c>
      <c r="B76" s="3982" t="s">
        <v>422</v>
      </c>
      <c r="C76" s="4024"/>
      <c r="D76" s="361">
        <f ca="1">IF(H76="转让取得",C99,C115)</f>
        <v>3426</v>
      </c>
      <c r="E76" s="17" t="s">
        <v>423</v>
      </c>
      <c r="F76" s="53" t="s">
        <v>21</v>
      </c>
      <c r="G76" s="360"/>
      <c r="H76" s="362" t="s">
        <v>424</v>
      </c>
      <c r="I76" s="42"/>
      <c r="J76" s="2019"/>
      <c r="K76" s="3002" t="str">
        <f>IF(项目基本情况!K6="上海银行",IF(K75="",4,K75+1),"")</f>
        <v/>
      </c>
      <c r="L76" s="3963" t="str">
        <f>IF(项目基本情况!K6="上海银行","其他处置费用","")</f>
        <v/>
      </c>
      <c r="M76" s="3964"/>
      <c r="N76" s="1291" t="str">
        <f>IF(项目基本情况!K6="上海银行",N89,"")</f>
        <v/>
      </c>
      <c r="O76" s="3965" t="str">
        <f>IF(项目基本情况!K6="上海银行","包含处置中涉及的律师、诉讼、拍卖、评估等费用","")</f>
        <v/>
      </c>
      <c r="P76" s="3966"/>
      <c r="Q76" s="2012"/>
      <c r="R76" s="2012"/>
      <c r="S76" s="2012"/>
      <c r="T76" s="2012"/>
      <c r="U76" s="2012"/>
      <c r="V76" s="2012"/>
    </row>
    <row r="77" spans="1:22" ht="24.75" thickBot="1">
      <c r="A77" s="3993" t="s">
        <v>426</v>
      </c>
      <c r="B77" s="3994"/>
      <c r="C77" s="3994"/>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3989">
        <f>IF(AND(K75="",K76=""),4,IF(项目基本情况!K6="上海银行",K76+1,K75+1))</f>
        <v>4</v>
      </c>
      <c r="L77" s="3975" t="s">
        <v>2883</v>
      </c>
      <c r="M77" s="3008" t="s">
        <v>421</v>
      </c>
      <c r="N77" s="1297"/>
      <c r="O77" s="1298">
        <f ca="1">SUMIF(N72:N76,"&lt;9e307")</f>
        <v>4185</v>
      </c>
      <c r="P77" s="1299"/>
      <c r="Q77" s="3006">
        <f ca="1">O77/N69</f>
        <v>0.29149543776554993</v>
      </c>
      <c r="R77" s="2012"/>
      <c r="S77" s="2012"/>
      <c r="T77" s="2012"/>
      <c r="U77" s="2012"/>
      <c r="V77" s="2012"/>
    </row>
    <row r="78" spans="1:22" ht="12" customHeight="1">
      <c r="A78" s="1300"/>
      <c r="B78" s="310"/>
      <c r="C78" s="310"/>
      <c r="D78" s="310"/>
      <c r="E78" s="42"/>
      <c r="F78" s="42"/>
      <c r="G78" s="42"/>
      <c r="H78" s="1002"/>
      <c r="I78" s="310"/>
      <c r="J78" s="2019"/>
      <c r="K78" s="3989"/>
      <c r="L78" s="3975"/>
      <c r="M78" s="3008" t="s">
        <v>425</v>
      </c>
      <c r="N78" s="1297"/>
      <c r="O78" s="1298" t="str">
        <f ca="1">NUMBERSTRING(INT(O77*10000),2)&amp;"元整"</f>
        <v>肆仟壹佰捌拾伍万元整</v>
      </c>
      <c r="P78" s="1299"/>
      <c r="Q78" s="2012"/>
      <c r="R78" s="2012"/>
      <c r="S78" s="2012"/>
      <c r="T78" s="2012"/>
      <c r="U78" s="2012"/>
      <c r="V78" s="2012"/>
    </row>
    <row r="79" spans="1:22" ht="13.5" thickBot="1">
      <c r="A79" s="3979" t="s">
        <v>427</v>
      </c>
      <c r="B79" s="3979"/>
      <c r="C79" s="3979"/>
      <c r="D79" s="3979"/>
      <c r="E79" s="3979"/>
      <c r="F79" s="42"/>
      <c r="G79" s="42"/>
      <c r="H79" s="1002"/>
      <c r="I79" s="310"/>
      <c r="J79" s="2019"/>
      <c r="K79" s="3973">
        <f>K77+1</f>
        <v>5</v>
      </c>
      <c r="L79" s="3975" t="s">
        <v>2884</v>
      </c>
      <c r="M79" s="3008" t="s">
        <v>421</v>
      </c>
      <c r="N79" s="1297"/>
      <c r="O79" s="1298">
        <f ca="1">N69-O77</f>
        <v>10172</v>
      </c>
      <c r="P79" s="1299"/>
      <c r="Q79" s="2012"/>
      <c r="R79" s="2012"/>
      <c r="S79" s="2012"/>
      <c r="T79" s="2012"/>
      <c r="U79" s="2012"/>
      <c r="V79" s="2012"/>
    </row>
    <row r="80" spans="1:22" ht="25.5">
      <c r="A80" s="3980" t="s">
        <v>428</v>
      </c>
      <c r="B80" s="3981"/>
      <c r="C80" s="993"/>
      <c r="D80" s="993" t="s">
        <v>429</v>
      </c>
      <c r="E80" s="369" t="s">
        <v>430</v>
      </c>
      <c r="F80" s="42"/>
      <c r="G80" s="42"/>
      <c r="H80" s="1002"/>
      <c r="I80" s="310"/>
      <c r="J80" s="2012"/>
      <c r="K80" s="3974"/>
      <c r="L80" s="3975"/>
      <c r="M80" s="3008" t="s">
        <v>425</v>
      </c>
      <c r="N80" s="1297"/>
      <c r="O80" s="1298" t="str">
        <f ca="1">NUMBERSTRING(INT(O79*10000),2)&amp;"元整"</f>
        <v>壹亿零壹佰柒拾贰万元整</v>
      </c>
      <c r="P80" s="1299"/>
      <c r="Q80" s="2012"/>
      <c r="R80" s="2012"/>
      <c r="S80" s="2012"/>
      <c r="T80" s="2012"/>
      <c r="U80" s="2012"/>
      <c r="V80" s="2012"/>
    </row>
    <row r="81" spans="1:26" ht="13.5" thickBot="1">
      <c r="A81" s="380" t="s">
        <v>1823</v>
      </c>
      <c r="B81" s="370" t="s">
        <v>431</v>
      </c>
      <c r="C81" s="371">
        <f ca="1">ROUND((C82+C83)/(1+'数据-取费表'!C42),0)</f>
        <v>13673</v>
      </c>
      <c r="D81" s="372"/>
      <c r="E81" s="373"/>
      <c r="F81" s="42"/>
      <c r="G81" s="42"/>
      <c r="H81" s="1002"/>
      <c r="I81" s="310"/>
      <c r="J81" s="2012"/>
      <c r="K81" s="3002">
        <f>K79+1</f>
        <v>6</v>
      </c>
      <c r="L81" s="3987" t="s">
        <v>2885</v>
      </c>
      <c r="M81" s="3988"/>
      <c r="N81" s="1301"/>
      <c r="O81" s="1302">
        <f ca="1">ROUND(O79*10000/'数据-汇总表'!E3,0)</f>
        <v>915</v>
      </c>
      <c r="P81" s="1303"/>
      <c r="Q81" s="2012"/>
      <c r="R81" s="2012"/>
      <c r="S81" s="2012"/>
      <c r="T81" s="2012"/>
      <c r="U81" s="2012"/>
      <c r="V81" s="2012"/>
    </row>
    <row r="82" spans="1:26" ht="13.5" thickTop="1">
      <c r="A82" s="374" t="s">
        <v>1824</v>
      </c>
      <c r="B82" s="375" t="s">
        <v>432</v>
      </c>
      <c r="C82" s="376">
        <f ca="1">D63</f>
        <v>14357</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962" t="s">
        <v>2873</v>
      </c>
      <c r="L83" s="3014" t="s">
        <v>2874</v>
      </c>
      <c r="M83" s="3004">
        <f ca="1">IF(N69&gt;10000,N69*0.5%,IF(AND(N69&gt;1000,N69&lt;=10000),N69*1%,IF(AND(N69&gt;100,N69&lt;=1000),N69*3%,IF(AND(N69&gt;10,N69&lt;=100),N69*5%,N69*8%))))</f>
        <v>71.784999999999997</v>
      </c>
      <c r="N83" s="53">
        <f ca="1">ROUND(M83,1)</f>
        <v>71.8</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3962"/>
      <c r="L84" s="3014" t="s">
        <v>2875</v>
      </c>
      <c r="M84" s="3004">
        <f ca="1">IF(N69&gt;2000,N69*0.5%,IF(AND(N69&gt;1000,N69&lt;=2000),N69*0.6%,IF(AND(N69&gt;500,N69&lt;=1000),N69*0.7%,IF(AND(N69&gt;200,N69&lt;=500),N69*0.8%,IF(AND(N69&gt;100,N69&lt;=200),N69*0.9%,IF(AND(N69&gt;50,N69&lt;=100),N69*1%,IF(AND(N69&gt;20,N69&lt;=50),N69*1.5%,IF(AND(N69&gt;10,N69&lt;=20),N69*2%,IF(AND(N69&gt;1,N69&lt;=10),N69*2.5%)))))))))</f>
        <v>71.784999999999997</v>
      </c>
      <c r="N84" s="53">
        <f t="shared" ref="N84:N85" ca="1" si="2">ROUND(M84,1)</f>
        <v>71.8</v>
      </c>
      <c r="O84" s="2012" t="s">
        <v>2876</v>
      </c>
      <c r="P84" s="2012">
        <f ca="1">O79+[5]结果表!$O$79</f>
        <v>18597</v>
      </c>
      <c r="Q84" s="2012"/>
      <c r="R84" s="2012"/>
      <c r="S84" s="2012"/>
      <c r="T84" s="2012"/>
      <c r="U84" s="2012"/>
      <c r="V84" s="2012"/>
    </row>
    <row r="85" spans="1:26" ht="12.75">
      <c r="A85" s="380" t="s">
        <v>1827</v>
      </c>
      <c r="B85" s="381" t="s">
        <v>435</v>
      </c>
      <c r="C85" s="384">
        <f ca="1">C81-C84</f>
        <v>11673</v>
      </c>
      <c r="D85" s="377" t="s">
        <v>19</v>
      </c>
      <c r="E85" s="378"/>
      <c r="F85" s="42"/>
      <c r="G85" s="42"/>
      <c r="H85" s="1002"/>
      <c r="I85" s="310"/>
      <c r="J85" s="2012"/>
      <c r="K85" s="3962"/>
      <c r="L85" s="3014" t="s">
        <v>2877</v>
      </c>
      <c r="M85" s="3004">
        <f ca="1">IF(N69&gt;1000,N69*0.1%,IF(AND(N69&gt;500,N69&lt;=1000),N69*0.5%,IF(AND(N69&gt;50,N69&lt;=500),N69*1%,IF(AND(N69&gt;1,N69&lt;=50),N69*1.5%))))</f>
        <v>14.357000000000001</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642</v>
      </c>
      <c r="D86" s="388">
        <f>'数据-取费表'!B41</f>
        <v>5.5000000000000007E-2</v>
      </c>
      <c r="E86" s="389"/>
      <c r="F86" s="42"/>
      <c r="G86" s="42"/>
      <c r="H86" s="1002"/>
      <c r="I86" s="310"/>
      <c r="J86" s="2012"/>
      <c r="K86" s="3962"/>
      <c r="L86" s="3014" t="s">
        <v>2878</v>
      </c>
      <c r="M86" s="3004">
        <f ca="1">N69*0.5%</f>
        <v>71.784999999999997</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62"/>
      <c r="L87" s="3014" t="s">
        <v>2880</v>
      </c>
      <c r="M87" s="3004">
        <f ca="1">IF(N69&gt;=10000,(8.25+(N69-10000)*0.01%),IF(AND(N69&gt;=8000,N69&lt;10000),(7.85+(N69-8000)*0.02%),IF(AND(N69&gt;=5000,N69&lt;8000),(6.65+(N69-5000)*0.04%),IF(AND(N69&gt;=2000,N69&lt;5000),(4.25+(PN69-2000)*0.08%),IF(AND(N69&gt;=1000,N69&lt;2000),(2.75+(N69-1000)*0.15%),IF(AND(N69&gt;=100,N69&lt;1000),(0.5+(N69-100)*0.25%),IF(AND(N69&gt;0,N69&lt;100),N69*0.5%)))))))</f>
        <v>8.6857000000000006</v>
      </c>
      <c r="N87" s="53">
        <f ca="1">ROUND(M87*0.9,1)</f>
        <v>7.8</v>
      </c>
      <c r="O87" s="3007"/>
      <c r="P87" s="310"/>
      <c r="Q87" s="2012"/>
      <c r="R87" s="2012"/>
      <c r="S87" s="2012"/>
      <c r="T87" s="2012"/>
      <c r="U87" s="2012"/>
      <c r="V87" s="2012"/>
      <c r="W87" s="291"/>
      <c r="X87" s="291"/>
      <c r="Y87" s="291"/>
      <c r="Z87" s="291"/>
    </row>
    <row r="88" spans="1:26" s="1309" customFormat="1" ht="15" thickBot="1">
      <c r="A88" s="4016" t="s">
        <v>437</v>
      </c>
      <c r="B88" s="4017"/>
      <c r="C88" s="4017"/>
      <c r="D88" s="4017"/>
      <c r="E88" s="4017"/>
      <c r="F88" s="4017"/>
      <c r="G88" s="4017"/>
      <c r="H88" s="4017"/>
      <c r="I88" s="1310"/>
      <c r="J88" s="2020"/>
      <c r="K88" s="3962"/>
      <c r="L88" s="3014" t="s">
        <v>2881</v>
      </c>
      <c r="M88" s="3004">
        <f ca="1">IF(N69&gt;10000,N69*0.5%,IF(AND(N69&gt;5000,N69&lt;=10000),N69*1%,IF(AND(N69&gt;1000,N69&lt;=5000),N69*2%,IF(AND(N69&gt;200,N69&lt;=1000),N69*3%,N69*5%))))</f>
        <v>71.784999999999997</v>
      </c>
      <c r="N88" s="53">
        <f ca="1">ROUND(M88,1)</f>
        <v>71.8</v>
      </c>
      <c r="O88" s="3007"/>
      <c r="P88" s="11"/>
      <c r="Q88" s="2017"/>
      <c r="R88" s="2017"/>
      <c r="S88" s="2017"/>
      <c r="T88" s="2017"/>
      <c r="U88" s="2017"/>
      <c r="V88" s="2017"/>
      <c r="W88" s="2021"/>
      <c r="X88" s="2021"/>
      <c r="Y88" s="2021"/>
      <c r="Z88" s="2021"/>
    </row>
    <row r="89" spans="1:26" s="1309" customFormat="1" ht="14.25">
      <c r="A89" s="3980" t="s">
        <v>428</v>
      </c>
      <c r="B89" s="3981"/>
      <c r="C89" s="993"/>
      <c r="D89" s="993" t="s">
        <v>429</v>
      </c>
      <c r="E89" s="390" t="s">
        <v>438</v>
      </c>
      <c r="F89" s="391"/>
      <c r="G89" s="391"/>
      <c r="H89" s="392"/>
      <c r="I89" s="1311"/>
      <c r="J89" s="2022"/>
      <c r="K89" s="3962"/>
      <c r="L89" s="3014" t="s">
        <v>27</v>
      </c>
      <c r="M89" s="3005"/>
      <c r="N89" s="53">
        <f ca="1">ROUND(SUM(N83:N88),0)</f>
        <v>238</v>
      </c>
      <c r="O89" s="3015">
        <f ca="1">N89/N69</f>
        <v>1.6577279375914189E-2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13673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4013" t="s">
        <v>447</v>
      </c>
      <c r="F94" s="4014"/>
      <c r="G94" s="4014"/>
      <c r="H94" s="401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4003" t="s">
        <v>2428</v>
      </c>
      <c r="F96" s="4004"/>
      <c r="G96" s="4004"/>
      <c r="H96" s="400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11044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4.2008368200836816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16" t="s">
        <v>454</v>
      </c>
      <c r="B101" s="4017"/>
      <c r="C101" s="4017"/>
      <c r="D101" s="4017"/>
      <c r="E101" s="4017"/>
      <c r="F101" s="4017"/>
      <c r="G101" s="4017"/>
      <c r="H101" s="401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980" t="s">
        <v>428</v>
      </c>
      <c r="B102" s="3981"/>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13673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06" t="s">
        <v>462</v>
      </c>
      <c r="F109" s="4004"/>
      <c r="G109" s="4004"/>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4006" t="s">
        <v>464</v>
      </c>
      <c r="F110" s="4004"/>
      <c r="G110" s="4004"/>
      <c r="H110" s="400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4003" t="s">
        <v>2428</v>
      </c>
      <c r="F111" s="4004"/>
      <c r="G111" s="4004"/>
      <c r="H111" s="400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06" t="s">
        <v>2453</v>
      </c>
      <c r="F112" s="4004"/>
      <c r="G112" s="4004"/>
      <c r="H112" s="400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8426</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1.6059985743093597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0" zoomScale="80" zoomScaleNormal="95" zoomScaleSheetLayoutView="80" workbookViewId="0">
      <selection activeCell="E58" sqref="E58"/>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61" t="s">
        <v>522</v>
      </c>
      <c r="D6" s="4062"/>
      <c r="E6" s="4061" t="s">
        <v>523</v>
      </c>
      <c r="F6" s="4062"/>
      <c r="G6" s="4061" t="s">
        <v>524</v>
      </c>
      <c r="H6" s="4062"/>
      <c r="I6" s="4061" t="s">
        <v>525</v>
      </c>
      <c r="J6" s="4062"/>
      <c r="K6" s="513" t="s">
        <v>526</v>
      </c>
      <c r="L6" s="2117"/>
      <c r="M6" s="2116"/>
      <c r="N6" s="2116"/>
      <c r="O6" s="2118"/>
      <c r="P6" s="4063" t="s">
        <v>527</v>
      </c>
      <c r="Q6" s="4064"/>
      <c r="R6" s="4049" t="s">
        <v>523</v>
      </c>
      <c r="S6" s="4050"/>
      <c r="T6" s="4049" t="s">
        <v>524</v>
      </c>
      <c r="U6" s="4050"/>
      <c r="V6" s="4069" t="s">
        <v>525</v>
      </c>
      <c r="W6" s="4069"/>
      <c r="X6" s="1552"/>
      <c r="Y6" s="4049" t="s">
        <v>527</v>
      </c>
      <c r="Z6" s="4050"/>
      <c r="AA6" s="4044" t="s">
        <v>523</v>
      </c>
      <c r="AB6" s="4045" t="s">
        <v>524</v>
      </c>
      <c r="AC6" s="4044" t="s">
        <v>525</v>
      </c>
    </row>
    <row r="7" spans="1:30" ht="39" customHeight="1">
      <c r="A7" s="514"/>
      <c r="B7" s="515"/>
      <c r="C7" s="4072" t="s">
        <v>2926</v>
      </c>
      <c r="D7" s="4073"/>
      <c r="E7" s="4072" t="str">
        <f>Sheet2!A2</f>
        <v>工业园区南区G9-02/01(规划编号E-53-02)地块</v>
      </c>
      <c r="F7" s="4073"/>
      <c r="G7" s="4072" t="str">
        <f>Sheet2!A8</f>
        <v>组团江北新城分区D6-6号地块</v>
      </c>
      <c r="H7" s="4073"/>
      <c r="I7" s="4072" t="str">
        <f>Sheet2!A16</f>
        <v>江北新城组团两桥片区分区B-92-01/01地块</v>
      </c>
      <c r="J7" s="4073"/>
      <c r="K7" s="513"/>
      <c r="L7" s="2117"/>
      <c r="M7" s="2116"/>
      <c r="N7" s="2116"/>
      <c r="O7" s="2118"/>
      <c r="P7" s="4065"/>
      <c r="Q7" s="4066"/>
      <c r="R7" s="4051"/>
      <c r="S7" s="4052"/>
      <c r="T7" s="4051"/>
      <c r="U7" s="4052"/>
      <c r="V7" s="4069"/>
      <c r="W7" s="4069"/>
      <c r="X7" s="1552"/>
      <c r="Y7" s="4051"/>
      <c r="Z7" s="4052"/>
      <c r="AA7" s="4045"/>
      <c r="AB7" s="4045"/>
      <c r="AC7" s="4045"/>
    </row>
    <row r="8" spans="1:30" ht="21" thickBot="1">
      <c r="A8" s="514"/>
      <c r="B8" s="515"/>
      <c r="C8" s="4074" t="s">
        <v>2930</v>
      </c>
      <c r="D8" s="4075"/>
      <c r="E8" s="4074" t="s">
        <v>2930</v>
      </c>
      <c r="F8" s="4075"/>
      <c r="G8" s="4070" t="s">
        <v>2930</v>
      </c>
      <c r="H8" s="4071"/>
      <c r="I8" s="4070" t="s">
        <v>2930</v>
      </c>
      <c r="J8" s="4071"/>
      <c r="K8" s="513" t="s">
        <v>528</v>
      </c>
      <c r="L8" s="2117"/>
      <c r="M8" s="2116"/>
      <c r="N8" s="2116"/>
      <c r="O8" s="2118"/>
      <c r="P8" s="4067"/>
      <c r="Q8" s="4068"/>
      <c r="R8" s="4051"/>
      <c r="S8" s="4052"/>
      <c r="T8" s="4053"/>
      <c r="U8" s="4054"/>
      <c r="V8" s="4069"/>
      <c r="W8" s="4069"/>
      <c r="X8" s="1552"/>
      <c r="Y8" s="4053"/>
      <c r="Z8" s="4054"/>
      <c r="AA8" s="4046"/>
      <c r="AB8" s="4046"/>
      <c r="AC8" s="4046"/>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47" t="s">
        <v>530</v>
      </c>
      <c r="Q9" s="4056"/>
      <c r="R9" s="1553" t="s">
        <v>8</v>
      </c>
      <c r="S9" s="1554">
        <f t="shared" ref="S9:S17" si="0">F9</f>
        <v>99</v>
      </c>
      <c r="T9" s="1553" t="s">
        <v>8</v>
      </c>
      <c r="U9" s="1554">
        <f t="shared" ref="U9:U17" si="1">H9</f>
        <v>98</v>
      </c>
      <c r="V9" s="1553" t="s">
        <v>8</v>
      </c>
      <c r="W9" s="1554">
        <f t="shared" ref="W9:W17" si="2">J9</f>
        <v>97</v>
      </c>
      <c r="X9" s="1555"/>
      <c r="Y9" s="4047" t="s">
        <v>530</v>
      </c>
      <c r="Z9" s="4048"/>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47" t="s">
        <v>533</v>
      </c>
      <c r="Q10" s="4048"/>
      <c r="R10" s="1553" t="s">
        <v>8</v>
      </c>
      <c r="S10" s="1554">
        <f t="shared" si="0"/>
        <v>100</v>
      </c>
      <c r="T10" s="1553" t="s">
        <v>8</v>
      </c>
      <c r="U10" s="1554">
        <f t="shared" si="1"/>
        <v>100</v>
      </c>
      <c r="V10" s="1553" t="s">
        <v>8</v>
      </c>
      <c r="W10" s="1554">
        <f t="shared" si="2"/>
        <v>100</v>
      </c>
      <c r="X10" s="1555"/>
      <c r="Y10" s="4047" t="s">
        <v>533</v>
      </c>
      <c r="Z10" s="4048"/>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55" t="s">
        <v>535</v>
      </c>
      <c r="Q11" s="1146" t="str">
        <f t="shared" ref="Q11:Q17" si="6">B11</f>
        <v>用途</v>
      </c>
      <c r="R11" s="1553" t="s">
        <v>8</v>
      </c>
      <c r="S11" s="1554">
        <f t="shared" si="0"/>
        <v>100</v>
      </c>
      <c r="T11" s="1553" t="s">
        <v>8</v>
      </c>
      <c r="U11" s="1554">
        <f t="shared" si="1"/>
        <v>100</v>
      </c>
      <c r="V11" s="1553" t="s">
        <v>8</v>
      </c>
      <c r="W11" s="1554">
        <f t="shared" si="2"/>
        <v>100</v>
      </c>
      <c r="X11" s="1555"/>
      <c r="Y11" s="4012"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55"/>
      <c r="Q12" s="1146" t="str">
        <f t="shared" si="6"/>
        <v>土地使用年限（年）</v>
      </c>
      <c r="R12" s="1553" t="s">
        <v>8</v>
      </c>
      <c r="S12" s="1554">
        <f t="shared" si="0"/>
        <v>104</v>
      </c>
      <c r="T12" s="1553" t="s">
        <v>8</v>
      </c>
      <c r="U12" s="1554">
        <f t="shared" si="1"/>
        <v>104</v>
      </c>
      <c r="V12" s="1553" t="s">
        <v>8</v>
      </c>
      <c r="W12" s="1554">
        <f t="shared" si="2"/>
        <v>104</v>
      </c>
      <c r="X12" s="1555"/>
      <c r="Y12" s="4012"/>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55"/>
      <c r="Q13" s="1146" t="str">
        <f t="shared" si="6"/>
        <v>容积率</v>
      </c>
      <c r="R13" s="1553" t="s">
        <v>8</v>
      </c>
      <c r="S13" s="1554">
        <f t="shared" si="0"/>
        <v>109</v>
      </c>
      <c r="T13" s="1553" t="s">
        <v>8</v>
      </c>
      <c r="U13" s="1554">
        <f t="shared" si="1"/>
        <v>106</v>
      </c>
      <c r="V13" s="1553" t="s">
        <v>8</v>
      </c>
      <c r="W13" s="1554">
        <f t="shared" si="2"/>
        <v>106</v>
      </c>
      <c r="X13" s="1555"/>
      <c r="Y13" s="4012"/>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55"/>
      <c r="Q14" s="1146" t="str">
        <f t="shared" si="6"/>
        <v>配建</v>
      </c>
      <c r="R14" s="1553" t="s">
        <v>8</v>
      </c>
      <c r="S14" s="1554">
        <f t="shared" si="0"/>
        <v>100</v>
      </c>
      <c r="T14" s="1553" t="s">
        <v>8</v>
      </c>
      <c r="U14" s="1554">
        <f t="shared" si="1"/>
        <v>100</v>
      </c>
      <c r="V14" s="1553" t="s">
        <v>8</v>
      </c>
      <c r="W14" s="1554">
        <f t="shared" si="2"/>
        <v>100</v>
      </c>
      <c r="X14" s="1555"/>
      <c r="Y14" s="4012"/>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55"/>
      <c r="Q15" s="1146">
        <f t="shared" si="6"/>
        <v>111</v>
      </c>
      <c r="R15" s="1553" t="s">
        <v>8</v>
      </c>
      <c r="S15" s="1554">
        <f t="shared" si="0"/>
        <v>100</v>
      </c>
      <c r="T15" s="1553" t="s">
        <v>8</v>
      </c>
      <c r="U15" s="1554">
        <f t="shared" si="1"/>
        <v>100</v>
      </c>
      <c r="V15" s="1553" t="s">
        <v>8</v>
      </c>
      <c r="W15" s="1554">
        <f t="shared" si="2"/>
        <v>100</v>
      </c>
      <c r="X15" s="1555"/>
      <c r="Y15" s="4012"/>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55"/>
      <c r="Q16" s="1146">
        <f t="shared" si="6"/>
        <v>111</v>
      </c>
      <c r="R16" s="1553" t="s">
        <v>8</v>
      </c>
      <c r="S16" s="1554">
        <f t="shared" si="0"/>
        <v>100</v>
      </c>
      <c r="T16" s="1553" t="s">
        <v>8</v>
      </c>
      <c r="U16" s="1554">
        <f t="shared" si="1"/>
        <v>100</v>
      </c>
      <c r="V16" s="1553" t="s">
        <v>8</v>
      </c>
      <c r="W16" s="1554">
        <f t="shared" si="2"/>
        <v>100</v>
      </c>
      <c r="X16" s="1555"/>
      <c r="Y16" s="4012"/>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57" t="s">
        <v>540</v>
      </c>
      <c r="Q17" s="1557" t="str">
        <f t="shared" si="6"/>
        <v>居住社区成熟度</v>
      </c>
      <c r="R17" s="1558" t="s">
        <v>8</v>
      </c>
      <c r="S17" s="1559">
        <f t="shared" si="0"/>
        <v>100</v>
      </c>
      <c r="T17" s="1558" t="s">
        <v>8</v>
      </c>
      <c r="U17" s="1559">
        <f t="shared" si="1"/>
        <v>100</v>
      </c>
      <c r="V17" s="1558" t="s">
        <v>8</v>
      </c>
      <c r="W17" s="1559">
        <f t="shared" si="2"/>
        <v>100</v>
      </c>
      <c r="X17" s="1552"/>
      <c r="Y17" s="4057"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058"/>
      <c r="Q18" s="1557"/>
      <c r="R18" s="1558"/>
      <c r="S18" s="1559"/>
      <c r="T18" s="1558"/>
      <c r="U18" s="1559"/>
      <c r="V18" s="1558"/>
      <c r="W18" s="1559"/>
      <c r="X18" s="1552"/>
      <c r="Y18" s="4058"/>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58"/>
      <c r="Q19" s="1557" t="str">
        <f>B19</f>
        <v>商业繁华度</v>
      </c>
      <c r="R19" s="1558" t="s">
        <v>8</v>
      </c>
      <c r="S19" s="1559">
        <f>F19</f>
        <v>98</v>
      </c>
      <c r="T19" s="1558" t="s">
        <v>8</v>
      </c>
      <c r="U19" s="1559">
        <f>H19</f>
        <v>100</v>
      </c>
      <c r="V19" s="1558" t="s">
        <v>8</v>
      </c>
      <c r="W19" s="1559">
        <f>J19</f>
        <v>100</v>
      </c>
      <c r="X19" s="1552"/>
      <c r="Y19" s="4058"/>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058"/>
      <c r="Q20" s="1557"/>
      <c r="R20" s="1558"/>
      <c r="S20" s="1559"/>
      <c r="T20" s="1558"/>
      <c r="U20" s="1559"/>
      <c r="V20" s="1558"/>
      <c r="W20" s="1559"/>
      <c r="X20" s="1552"/>
      <c r="Y20" s="4058"/>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58"/>
      <c r="Q21" s="1557" t="str">
        <f>B21</f>
        <v>办公集聚程度</v>
      </c>
      <c r="R21" s="1558" t="s">
        <v>8</v>
      </c>
      <c r="S21" s="1559">
        <f>F21</f>
        <v>100</v>
      </c>
      <c r="T21" s="1558" t="s">
        <v>8</v>
      </c>
      <c r="U21" s="1559">
        <f>H21</f>
        <v>100</v>
      </c>
      <c r="V21" s="1558" t="s">
        <v>8</v>
      </c>
      <c r="W21" s="1559">
        <f>J21</f>
        <v>100</v>
      </c>
      <c r="X21" s="1552"/>
      <c r="Y21" s="4058"/>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58"/>
      <c r="Q22" s="1557"/>
      <c r="R22" s="1558"/>
      <c r="S22" s="1559"/>
      <c r="T22" s="1558"/>
      <c r="U22" s="1559"/>
      <c r="V22" s="1558"/>
      <c r="W22" s="1559"/>
      <c r="X22" s="1552"/>
      <c r="Y22" s="4058"/>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58"/>
      <c r="Q23" s="1557" t="str">
        <f>B23</f>
        <v>交通便捷度</v>
      </c>
      <c r="R23" s="1558" t="s">
        <v>8</v>
      </c>
      <c r="S23" s="1559">
        <f>F23</f>
        <v>100</v>
      </c>
      <c r="T23" s="1558" t="s">
        <v>8</v>
      </c>
      <c r="U23" s="1559">
        <f>H23</f>
        <v>100</v>
      </c>
      <c r="V23" s="1558" t="s">
        <v>8</v>
      </c>
      <c r="W23" s="1559">
        <f>J23</f>
        <v>100</v>
      </c>
      <c r="X23" s="1552"/>
      <c r="Y23" s="4058"/>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058"/>
      <c r="Q24" s="1557"/>
      <c r="R24" s="1558"/>
      <c r="S24" s="1559"/>
      <c r="T24" s="1558"/>
      <c r="U24" s="1559"/>
      <c r="V24" s="1558"/>
      <c r="W24" s="1559"/>
      <c r="X24" s="1552"/>
      <c r="Y24" s="4058"/>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58"/>
      <c r="Q25" s="1557" t="str">
        <f t="shared" ref="Q25:Q39" si="8">B25</f>
        <v>区域土地利用方向</v>
      </c>
      <c r="R25" s="1558" t="s">
        <v>8</v>
      </c>
      <c r="S25" s="1559">
        <f>F25</f>
        <v>100</v>
      </c>
      <c r="T25" s="1558" t="s">
        <v>8</v>
      </c>
      <c r="U25" s="1559">
        <f>H25</f>
        <v>100</v>
      </c>
      <c r="V25" s="1558" t="s">
        <v>8</v>
      </c>
      <c r="W25" s="1559">
        <f>J25</f>
        <v>100</v>
      </c>
      <c r="X25" s="1552"/>
      <c r="Y25" s="4058"/>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058"/>
      <c r="Q26" s="1557"/>
      <c r="R26" s="1558"/>
      <c r="S26" s="1559"/>
      <c r="T26" s="1558"/>
      <c r="U26" s="1559"/>
      <c r="V26" s="1558"/>
      <c r="W26" s="1559"/>
      <c r="X26" s="1552"/>
      <c r="Y26" s="4058"/>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58"/>
      <c r="Q27" s="1557" t="str">
        <f t="shared" si="8"/>
        <v>自然及人文环境状况</v>
      </c>
      <c r="R27" s="1558" t="s">
        <v>8</v>
      </c>
      <c r="S27" s="1559">
        <f>F27</f>
        <v>96</v>
      </c>
      <c r="T27" s="1558" t="s">
        <v>8</v>
      </c>
      <c r="U27" s="1559">
        <f>H27</f>
        <v>100</v>
      </c>
      <c r="V27" s="1558" t="s">
        <v>8</v>
      </c>
      <c r="W27" s="1559">
        <f>J27</f>
        <v>100</v>
      </c>
      <c r="X27" s="1552"/>
      <c r="Y27" s="4058"/>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058"/>
      <c r="Q28" s="1557"/>
      <c r="R28" s="1558"/>
      <c r="S28" s="1559"/>
      <c r="T28" s="1558"/>
      <c r="U28" s="1559"/>
      <c r="V28" s="1558"/>
      <c r="W28" s="1559"/>
      <c r="X28" s="1552"/>
      <c r="Y28" s="4058"/>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58"/>
      <c r="Q29" s="1146" t="str">
        <f t="shared" si="8"/>
        <v>公共配套设施</v>
      </c>
      <c r="R29" s="1553" t="s">
        <v>8</v>
      </c>
      <c r="S29" s="1554">
        <f>F29</f>
        <v>100</v>
      </c>
      <c r="T29" s="1553" t="s">
        <v>8</v>
      </c>
      <c r="U29" s="1554">
        <f>H29</f>
        <v>102</v>
      </c>
      <c r="V29" s="1553" t="s">
        <v>8</v>
      </c>
      <c r="W29" s="1554">
        <f>J29</f>
        <v>102</v>
      </c>
      <c r="X29" s="1555"/>
      <c r="Y29" s="4058"/>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058"/>
      <c r="Q30" s="1146"/>
      <c r="R30" s="1553"/>
      <c r="S30" s="1554"/>
      <c r="T30" s="1553"/>
      <c r="U30" s="1554"/>
      <c r="V30" s="1553"/>
      <c r="W30" s="1554"/>
      <c r="X30" s="1555"/>
      <c r="Y30" s="4058"/>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58"/>
      <c r="Q31" s="2541" t="str">
        <f t="shared" ref="Q31" si="9">B31</f>
        <v>基础设施水平</v>
      </c>
      <c r="R31" s="1553" t="s">
        <v>8</v>
      </c>
      <c r="S31" s="1554">
        <f>F31</f>
        <v>100</v>
      </c>
      <c r="T31" s="1553" t="s">
        <v>8</v>
      </c>
      <c r="U31" s="1554">
        <f>H31</f>
        <v>100</v>
      </c>
      <c r="V31" s="1553" t="s">
        <v>8</v>
      </c>
      <c r="W31" s="1554">
        <f>J31</f>
        <v>100</v>
      </c>
      <c r="X31" s="1555"/>
      <c r="Y31" s="4058"/>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058"/>
      <c r="Q32" s="2541"/>
      <c r="R32" s="1553"/>
      <c r="S32" s="1554"/>
      <c r="T32" s="1553"/>
      <c r="U32" s="1554"/>
      <c r="V32" s="1553"/>
      <c r="W32" s="1554"/>
      <c r="X32" s="1555"/>
      <c r="Y32" s="4058"/>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5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58"/>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58"/>
      <c r="Q34" s="1557" t="str">
        <f t="shared" si="8"/>
        <v>毗邻道路的类型与等级</v>
      </c>
      <c r="R34" s="1558" t="s">
        <v>8</v>
      </c>
      <c r="S34" s="1559">
        <f t="shared" si="10"/>
        <v>101</v>
      </c>
      <c r="T34" s="1558" t="s">
        <v>8</v>
      </c>
      <c r="U34" s="1559">
        <f t="shared" si="11"/>
        <v>100</v>
      </c>
      <c r="V34" s="1558" t="s">
        <v>8</v>
      </c>
      <c r="W34" s="1559">
        <f t="shared" si="12"/>
        <v>100</v>
      </c>
      <c r="X34" s="1552"/>
      <c r="Y34" s="4058"/>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058"/>
      <c r="Q35" s="1557"/>
      <c r="R35" s="1558"/>
      <c r="S35" s="1559"/>
      <c r="T35" s="1558"/>
      <c r="U35" s="1559"/>
      <c r="V35" s="1558"/>
      <c r="W35" s="1559"/>
      <c r="X35" s="1552"/>
      <c r="Y35" s="4058"/>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58"/>
      <c r="Q36" s="1557" t="str">
        <f t="shared" si="8"/>
        <v>土地级别</v>
      </c>
      <c r="R36" s="1558" t="s">
        <v>8</v>
      </c>
      <c r="S36" s="1559">
        <f t="shared" si="10"/>
        <v>100</v>
      </c>
      <c r="T36" s="1558" t="s">
        <v>8</v>
      </c>
      <c r="U36" s="1559">
        <f t="shared" si="11"/>
        <v>100</v>
      </c>
      <c r="V36" s="1558" t="s">
        <v>8</v>
      </c>
      <c r="W36" s="1559">
        <f t="shared" si="12"/>
        <v>100</v>
      </c>
      <c r="X36" s="1552"/>
      <c r="Y36" s="4058"/>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58"/>
      <c r="Q37" s="1557">
        <f t="shared" si="8"/>
        <v>111</v>
      </c>
      <c r="R37" s="1558" t="s">
        <v>8</v>
      </c>
      <c r="S37" s="1559">
        <f t="shared" si="10"/>
        <v>100</v>
      </c>
      <c r="T37" s="1558" t="s">
        <v>8</v>
      </c>
      <c r="U37" s="1559">
        <f t="shared" si="11"/>
        <v>100</v>
      </c>
      <c r="V37" s="1558" t="s">
        <v>8</v>
      </c>
      <c r="W37" s="1559">
        <f t="shared" si="12"/>
        <v>100</v>
      </c>
      <c r="X37" s="1552"/>
      <c r="Y37" s="4058"/>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59" t="s">
        <v>550</v>
      </c>
      <c r="Q38" s="1557">
        <f t="shared" si="8"/>
        <v>111</v>
      </c>
      <c r="R38" s="1558" t="s">
        <v>8</v>
      </c>
      <c r="S38" s="1559">
        <f t="shared" si="10"/>
        <v>100</v>
      </c>
      <c r="T38" s="1558" t="s">
        <v>8</v>
      </c>
      <c r="U38" s="1559">
        <f t="shared" si="11"/>
        <v>100</v>
      </c>
      <c r="V38" s="1558" t="s">
        <v>8</v>
      </c>
      <c r="W38" s="1559">
        <f t="shared" si="12"/>
        <v>100</v>
      </c>
      <c r="X38" s="1552"/>
      <c r="Y38" s="4060"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60"/>
      <c r="Q39" s="1557">
        <f t="shared" si="8"/>
        <v>111</v>
      </c>
      <c r="R39" s="1562" t="s">
        <v>8</v>
      </c>
      <c r="S39" s="1563">
        <f t="shared" si="10"/>
        <v>100</v>
      </c>
      <c r="T39" s="1562" t="s">
        <v>8</v>
      </c>
      <c r="U39" s="1563">
        <f t="shared" si="11"/>
        <v>100</v>
      </c>
      <c r="V39" s="1562" t="s">
        <v>8</v>
      </c>
      <c r="W39" s="1563">
        <f t="shared" si="12"/>
        <v>100</v>
      </c>
      <c r="X39" s="1564"/>
      <c r="Y39" s="4060"/>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60"/>
      <c r="Q40" s="1557" t="str">
        <f>B40</f>
        <v>宗地面积</v>
      </c>
      <c r="R40" s="1558" t="s">
        <v>8</v>
      </c>
      <c r="S40" s="1559">
        <f t="shared" si="10"/>
        <v>100</v>
      </c>
      <c r="T40" s="1558" t="s">
        <v>8</v>
      </c>
      <c r="U40" s="1559">
        <f t="shared" si="11"/>
        <v>102</v>
      </c>
      <c r="V40" s="1558" t="s">
        <v>8</v>
      </c>
      <c r="W40" s="1559">
        <f t="shared" si="12"/>
        <v>102</v>
      </c>
      <c r="X40" s="1552"/>
      <c r="Y40" s="4060"/>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60"/>
      <c r="Q41" s="1557" t="str">
        <f t="shared" ref="Q41:Q47" si="14">B41</f>
        <v>宗地形状</v>
      </c>
      <c r="R41" s="1558" t="s">
        <v>8</v>
      </c>
      <c r="S41" s="1559">
        <f t="shared" si="10"/>
        <v>100</v>
      </c>
      <c r="T41" s="1558" t="s">
        <v>8</v>
      </c>
      <c r="U41" s="1559">
        <f t="shared" si="11"/>
        <v>100</v>
      </c>
      <c r="V41" s="1558" t="s">
        <v>8</v>
      </c>
      <c r="W41" s="1559">
        <f t="shared" si="12"/>
        <v>100</v>
      </c>
      <c r="X41" s="1552"/>
      <c r="Y41" s="4060"/>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60"/>
      <c r="Q42" s="1557" t="str">
        <f t="shared" si="14"/>
        <v>临街宽度及深度</v>
      </c>
      <c r="R42" s="1558" t="s">
        <v>8</v>
      </c>
      <c r="S42" s="1559">
        <f t="shared" si="10"/>
        <v>100</v>
      </c>
      <c r="T42" s="1558" t="s">
        <v>8</v>
      </c>
      <c r="U42" s="1559">
        <f t="shared" si="11"/>
        <v>100</v>
      </c>
      <c r="V42" s="1558" t="s">
        <v>8</v>
      </c>
      <c r="W42" s="1559">
        <f t="shared" si="12"/>
        <v>100</v>
      </c>
      <c r="X42" s="1552"/>
      <c r="Y42" s="4060"/>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60"/>
      <c r="Q43" s="1557" t="str">
        <f t="shared" si="14"/>
        <v>宗地开发程度</v>
      </c>
      <c r="R43" s="1553" t="s">
        <v>8</v>
      </c>
      <c r="S43" s="1554">
        <f t="shared" si="10"/>
        <v>98</v>
      </c>
      <c r="T43" s="1553" t="s">
        <v>8</v>
      </c>
      <c r="U43" s="1554">
        <f t="shared" si="11"/>
        <v>98</v>
      </c>
      <c r="V43" s="1553" t="s">
        <v>8</v>
      </c>
      <c r="W43" s="1554">
        <f t="shared" si="12"/>
        <v>98</v>
      </c>
      <c r="X43" s="1555"/>
      <c r="Y43" s="4060"/>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60" t="s">
        <v>550</v>
      </c>
      <c r="Q44" s="1557" t="str">
        <f t="shared" si="14"/>
        <v>工程地质条件</v>
      </c>
      <c r="R44" s="1558" t="s">
        <v>8</v>
      </c>
      <c r="S44" s="1559">
        <f t="shared" si="10"/>
        <v>100</v>
      </c>
      <c r="T44" s="1558" t="s">
        <v>8</v>
      </c>
      <c r="U44" s="1559">
        <f t="shared" si="11"/>
        <v>100</v>
      </c>
      <c r="V44" s="1558" t="s">
        <v>8</v>
      </c>
      <c r="W44" s="1559">
        <f t="shared" si="12"/>
        <v>100</v>
      </c>
      <c r="X44" s="1552"/>
      <c r="Y44" s="4060"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60"/>
      <c r="Q45" s="1557">
        <f t="shared" si="14"/>
        <v>111</v>
      </c>
      <c r="R45" s="1558" t="s">
        <v>8</v>
      </c>
      <c r="S45" s="1559">
        <f t="shared" si="10"/>
        <v>100</v>
      </c>
      <c r="T45" s="1558" t="s">
        <v>8</v>
      </c>
      <c r="U45" s="1559">
        <f t="shared" si="11"/>
        <v>100</v>
      </c>
      <c r="V45" s="1558" t="s">
        <v>8</v>
      </c>
      <c r="W45" s="1559">
        <f t="shared" si="12"/>
        <v>100</v>
      </c>
      <c r="X45" s="1552"/>
      <c r="Y45" s="4060"/>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60"/>
      <c r="Q46" s="1557">
        <f t="shared" si="14"/>
        <v>111</v>
      </c>
      <c r="R46" s="1558" t="s">
        <v>8</v>
      </c>
      <c r="S46" s="1559">
        <f t="shared" si="10"/>
        <v>100</v>
      </c>
      <c r="T46" s="1558" t="s">
        <v>8</v>
      </c>
      <c r="U46" s="1559">
        <f t="shared" si="11"/>
        <v>100</v>
      </c>
      <c r="V46" s="1558" t="s">
        <v>8</v>
      </c>
      <c r="W46" s="1559">
        <f t="shared" si="12"/>
        <v>100</v>
      </c>
      <c r="X46" s="1552"/>
      <c r="Y46" s="4060"/>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60"/>
      <c r="Q47" s="1557">
        <f t="shared" si="14"/>
        <v>111</v>
      </c>
      <c r="R47" s="1562" t="s">
        <v>8</v>
      </c>
      <c r="S47" s="1563">
        <f t="shared" si="10"/>
        <v>100</v>
      </c>
      <c r="T47" s="1562" t="s">
        <v>8</v>
      </c>
      <c r="U47" s="1563">
        <f t="shared" si="11"/>
        <v>100</v>
      </c>
      <c r="V47" s="1562" t="s">
        <v>8</v>
      </c>
      <c r="W47" s="1563">
        <f t="shared" si="12"/>
        <v>100</v>
      </c>
      <c r="X47" s="1564"/>
      <c r="Y47" s="4060"/>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55" t="str">
        <f>A48</f>
        <v>成交单价</v>
      </c>
      <c r="Q48" s="4055"/>
      <c r="R48" s="4069">
        <f>E48</f>
        <v>1459.99</v>
      </c>
      <c r="S48" s="4069"/>
      <c r="T48" s="4069">
        <f>G48</f>
        <v>1296.1500000000001</v>
      </c>
      <c r="U48" s="4069"/>
      <c r="V48" s="4069">
        <f>I48</f>
        <v>1485</v>
      </c>
      <c r="W48" s="4069"/>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55" t="str">
        <f>A49</f>
        <v>比较价格（元/平方米）</v>
      </c>
      <c r="Q49" s="4055"/>
      <c r="R49" s="4079">
        <f>ROUND(PRODUCT(R48,AA9:AA47),0)</f>
        <v>1397</v>
      </c>
      <c r="S49" s="4079"/>
      <c r="T49" s="4079">
        <f>ROUND(PRODUCT(T48,AB9:AB47),0)</f>
        <v>1177</v>
      </c>
      <c r="U49" s="4079"/>
      <c r="V49" s="4079">
        <f>ROUND(PRODUCT(V48,AC9:AC47),0)</f>
        <v>1362</v>
      </c>
      <c r="W49" s="4079"/>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76" t="str">
        <f>A50</f>
        <v>估价对象XX用房的比较价格（楼面单价，元/平方米）</v>
      </c>
      <c r="Q50" s="4077"/>
      <c r="R50" s="4078">
        <f>ROUND(AVERAGE(R49:V49),0)</f>
        <v>1312</v>
      </c>
      <c r="S50" s="4078"/>
      <c r="T50" s="4078"/>
      <c r="U50" s="4078"/>
      <c r="V50" s="4078"/>
      <c r="W50" s="407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39" t="s">
        <v>2281</v>
      </c>
      <c r="H57" s="404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88600.030000000013</v>
      </c>
      <c r="F58" s="635">
        <f t="shared" ref="F58:F67" si="15">ROUND(B58*E58/10000,0)</f>
        <v>11624</v>
      </c>
      <c r="G58" s="4041"/>
      <c r="H58" s="404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43"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4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4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4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107990.14000000001</v>
      </c>
      <c r="F68" s="643">
        <f>IF(B48="楼面地价",SUM(F58:F67),ROUND(C50*E68/10000,0))</f>
        <v>11624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16179</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8040</v>
      </c>
      <c r="C4" s="427"/>
      <c r="D4" s="421"/>
      <c r="E4" s="421"/>
      <c r="F4" s="421"/>
      <c r="G4" s="421"/>
      <c r="H4" s="421"/>
      <c r="I4" s="421"/>
      <c r="J4" s="421"/>
      <c r="K4" s="421"/>
    </row>
    <row r="5" spans="1:31" s="2025" customFormat="1" ht="18" customHeight="1" thickBot="1">
      <c r="A5" s="428"/>
      <c r="B5" s="429">
        <f ca="1">ROUND(B2/(IF(B1="",'数据-汇总表'!D3,INDIRECT("'数据-取费表'!R"&amp;$K$1))/666.67),0)</f>
        <v>536</v>
      </c>
      <c r="C5" s="430" t="s">
        <v>469</v>
      </c>
      <c r="D5" s="421"/>
      <c r="E5" s="421"/>
      <c r="F5" s="421"/>
      <c r="G5" s="421"/>
      <c r="H5" s="421"/>
      <c r="I5" s="421"/>
      <c r="J5" s="421"/>
      <c r="K5" s="421"/>
    </row>
    <row r="6" spans="1:31" s="2095" customFormat="1" ht="16.5" customHeight="1">
      <c r="A6" s="2782" t="s">
        <v>1842</v>
      </c>
      <c r="B6" s="2783"/>
      <c r="C6" s="2784">
        <f ca="1">SUM(C10:K10)</f>
        <v>53446</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82106.820000000007</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43221</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19820</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443</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1334</v>
      </c>
      <c r="D16" s="2798">
        <f ca="1">IF(B1="",'数据-汇总表'!E3,INDIRECT("'数据-取费表'!K"&amp;$K$1)+INDIRECT("'数据-取费表'!S"&amp;$K$1))</f>
        <v>111184.34000000001</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297</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22489</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111184.34000000001</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2001</v>
      </c>
      <c r="D20" s="2808"/>
      <c r="E20" s="2762"/>
      <c r="F20" s="2809"/>
      <c r="G20" s="3036"/>
      <c r="H20" s="2764"/>
      <c r="I20" s="2765" t="s">
        <v>2650</v>
      </c>
      <c r="J20" s="2771"/>
      <c r="K20" s="2772"/>
    </row>
    <row r="21" spans="1:14" s="2100" customFormat="1" ht="13.5" customHeight="1">
      <c r="A21" s="2796" t="s">
        <v>1856</v>
      </c>
      <c r="B21" s="2797" t="s">
        <v>491</v>
      </c>
      <c r="C21" s="53">
        <f ca="1">ROUND(D21*E21/10000,0)</f>
        <v>1478</v>
      </c>
      <c r="D21" s="2798">
        <f ca="1">IF(B1="",'数据-汇总表'!E5,IF(INDIRECT("'数据-取费表'!c"&amp;$K$1)="住宅",INDIRECT("'数据-取费表'!k"&amp;$K$1),0))</f>
        <v>82106.820000000007</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367</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1219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1219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2800</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29678</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29678</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3336</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3336</v>
      </c>
      <c r="D35" s="1613"/>
      <c r="E35" s="2818"/>
      <c r="F35" s="1614"/>
      <c r="G35" s="2776"/>
      <c r="H35" s="2777"/>
      <c r="I35" s="2777"/>
      <c r="J35" s="2777"/>
      <c r="K35" s="2778"/>
    </row>
    <row r="36" spans="1:11" s="2069" customFormat="1" ht="13.5" customHeight="1" thickBot="1">
      <c r="A36" s="283" t="s">
        <v>1844</v>
      </c>
      <c r="B36" s="2780"/>
      <c r="C36" s="2819">
        <f ca="1">ROUND((C6-C30-C33)/(1+D30+D33),0)</f>
        <v>16179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19820</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443</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1334</v>
      </c>
      <c r="D16" s="450">
        <f ca="1">IF(B1="",'数据-汇总表'!E3,INDIRECT("'数据-取费表'!K"&amp;$K$1)+INDIRECT("'数据-取费表'!S"&amp;$K$1))</f>
        <v>111184.34000000001</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297</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22489</v>
      </c>
      <c r="D18" s="460"/>
      <c r="E18" s="461"/>
      <c r="F18" s="461"/>
      <c r="G18" s="1322" t="s">
        <v>2432</v>
      </c>
      <c r="H18" s="446"/>
      <c r="I18" s="446"/>
      <c r="J18" s="446"/>
      <c r="K18" s="447"/>
    </row>
    <row r="19" spans="1:14" s="2103" customFormat="1" ht="13.5" customHeight="1">
      <c r="A19" s="1618" t="s">
        <v>1854</v>
      </c>
      <c r="B19" s="458" t="s">
        <v>493</v>
      </c>
      <c r="C19" s="459">
        <f ca="1">ROUND(C18*F19,0)</f>
        <v>337</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2967</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2967</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28903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61" t="s">
        <v>522</v>
      </c>
      <c r="D6" s="4062"/>
      <c r="E6" s="4085" t="s">
        <v>523</v>
      </c>
      <c r="F6" s="4086"/>
      <c r="G6" s="4061" t="s">
        <v>524</v>
      </c>
      <c r="H6" s="4062"/>
      <c r="I6" s="4061" t="s">
        <v>525</v>
      </c>
      <c r="J6" s="4062"/>
      <c r="K6" s="513" t="s">
        <v>526</v>
      </c>
      <c r="L6" s="2117"/>
      <c r="M6" s="2118"/>
      <c r="N6" s="2118"/>
      <c r="O6" s="2118"/>
      <c r="P6" s="4063" t="s">
        <v>527</v>
      </c>
      <c r="Q6" s="4064"/>
      <c r="R6" s="4049" t="s">
        <v>523</v>
      </c>
      <c r="S6" s="4050"/>
      <c r="T6" s="4049" t="s">
        <v>524</v>
      </c>
      <c r="U6" s="4050"/>
      <c r="V6" s="4069" t="s">
        <v>525</v>
      </c>
      <c r="W6" s="4069"/>
      <c r="X6" s="1552"/>
      <c r="Y6" s="4049" t="s">
        <v>527</v>
      </c>
      <c r="Z6" s="4050"/>
      <c r="AA6" s="4044" t="s">
        <v>523</v>
      </c>
      <c r="AB6" s="4045" t="s">
        <v>524</v>
      </c>
      <c r="AC6" s="4044" t="s">
        <v>525</v>
      </c>
    </row>
    <row r="7" spans="1:29" ht="15">
      <c r="A7" s="514"/>
      <c r="B7" s="515"/>
      <c r="C7" s="4072" t="s">
        <v>2926</v>
      </c>
      <c r="D7" s="4073"/>
      <c r="E7" s="4087" t="s">
        <v>2927</v>
      </c>
      <c r="F7" s="4088"/>
      <c r="G7" s="4072" t="s">
        <v>2928</v>
      </c>
      <c r="H7" s="4073"/>
      <c r="I7" s="4072" t="s">
        <v>2929</v>
      </c>
      <c r="J7" s="4073"/>
      <c r="K7" s="513"/>
      <c r="L7" s="2117"/>
      <c r="M7" s="2118"/>
      <c r="N7" s="2118"/>
      <c r="O7" s="2118"/>
      <c r="P7" s="4065"/>
      <c r="Q7" s="4066"/>
      <c r="R7" s="4051"/>
      <c r="S7" s="4052"/>
      <c r="T7" s="4051"/>
      <c r="U7" s="4052"/>
      <c r="V7" s="4069"/>
      <c r="W7" s="4069"/>
      <c r="X7" s="1552"/>
      <c r="Y7" s="4051"/>
      <c r="Z7" s="4052"/>
      <c r="AA7" s="4045"/>
      <c r="AB7" s="4045"/>
      <c r="AC7" s="4045"/>
    </row>
    <row r="8" spans="1:29" ht="15.75" thickBot="1">
      <c r="A8" s="516"/>
      <c r="B8" s="517"/>
      <c r="C8" s="4070" t="s">
        <v>2930</v>
      </c>
      <c r="D8" s="4071"/>
      <c r="E8" s="4089" t="s">
        <v>2930</v>
      </c>
      <c r="F8" s="4090"/>
      <c r="G8" s="4070" t="s">
        <v>2930</v>
      </c>
      <c r="H8" s="4071"/>
      <c r="I8" s="4070" t="s">
        <v>2930</v>
      </c>
      <c r="J8" s="4071"/>
      <c r="K8" s="513" t="s">
        <v>528</v>
      </c>
      <c r="L8" s="2117"/>
      <c r="M8" s="2118"/>
      <c r="N8" s="2118"/>
      <c r="O8" s="2118"/>
      <c r="P8" s="4067"/>
      <c r="Q8" s="4068"/>
      <c r="R8" s="4051"/>
      <c r="S8" s="4052"/>
      <c r="T8" s="4053"/>
      <c r="U8" s="4054"/>
      <c r="V8" s="4069"/>
      <c r="W8" s="4069"/>
      <c r="X8" s="1552"/>
      <c r="Y8" s="4053"/>
      <c r="Z8" s="4054"/>
      <c r="AA8" s="4046"/>
      <c r="AB8" s="4046"/>
      <c r="AC8" s="4046"/>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47" t="s">
        <v>530</v>
      </c>
      <c r="Q9" s="4056"/>
      <c r="R9" s="1553" t="s">
        <v>8</v>
      </c>
      <c r="S9" s="1554">
        <f t="shared" ref="S9:S17" si="0">F9</f>
        <v>0</v>
      </c>
      <c r="T9" s="1553" t="s">
        <v>8</v>
      </c>
      <c r="U9" s="1554">
        <f t="shared" ref="U9:U17" si="1">H9</f>
        <v>0</v>
      </c>
      <c r="V9" s="1553" t="s">
        <v>8</v>
      </c>
      <c r="W9" s="1554">
        <f t="shared" ref="W9:W17" si="2">J9</f>
        <v>0</v>
      </c>
      <c r="X9" s="1555"/>
      <c r="Y9" s="4047" t="s">
        <v>530</v>
      </c>
      <c r="Z9" s="4048"/>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47" t="s">
        <v>533</v>
      </c>
      <c r="Q10" s="4048"/>
      <c r="R10" s="1553" t="s">
        <v>8</v>
      </c>
      <c r="S10" s="1554">
        <f t="shared" si="0"/>
        <v>0</v>
      </c>
      <c r="T10" s="1553" t="s">
        <v>8</v>
      </c>
      <c r="U10" s="1554">
        <f t="shared" si="1"/>
        <v>0</v>
      </c>
      <c r="V10" s="1553" t="s">
        <v>8</v>
      </c>
      <c r="W10" s="1554">
        <f t="shared" si="2"/>
        <v>0</v>
      </c>
      <c r="X10" s="1555"/>
      <c r="Y10" s="4047" t="s">
        <v>533</v>
      </c>
      <c r="Z10" s="4048"/>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55" t="s">
        <v>535</v>
      </c>
      <c r="Q11" s="1146" t="str">
        <f t="shared" ref="Q11:Q17" si="6">B11</f>
        <v>用途</v>
      </c>
      <c r="R11" s="1553" t="s">
        <v>8</v>
      </c>
      <c r="S11" s="1554">
        <f t="shared" si="0"/>
        <v>100</v>
      </c>
      <c r="T11" s="1553" t="s">
        <v>8</v>
      </c>
      <c r="U11" s="1554">
        <f t="shared" si="1"/>
        <v>100</v>
      </c>
      <c r="V11" s="1553" t="s">
        <v>8</v>
      </c>
      <c r="W11" s="1554">
        <f t="shared" si="2"/>
        <v>100</v>
      </c>
      <c r="X11" s="1555"/>
      <c r="Y11" s="4012"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55"/>
      <c r="Q12" s="1146" t="str">
        <f t="shared" si="6"/>
        <v>土地使用年限（年）</v>
      </c>
      <c r="R12" s="1553" t="s">
        <v>8</v>
      </c>
      <c r="S12" s="1554">
        <f t="shared" si="0"/>
        <v>104</v>
      </c>
      <c r="T12" s="1553" t="s">
        <v>8</v>
      </c>
      <c r="U12" s="1554">
        <f t="shared" si="1"/>
        <v>104</v>
      </c>
      <c r="V12" s="1553" t="s">
        <v>8</v>
      </c>
      <c r="W12" s="1554">
        <f t="shared" si="2"/>
        <v>104</v>
      </c>
      <c r="X12" s="1555"/>
      <c r="Y12" s="4012"/>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55"/>
      <c r="Q13" s="1146" t="str">
        <f t="shared" si="6"/>
        <v>容积率</v>
      </c>
      <c r="R13" s="1553" t="s">
        <v>8</v>
      </c>
      <c r="S13" s="1554" t="e">
        <f t="shared" si="0"/>
        <v>#N/A</v>
      </c>
      <c r="T13" s="1553" t="s">
        <v>8</v>
      </c>
      <c r="U13" s="1554" t="e">
        <f t="shared" si="1"/>
        <v>#N/A</v>
      </c>
      <c r="V13" s="1553" t="s">
        <v>8</v>
      </c>
      <c r="W13" s="1554" t="e">
        <f t="shared" si="2"/>
        <v>#N/A</v>
      </c>
      <c r="X13" s="1555"/>
      <c r="Y13" s="4012"/>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55"/>
      <c r="Q14" s="1146">
        <f t="shared" si="6"/>
        <v>111</v>
      </c>
      <c r="R14" s="1553" t="s">
        <v>8</v>
      </c>
      <c r="S14" s="1554">
        <f t="shared" si="0"/>
        <v>100</v>
      </c>
      <c r="T14" s="1553" t="s">
        <v>8</v>
      </c>
      <c r="U14" s="1554">
        <f t="shared" si="1"/>
        <v>100</v>
      </c>
      <c r="V14" s="1553" t="s">
        <v>8</v>
      </c>
      <c r="W14" s="1554">
        <f t="shared" si="2"/>
        <v>100</v>
      </c>
      <c r="X14" s="1555"/>
      <c r="Y14" s="4012"/>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55"/>
      <c r="Q15" s="1146">
        <f t="shared" si="6"/>
        <v>111</v>
      </c>
      <c r="R15" s="1553" t="s">
        <v>8</v>
      </c>
      <c r="S15" s="1554">
        <f t="shared" si="0"/>
        <v>100</v>
      </c>
      <c r="T15" s="1553" t="s">
        <v>8</v>
      </c>
      <c r="U15" s="1554">
        <f t="shared" si="1"/>
        <v>100</v>
      </c>
      <c r="V15" s="1553" t="s">
        <v>8</v>
      </c>
      <c r="W15" s="1554">
        <f t="shared" si="2"/>
        <v>100</v>
      </c>
      <c r="X15" s="1555"/>
      <c r="Y15" s="4012"/>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55"/>
      <c r="Q16" s="1146">
        <f t="shared" si="6"/>
        <v>111</v>
      </c>
      <c r="R16" s="1553" t="s">
        <v>8</v>
      </c>
      <c r="S16" s="1554">
        <f t="shared" si="0"/>
        <v>100</v>
      </c>
      <c r="T16" s="1553" t="s">
        <v>8</v>
      </c>
      <c r="U16" s="1554">
        <f t="shared" si="1"/>
        <v>100</v>
      </c>
      <c r="V16" s="1553" t="s">
        <v>8</v>
      </c>
      <c r="W16" s="1554">
        <f t="shared" si="2"/>
        <v>100</v>
      </c>
      <c r="X16" s="1555"/>
      <c r="Y16" s="4012"/>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57" t="s">
        <v>540</v>
      </c>
      <c r="Q17" s="1557" t="str">
        <f t="shared" si="6"/>
        <v>产业集聚程度</v>
      </c>
      <c r="R17" s="1558" t="s">
        <v>8</v>
      </c>
      <c r="S17" s="1559">
        <f t="shared" si="0"/>
        <v>100</v>
      </c>
      <c r="T17" s="1558" t="s">
        <v>8</v>
      </c>
      <c r="U17" s="1559">
        <f t="shared" si="1"/>
        <v>100</v>
      </c>
      <c r="V17" s="1558" t="s">
        <v>8</v>
      </c>
      <c r="W17" s="1559">
        <f t="shared" si="2"/>
        <v>100</v>
      </c>
      <c r="X17" s="1552"/>
      <c r="Y17" s="4057"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58"/>
      <c r="Q18" s="1557"/>
      <c r="R18" s="1558"/>
      <c r="S18" s="1559"/>
      <c r="T18" s="1558"/>
      <c r="U18" s="1559"/>
      <c r="V18" s="1558"/>
      <c r="W18" s="1559"/>
      <c r="X18" s="1552"/>
      <c r="Y18" s="4058"/>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58"/>
      <c r="Q19" s="1557" t="str">
        <f>B19</f>
        <v>交通便捷度</v>
      </c>
      <c r="R19" s="1558" t="s">
        <v>8</v>
      </c>
      <c r="S19" s="1559">
        <f>F19</f>
        <v>100</v>
      </c>
      <c r="T19" s="1558" t="s">
        <v>8</v>
      </c>
      <c r="U19" s="1559">
        <f>H19</f>
        <v>100</v>
      </c>
      <c r="V19" s="1558" t="s">
        <v>8</v>
      </c>
      <c r="W19" s="1559">
        <f>J19</f>
        <v>100</v>
      </c>
      <c r="X19" s="1552"/>
      <c r="Y19" s="4058"/>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58"/>
      <c r="Q20" s="1557"/>
      <c r="R20" s="1558"/>
      <c r="S20" s="1559"/>
      <c r="T20" s="1558"/>
      <c r="U20" s="1559"/>
      <c r="V20" s="1558"/>
      <c r="W20" s="1559"/>
      <c r="X20" s="1552"/>
      <c r="Y20" s="4058"/>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58"/>
      <c r="Q21" s="1557" t="str">
        <f t="shared" ref="Q21:Q35" si="8">B21</f>
        <v>区域土地利用方向</v>
      </c>
      <c r="R21" s="1558" t="s">
        <v>8</v>
      </c>
      <c r="S21" s="1559">
        <f>F21</f>
        <v>100</v>
      </c>
      <c r="T21" s="1558" t="s">
        <v>8</v>
      </c>
      <c r="U21" s="1559">
        <f>H21</f>
        <v>100</v>
      </c>
      <c r="V21" s="1558" t="s">
        <v>8</v>
      </c>
      <c r="W21" s="1559">
        <f>J21</f>
        <v>100</v>
      </c>
      <c r="X21" s="1552"/>
      <c r="Y21" s="4058"/>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58"/>
      <c r="Q22" s="1557"/>
      <c r="R22" s="1558"/>
      <c r="S22" s="1559"/>
      <c r="T22" s="1558"/>
      <c r="U22" s="1559"/>
      <c r="V22" s="1558"/>
      <c r="W22" s="1559"/>
      <c r="X22" s="1552"/>
      <c r="Y22" s="4058"/>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58"/>
      <c r="Q23" s="1557" t="str">
        <f t="shared" si="8"/>
        <v>环境状况</v>
      </c>
      <c r="R23" s="1558" t="s">
        <v>8</v>
      </c>
      <c r="S23" s="1559">
        <f>F23</f>
        <v>100</v>
      </c>
      <c r="T23" s="1558" t="s">
        <v>8</v>
      </c>
      <c r="U23" s="1559">
        <f>H23</f>
        <v>100</v>
      </c>
      <c r="V23" s="1558" t="s">
        <v>8</v>
      </c>
      <c r="W23" s="1559">
        <f>J23</f>
        <v>100</v>
      </c>
      <c r="X23" s="1552"/>
      <c r="Y23" s="4058"/>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58"/>
      <c r="Q24" s="1557"/>
      <c r="R24" s="1558"/>
      <c r="S24" s="1559"/>
      <c r="T24" s="1558"/>
      <c r="U24" s="1559"/>
      <c r="V24" s="1558"/>
      <c r="W24" s="1559"/>
      <c r="X24" s="1552"/>
      <c r="Y24" s="4058"/>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58"/>
      <c r="Q25" s="1146" t="str">
        <f t="shared" si="8"/>
        <v>公共配套设施</v>
      </c>
      <c r="R25" s="1553" t="s">
        <v>8</v>
      </c>
      <c r="S25" s="1554">
        <f>F25</f>
        <v>100</v>
      </c>
      <c r="T25" s="1553" t="s">
        <v>8</v>
      </c>
      <c r="U25" s="1554">
        <f>H25</f>
        <v>100</v>
      </c>
      <c r="V25" s="1553" t="s">
        <v>8</v>
      </c>
      <c r="W25" s="1554">
        <f>J25</f>
        <v>100</v>
      </c>
      <c r="X25" s="1555"/>
      <c r="Y25" s="4058"/>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58"/>
      <c r="Q26" s="1146"/>
      <c r="R26" s="1553"/>
      <c r="S26" s="1554"/>
      <c r="T26" s="1553"/>
      <c r="U26" s="1554"/>
      <c r="V26" s="1553"/>
      <c r="W26" s="1554"/>
      <c r="X26" s="1555"/>
      <c r="Y26" s="4058"/>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58"/>
      <c r="Q27" s="2541" t="str">
        <f t="shared" ref="Q27" si="9">B27</f>
        <v>基础设施水平</v>
      </c>
      <c r="R27" s="1553" t="s">
        <v>8</v>
      </c>
      <c r="S27" s="1554">
        <f>F27</f>
        <v>100</v>
      </c>
      <c r="T27" s="1553" t="s">
        <v>8</v>
      </c>
      <c r="U27" s="1554">
        <f>H27</f>
        <v>100</v>
      </c>
      <c r="V27" s="1553" t="s">
        <v>8</v>
      </c>
      <c r="W27" s="1554">
        <f>J27</f>
        <v>100</v>
      </c>
      <c r="X27" s="1555"/>
      <c r="Y27" s="4058"/>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58"/>
      <c r="Q28" s="2541"/>
      <c r="R28" s="1553"/>
      <c r="S28" s="1554"/>
      <c r="T28" s="1553"/>
      <c r="U28" s="1554"/>
      <c r="V28" s="1553"/>
      <c r="W28" s="1554"/>
      <c r="X28" s="1555"/>
      <c r="Y28" s="4058"/>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5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58"/>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58"/>
      <c r="Q30" s="1557" t="str">
        <f t="shared" si="8"/>
        <v>毗邻道路的类型与等级</v>
      </c>
      <c r="R30" s="1558" t="s">
        <v>8</v>
      </c>
      <c r="S30" s="1559">
        <f t="shared" si="10"/>
        <v>100</v>
      </c>
      <c r="T30" s="1558" t="s">
        <v>8</v>
      </c>
      <c r="U30" s="1559">
        <f t="shared" si="11"/>
        <v>100</v>
      </c>
      <c r="V30" s="1558" t="s">
        <v>8</v>
      </c>
      <c r="W30" s="1559">
        <f t="shared" si="12"/>
        <v>100</v>
      </c>
      <c r="X30" s="1552"/>
      <c r="Y30" s="4058"/>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58"/>
      <c r="Q31" s="1557"/>
      <c r="R31" s="1558"/>
      <c r="S31" s="1559"/>
      <c r="T31" s="1558"/>
      <c r="U31" s="1559"/>
      <c r="V31" s="1558"/>
      <c r="W31" s="1559"/>
      <c r="X31" s="1552"/>
      <c r="Y31" s="4058"/>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58"/>
      <c r="Q32" s="1557" t="str">
        <f t="shared" si="8"/>
        <v>土地级别</v>
      </c>
      <c r="R32" s="1558" t="s">
        <v>8</v>
      </c>
      <c r="S32" s="1559">
        <f t="shared" si="10"/>
        <v>100</v>
      </c>
      <c r="T32" s="1558" t="s">
        <v>8</v>
      </c>
      <c r="U32" s="1559">
        <f t="shared" si="11"/>
        <v>100</v>
      </c>
      <c r="V32" s="1558" t="s">
        <v>8</v>
      </c>
      <c r="W32" s="1559">
        <f t="shared" si="12"/>
        <v>100</v>
      </c>
      <c r="X32" s="1552"/>
      <c r="Y32" s="4058"/>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58"/>
      <c r="Q33" s="1557">
        <f t="shared" si="8"/>
        <v>111</v>
      </c>
      <c r="R33" s="1558" t="s">
        <v>8</v>
      </c>
      <c r="S33" s="1559">
        <f t="shared" si="10"/>
        <v>100</v>
      </c>
      <c r="T33" s="1558" t="s">
        <v>8</v>
      </c>
      <c r="U33" s="1559">
        <f t="shared" si="11"/>
        <v>100</v>
      </c>
      <c r="V33" s="1558" t="s">
        <v>8</v>
      </c>
      <c r="W33" s="1559">
        <f t="shared" si="12"/>
        <v>100</v>
      </c>
      <c r="X33" s="1552"/>
      <c r="Y33" s="4058"/>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59" t="s">
        <v>550</v>
      </c>
      <c r="Q34" s="1557">
        <f t="shared" si="8"/>
        <v>111</v>
      </c>
      <c r="R34" s="1558" t="s">
        <v>8</v>
      </c>
      <c r="S34" s="1559">
        <f t="shared" si="10"/>
        <v>100</v>
      </c>
      <c r="T34" s="1558" t="s">
        <v>8</v>
      </c>
      <c r="U34" s="1559">
        <f t="shared" si="11"/>
        <v>100</v>
      </c>
      <c r="V34" s="1558" t="s">
        <v>8</v>
      </c>
      <c r="W34" s="1559">
        <f t="shared" si="12"/>
        <v>100</v>
      </c>
      <c r="X34" s="1552"/>
      <c r="Y34" s="4060"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60"/>
      <c r="Q35" s="1557">
        <f t="shared" si="8"/>
        <v>111</v>
      </c>
      <c r="R35" s="1562" t="s">
        <v>8</v>
      </c>
      <c r="S35" s="1563">
        <f t="shared" si="10"/>
        <v>100</v>
      </c>
      <c r="T35" s="1562" t="s">
        <v>8</v>
      </c>
      <c r="U35" s="1563">
        <f t="shared" si="11"/>
        <v>100</v>
      </c>
      <c r="V35" s="1562" t="s">
        <v>8</v>
      </c>
      <c r="W35" s="1563">
        <f t="shared" si="12"/>
        <v>100</v>
      </c>
      <c r="X35" s="1564"/>
      <c r="Y35" s="4060"/>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60"/>
      <c r="Q36" s="1557" t="str">
        <f>B36</f>
        <v>宗地面积</v>
      </c>
      <c r="R36" s="1558" t="s">
        <v>8</v>
      </c>
      <c r="S36" s="1559" t="e">
        <f t="shared" si="10"/>
        <v>#N/A</v>
      </c>
      <c r="T36" s="1558" t="s">
        <v>8</v>
      </c>
      <c r="U36" s="1559" t="e">
        <f t="shared" si="11"/>
        <v>#N/A</v>
      </c>
      <c r="V36" s="1558" t="s">
        <v>8</v>
      </c>
      <c r="W36" s="1559" t="e">
        <f t="shared" si="12"/>
        <v>#N/A</v>
      </c>
      <c r="X36" s="1552"/>
      <c r="Y36" s="4060"/>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60"/>
      <c r="Q37" s="1557" t="str">
        <f t="shared" ref="Q37:Q42" si="14">B37</f>
        <v>宗地形状</v>
      </c>
      <c r="R37" s="1558" t="s">
        <v>8</v>
      </c>
      <c r="S37" s="1559">
        <f t="shared" si="10"/>
        <v>100</v>
      </c>
      <c r="T37" s="1558" t="s">
        <v>8</v>
      </c>
      <c r="U37" s="1559">
        <f t="shared" si="11"/>
        <v>100</v>
      </c>
      <c r="V37" s="1558" t="s">
        <v>8</v>
      </c>
      <c r="W37" s="1559">
        <f t="shared" si="12"/>
        <v>100</v>
      </c>
      <c r="X37" s="1552"/>
      <c r="Y37" s="4060"/>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60"/>
      <c r="Q38" s="1557" t="str">
        <f t="shared" si="14"/>
        <v>宗地开发程度</v>
      </c>
      <c r="R38" s="1553" t="s">
        <v>8</v>
      </c>
      <c r="S38" s="1554">
        <f t="shared" si="10"/>
        <v>100</v>
      </c>
      <c r="T38" s="1553" t="s">
        <v>8</v>
      </c>
      <c r="U38" s="1554">
        <f t="shared" si="11"/>
        <v>100</v>
      </c>
      <c r="V38" s="1553" t="s">
        <v>8</v>
      </c>
      <c r="W38" s="1554">
        <f t="shared" si="12"/>
        <v>100</v>
      </c>
      <c r="X38" s="1555"/>
      <c r="Y38" s="4060"/>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60" t="s">
        <v>601</v>
      </c>
      <c r="Q39" s="1557" t="str">
        <f t="shared" si="14"/>
        <v>工程地质条件</v>
      </c>
      <c r="R39" s="1558" t="s">
        <v>8</v>
      </c>
      <c r="S39" s="1559">
        <f t="shared" si="10"/>
        <v>100</v>
      </c>
      <c r="T39" s="1558" t="s">
        <v>8</v>
      </c>
      <c r="U39" s="1559">
        <f t="shared" si="11"/>
        <v>100</v>
      </c>
      <c r="V39" s="1558" t="s">
        <v>8</v>
      </c>
      <c r="W39" s="1559">
        <f t="shared" si="12"/>
        <v>100</v>
      </c>
      <c r="X39" s="1552"/>
      <c r="Y39" s="4060"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60"/>
      <c r="Q40" s="1557">
        <f t="shared" si="14"/>
        <v>111</v>
      </c>
      <c r="R40" s="1558" t="s">
        <v>8</v>
      </c>
      <c r="S40" s="1559">
        <f t="shared" si="10"/>
        <v>100</v>
      </c>
      <c r="T40" s="1558" t="s">
        <v>8</v>
      </c>
      <c r="U40" s="1559">
        <f t="shared" si="11"/>
        <v>100</v>
      </c>
      <c r="V40" s="1558" t="s">
        <v>8</v>
      </c>
      <c r="W40" s="1559">
        <f t="shared" si="12"/>
        <v>100</v>
      </c>
      <c r="X40" s="1552"/>
      <c r="Y40" s="4060"/>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60"/>
      <c r="Q41" s="1557">
        <f t="shared" si="14"/>
        <v>111</v>
      </c>
      <c r="R41" s="1558" t="s">
        <v>8</v>
      </c>
      <c r="S41" s="1559">
        <f t="shared" si="10"/>
        <v>100</v>
      </c>
      <c r="T41" s="1558" t="s">
        <v>8</v>
      </c>
      <c r="U41" s="1559">
        <f t="shared" si="11"/>
        <v>100</v>
      </c>
      <c r="V41" s="1558" t="s">
        <v>8</v>
      </c>
      <c r="W41" s="1559">
        <f t="shared" si="12"/>
        <v>100</v>
      </c>
      <c r="X41" s="1552"/>
      <c r="Y41" s="4060"/>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60"/>
      <c r="Q42" s="1557">
        <f t="shared" si="14"/>
        <v>111</v>
      </c>
      <c r="R42" s="1562" t="s">
        <v>8</v>
      </c>
      <c r="S42" s="1563">
        <f t="shared" si="10"/>
        <v>100</v>
      </c>
      <c r="T42" s="1562" t="s">
        <v>8</v>
      </c>
      <c r="U42" s="1563">
        <f t="shared" si="11"/>
        <v>100</v>
      </c>
      <c r="V42" s="1562" t="s">
        <v>8</v>
      </c>
      <c r="W42" s="1563">
        <f t="shared" si="12"/>
        <v>100</v>
      </c>
      <c r="X42" s="1564"/>
      <c r="Y42" s="4060"/>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55" t="str">
        <f>A43</f>
        <v>成交单价</v>
      </c>
      <c r="Q43" s="4055"/>
      <c r="R43" s="4069">
        <f>E43</f>
        <v>0</v>
      </c>
      <c r="S43" s="4069"/>
      <c r="T43" s="4069">
        <f>G43</f>
        <v>0</v>
      </c>
      <c r="U43" s="4069"/>
      <c r="V43" s="4069">
        <f>I43</f>
        <v>0</v>
      </c>
      <c r="W43" s="4069"/>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55" t="str">
        <f>A44</f>
        <v>比较价格（元/平方米）</v>
      </c>
      <c r="Q44" s="4055"/>
      <c r="R44" s="4079" t="e">
        <f>ROUND(PRODUCT(R43,AA9:AA42),0)</f>
        <v>#DIV/0!</v>
      </c>
      <c r="S44" s="4079"/>
      <c r="T44" s="4079" t="e">
        <f>ROUND(PRODUCT(T43,AB9:AB42),0)</f>
        <v>#DIV/0!</v>
      </c>
      <c r="U44" s="4079"/>
      <c r="V44" s="4079" t="e">
        <f>ROUND(PRODUCT(V43,AC9:AC42),0)</f>
        <v>#DIV/0!</v>
      </c>
      <c r="W44" s="4079"/>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76" t="str">
        <f>A45</f>
        <v>估价对象XX用房的比较价格（楼面单价，元/平方米）</v>
      </c>
      <c r="Q45" s="4077"/>
      <c r="R45" s="4078" t="e">
        <f>ROUND(AVERAGE(R44:V44),0)</f>
        <v>#DIV/0!</v>
      </c>
      <c r="S45" s="4078"/>
      <c r="T45" s="4078"/>
      <c r="U45" s="4078"/>
      <c r="V45" s="4078"/>
      <c r="W45" s="407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080" t="s">
        <v>2284</v>
      </c>
      <c r="H52" s="4081"/>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88600.030000000013</v>
      </c>
      <c r="F53" s="1934" t="e">
        <f t="shared" ref="F53:F62" si="15">ROUND(B53*E53/10000,0)</f>
        <v>#DIV/0!</v>
      </c>
      <c r="G53" s="4082"/>
      <c r="H53" s="408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084"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08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08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08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9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09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103" t="s">
        <v>2782</v>
      </c>
      <c r="X8" s="4104"/>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09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102"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9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10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9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102"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09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102"/>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094"/>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102"/>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094"/>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095"/>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92" t="s">
        <v>1838</v>
      </c>
      <c r="B16" s="1422" t="s">
        <v>950</v>
      </c>
      <c r="C16" s="1051" t="e">
        <f>ROUND(IF(F17="与级别开发程度一致",0,(G17-E17)/C17),0)</f>
        <v>#DIV/0!</v>
      </c>
      <c r="D16" s="4110" t="s">
        <v>954</v>
      </c>
      <c r="E16" s="4111"/>
      <c r="F16" s="4110" t="s">
        <v>951</v>
      </c>
      <c r="G16" s="4111"/>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096"/>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099"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0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0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0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097" t="s">
        <v>1633</v>
      </c>
      <c r="B90" s="4097"/>
      <c r="C90" s="4097"/>
      <c r="D90" s="4097"/>
      <c r="E90" s="4097"/>
      <c r="F90" s="4097"/>
      <c r="G90" s="4097"/>
      <c r="H90" s="4097"/>
      <c r="I90" s="4097"/>
      <c r="J90" s="4097"/>
      <c r="K90" s="2413"/>
      <c r="L90" s="2413"/>
      <c r="M90" s="2413"/>
      <c r="N90" s="2413"/>
    </row>
    <row r="91" spans="1:40">
      <c r="A91" s="4098" t="s">
        <v>1443</v>
      </c>
      <c r="B91" s="4098" t="s">
        <v>1634</v>
      </c>
      <c r="C91" s="1135" t="s">
        <v>1635</v>
      </c>
      <c r="D91" s="1136"/>
      <c r="E91" s="1136"/>
      <c r="F91" s="1136"/>
      <c r="G91" s="1136"/>
      <c r="H91" s="1136"/>
      <c r="I91" s="1136"/>
      <c r="J91" s="1137"/>
      <c r="K91" s="1129"/>
      <c r="L91" s="1129"/>
      <c r="M91" s="1129"/>
      <c r="N91" s="1129"/>
    </row>
    <row r="92" spans="1:40">
      <c r="A92" s="4098"/>
      <c r="B92" s="409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0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0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0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0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0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0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0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0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05"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06"/>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06"/>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06"/>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06"/>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06"/>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06"/>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06"/>
      <c r="B108" s="410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07"/>
      <c r="B109" s="4109"/>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091" t="s">
        <v>1639</v>
      </c>
      <c r="B110" s="4091"/>
      <c r="C110" s="4091"/>
      <c r="D110" s="4091"/>
      <c r="E110" s="4091"/>
      <c r="F110" s="4091"/>
      <c r="G110" s="4091"/>
      <c r="H110" s="4091"/>
      <c r="I110" s="4091"/>
      <c r="J110" s="4091"/>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098" t="s">
        <v>1007</v>
      </c>
      <c r="B18" s="1149" t="s">
        <v>1446</v>
      </c>
      <c r="C18" s="1126" t="s">
        <v>1447</v>
      </c>
      <c r="D18" s="1127"/>
      <c r="E18" s="1149">
        <v>1</v>
      </c>
      <c r="F18" s="1128" t="s">
        <v>1448</v>
      </c>
      <c r="G18" s="1129"/>
      <c r="H18" s="1100"/>
      <c r="I18" s="1100"/>
    </row>
    <row r="19" spans="1:9" s="1583" customFormat="1" ht="19.5" customHeight="1">
      <c r="A19" s="4098"/>
      <c r="B19" s="4098" t="s">
        <v>1449</v>
      </c>
      <c r="C19" s="1126" t="s">
        <v>1450</v>
      </c>
      <c r="D19" s="1127"/>
      <c r="E19" s="1149">
        <v>0.9</v>
      </c>
      <c r="F19" s="1128" t="s">
        <v>1451</v>
      </c>
      <c r="G19" s="1129"/>
      <c r="H19" s="1100"/>
      <c r="I19" s="1100"/>
    </row>
    <row r="20" spans="1:9" s="1583" customFormat="1" ht="19.5" customHeight="1">
      <c r="A20" s="4098"/>
      <c r="B20" s="4098"/>
      <c r="C20" s="1126" t="s">
        <v>1452</v>
      </c>
      <c r="D20" s="1127"/>
      <c r="E20" s="1149">
        <v>1.1000000000000001</v>
      </c>
      <c r="F20" s="1128" t="s">
        <v>1453</v>
      </c>
      <c r="G20" s="1129"/>
      <c r="H20" s="1100"/>
      <c r="I20" s="1100"/>
    </row>
    <row r="21" spans="1:9" s="1583" customFormat="1" ht="19.5" customHeight="1">
      <c r="A21" s="4098"/>
      <c r="B21" s="4098"/>
      <c r="C21" s="1126" t="s">
        <v>1454</v>
      </c>
      <c r="D21" s="1127"/>
      <c r="E21" s="1149">
        <v>0.8</v>
      </c>
      <c r="F21" s="1128" t="s">
        <v>1455</v>
      </c>
      <c r="G21" s="1129"/>
      <c r="H21" s="1100"/>
      <c r="I21" s="1100"/>
    </row>
    <row r="22" spans="1:9" s="1583" customFormat="1" ht="19.5" customHeight="1">
      <c r="A22" s="4098"/>
      <c r="B22" s="4098"/>
      <c r="C22" s="1126" t="s">
        <v>1456</v>
      </c>
      <c r="D22" s="1127"/>
      <c r="E22" s="1149">
        <v>0.5</v>
      </c>
      <c r="F22" s="1128"/>
      <c r="G22" s="1129"/>
      <c r="H22" s="1100"/>
      <c r="I22" s="1100"/>
    </row>
    <row r="23" spans="1:9" s="1583" customFormat="1" ht="19.5" customHeight="1">
      <c r="A23" s="4098" t="s">
        <v>1029</v>
      </c>
      <c r="B23" s="1149" t="s">
        <v>1446</v>
      </c>
      <c r="C23" s="1126" t="s">
        <v>1457</v>
      </c>
      <c r="D23" s="1127"/>
      <c r="E23" s="1149">
        <v>1</v>
      </c>
      <c r="F23" s="1128" t="s">
        <v>1458</v>
      </c>
      <c r="G23" s="1129"/>
      <c r="H23" s="1100"/>
      <c r="I23" s="1100"/>
    </row>
    <row r="24" spans="1:9" s="1583" customFormat="1" ht="19.5" customHeight="1">
      <c r="A24" s="4098"/>
      <c r="B24" s="4098" t="s">
        <v>1449</v>
      </c>
      <c r="C24" s="1126" t="s">
        <v>1459</v>
      </c>
      <c r="D24" s="1127"/>
      <c r="E24" s="1149">
        <v>0.5</v>
      </c>
      <c r="F24" s="1128"/>
      <c r="G24" s="1129"/>
      <c r="H24" s="1100"/>
      <c r="I24" s="1100"/>
    </row>
    <row r="25" spans="1:9" s="1583" customFormat="1" ht="19.5" customHeight="1">
      <c r="A25" s="4098"/>
      <c r="B25" s="4098"/>
      <c r="C25" s="1126" t="s">
        <v>1460</v>
      </c>
      <c r="D25" s="1127"/>
      <c r="E25" s="1149">
        <v>1.1000000000000001</v>
      </c>
      <c r="F25" s="1128"/>
      <c r="G25" s="1129"/>
      <c r="H25" s="1100"/>
      <c r="I25" s="1100"/>
    </row>
    <row r="26" spans="1:9" s="1583" customFormat="1" ht="19.5" customHeight="1">
      <c r="A26" s="4098"/>
      <c r="B26" s="4098"/>
      <c r="C26" s="1126" t="s">
        <v>1461</v>
      </c>
      <c r="D26" s="1127"/>
      <c r="E26" s="1149">
        <v>1.1000000000000001</v>
      </c>
      <c r="F26" s="1128"/>
      <c r="G26" s="1129"/>
      <c r="H26" s="1100"/>
      <c r="I26" s="1100"/>
    </row>
    <row r="27" spans="1:9" s="1583" customFormat="1" ht="19.5" customHeight="1">
      <c r="A27" s="4098"/>
      <c r="B27" s="4098"/>
      <c r="C27" s="1126" t="s">
        <v>1462</v>
      </c>
      <c r="D27" s="1127"/>
      <c r="E27" s="1149">
        <v>0.9</v>
      </c>
      <c r="F27" s="1128" t="s">
        <v>1463</v>
      </c>
      <c r="G27" s="1129"/>
      <c r="H27" s="1100"/>
      <c r="I27" s="1100"/>
    </row>
    <row r="28" spans="1:9" s="1583" customFormat="1" ht="19.5" customHeight="1">
      <c r="A28" s="4098"/>
      <c r="B28" s="4098"/>
      <c r="C28" s="1126" t="s">
        <v>1464</v>
      </c>
      <c r="D28" s="1127"/>
      <c r="E28" s="1149">
        <v>0.9</v>
      </c>
      <c r="F28" s="1128" t="s">
        <v>1465</v>
      </c>
      <c r="G28" s="1129"/>
      <c r="H28" s="1100"/>
      <c r="I28" s="1100"/>
    </row>
    <row r="29" spans="1:9" s="1583" customFormat="1" ht="19.5" customHeight="1">
      <c r="A29" s="4098"/>
      <c r="B29" s="4098"/>
      <c r="C29" s="1126" t="s">
        <v>1466</v>
      </c>
      <c r="D29" s="1127"/>
      <c r="E29" s="1149">
        <v>0.9</v>
      </c>
      <c r="F29" s="1128" t="s">
        <v>1467</v>
      </c>
      <c r="G29" s="1129"/>
      <c r="H29" s="1100"/>
      <c r="I29" s="1100"/>
    </row>
    <row r="30" spans="1:9" s="1583" customFormat="1" ht="19.5" customHeight="1">
      <c r="A30" s="4098"/>
      <c r="B30" s="4098"/>
      <c r="C30" s="1126" t="s">
        <v>1468</v>
      </c>
      <c r="D30" s="1127"/>
      <c r="E30" s="1149">
        <v>0.9</v>
      </c>
      <c r="F30" s="1128" t="s">
        <v>1469</v>
      </c>
      <c r="G30" s="1129"/>
      <c r="H30" s="1100"/>
      <c r="I30" s="1100"/>
    </row>
    <row r="31" spans="1:9" s="1583" customFormat="1" ht="19.5" customHeight="1">
      <c r="A31" s="4098"/>
      <c r="B31" s="4098"/>
      <c r="C31" s="1126" t="s">
        <v>1470</v>
      </c>
      <c r="D31" s="1127"/>
      <c r="E31" s="1149">
        <v>0.8</v>
      </c>
      <c r="F31" s="1128" t="s">
        <v>1471</v>
      </c>
      <c r="G31" s="1129"/>
      <c r="H31" s="1100"/>
      <c r="I31" s="1100"/>
    </row>
    <row r="32" spans="1:9" s="1583" customFormat="1" ht="19.5" customHeight="1">
      <c r="A32" s="4098"/>
      <c r="B32" s="4098"/>
      <c r="C32" s="1126" t="s">
        <v>1472</v>
      </c>
      <c r="D32" s="1127"/>
      <c r="E32" s="1149">
        <v>0.8</v>
      </c>
      <c r="F32" s="1128" t="s">
        <v>1473</v>
      </c>
      <c r="G32" s="1129"/>
      <c r="H32" s="1100"/>
      <c r="I32" s="1100"/>
    </row>
    <row r="33" spans="1:9" s="1583" customFormat="1" ht="19.5" customHeight="1">
      <c r="A33" s="4098" t="s">
        <v>1474</v>
      </c>
      <c r="B33" s="1149" t="s">
        <v>1446</v>
      </c>
      <c r="C33" s="1126" t="s">
        <v>1475</v>
      </c>
      <c r="D33" s="1127"/>
      <c r="E33" s="1149">
        <v>1</v>
      </c>
      <c r="F33" s="1128" t="s">
        <v>1476</v>
      </c>
      <c r="G33" s="1129"/>
      <c r="H33" s="1100"/>
      <c r="I33" s="1100"/>
    </row>
    <row r="34" spans="1:9" s="1583" customFormat="1" ht="19.5" customHeight="1">
      <c r="A34" s="4098"/>
      <c r="B34" s="1149" t="s">
        <v>1449</v>
      </c>
      <c r="C34" s="1126" t="s">
        <v>1477</v>
      </c>
      <c r="D34" s="1127"/>
      <c r="E34" s="1149">
        <v>1.5</v>
      </c>
      <c r="F34" s="1128" t="s">
        <v>1478</v>
      </c>
      <c r="G34" s="1129"/>
      <c r="H34" s="1100"/>
      <c r="I34" s="1100"/>
    </row>
    <row r="35" spans="1:9" s="1583" customFormat="1" ht="19.5" customHeight="1">
      <c r="A35" s="4098" t="s">
        <v>1432</v>
      </c>
      <c r="B35" s="1149" t="s">
        <v>1446</v>
      </c>
      <c r="C35" s="1126" t="s">
        <v>1479</v>
      </c>
      <c r="D35" s="1127"/>
      <c r="E35" s="1149">
        <v>1</v>
      </c>
      <c r="F35" s="1128" t="s">
        <v>1480</v>
      </c>
      <c r="G35" s="1129"/>
      <c r="H35" s="1100"/>
      <c r="I35" s="1100"/>
    </row>
    <row r="36" spans="1:9" s="1583" customFormat="1" ht="19.5" customHeight="1">
      <c r="A36" s="4098"/>
      <c r="B36" s="4098" t="s">
        <v>1449</v>
      </c>
      <c r="C36" s="1126" t="s">
        <v>1481</v>
      </c>
      <c r="D36" s="1127"/>
      <c r="E36" s="1149">
        <v>1</v>
      </c>
      <c r="F36" s="1128" t="s">
        <v>1482</v>
      </c>
      <c r="G36" s="1129"/>
      <c r="H36" s="1100"/>
      <c r="I36" s="1100"/>
    </row>
    <row r="37" spans="1:9" s="1583" customFormat="1" ht="19.5" customHeight="1">
      <c r="A37" s="4098"/>
      <c r="B37" s="4098"/>
      <c r="C37" s="1126" t="s">
        <v>1483</v>
      </c>
      <c r="D37" s="1127"/>
      <c r="E37" s="1149">
        <v>1.5</v>
      </c>
      <c r="F37" s="1128" t="s">
        <v>1484</v>
      </c>
      <c r="G37" s="1129"/>
      <c r="H37" s="1100"/>
      <c r="I37" s="1100"/>
    </row>
    <row r="38" spans="1:9" s="1583" customFormat="1" ht="19.5" customHeight="1">
      <c r="A38" s="4098"/>
      <c r="B38" s="4098"/>
      <c r="C38" s="1126" t="s">
        <v>1485</v>
      </c>
      <c r="D38" s="1127"/>
      <c r="E38" s="1149">
        <v>1</v>
      </c>
      <c r="F38" s="1128" t="s">
        <v>1486</v>
      </c>
      <c r="G38" s="1129"/>
      <c r="H38" s="1100"/>
      <c r="I38" s="1100"/>
    </row>
    <row r="39" spans="1:9" s="1583" customFormat="1" ht="19.5" customHeight="1">
      <c r="A39" s="4098"/>
      <c r="B39" s="409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098" t="s">
        <v>1501</v>
      </c>
      <c r="C61" s="1063" t="s">
        <v>1502</v>
      </c>
      <c r="D61" s="1063" t="s">
        <v>1503</v>
      </c>
      <c r="E61" s="1134">
        <v>0.5</v>
      </c>
      <c r="F61" s="1149">
        <v>80</v>
      </c>
      <c r="H61" s="1100">
        <f>SUMIF(C59:C119,基准地价!C8,E59:E119)</f>
        <v>0</v>
      </c>
    </row>
    <row r="62" spans="1:8" s="1100" customFormat="1" ht="24">
      <c r="A62" s="1149">
        <v>2</v>
      </c>
      <c r="B62" s="4098"/>
      <c r="C62" s="1063" t="s">
        <v>1504</v>
      </c>
      <c r="D62" s="1063" t="s">
        <v>1505</v>
      </c>
      <c r="E62" s="1134">
        <v>0.5</v>
      </c>
      <c r="F62" s="1149">
        <v>80</v>
      </c>
    </row>
    <row r="63" spans="1:8" s="1100" customFormat="1" ht="36">
      <c r="A63" s="1149">
        <v>3</v>
      </c>
      <c r="B63" s="4098"/>
      <c r="C63" s="1063" t="s">
        <v>1506</v>
      </c>
      <c r="D63" s="1063" t="s">
        <v>1507</v>
      </c>
      <c r="E63" s="1134">
        <v>0.5</v>
      </c>
      <c r="F63" s="1149">
        <v>80</v>
      </c>
    </row>
    <row r="64" spans="1:8" s="1100" customFormat="1" ht="36">
      <c r="A64" s="1149">
        <v>4</v>
      </c>
      <c r="B64" s="4098"/>
      <c r="C64" s="1063" t="s">
        <v>1508</v>
      </c>
      <c r="D64" s="1063" t="s">
        <v>1509</v>
      </c>
      <c r="E64" s="1134">
        <v>0.4</v>
      </c>
      <c r="F64" s="1149">
        <v>60</v>
      </c>
    </row>
    <row r="65" spans="1:6" s="1100" customFormat="1" ht="36">
      <c r="A65" s="1149">
        <v>5</v>
      </c>
      <c r="B65" s="4098"/>
      <c r="C65" s="1063" t="s">
        <v>1510</v>
      </c>
      <c r="D65" s="1063" t="s">
        <v>1511</v>
      </c>
      <c r="E65" s="1134">
        <v>0.2</v>
      </c>
      <c r="F65" s="1149">
        <v>30</v>
      </c>
    </row>
    <row r="66" spans="1:6" s="1100" customFormat="1" ht="36">
      <c r="A66" s="1149">
        <v>6</v>
      </c>
      <c r="B66" s="4098"/>
      <c r="C66" s="1063" t="s">
        <v>1512</v>
      </c>
      <c r="D66" s="1063" t="s">
        <v>1513</v>
      </c>
      <c r="E66" s="1134">
        <v>0.3</v>
      </c>
      <c r="F66" s="1149">
        <v>50</v>
      </c>
    </row>
    <row r="67" spans="1:6" s="1100" customFormat="1" ht="36">
      <c r="A67" s="1149">
        <v>7</v>
      </c>
      <c r="B67" s="4098"/>
      <c r="C67" s="1063" t="s">
        <v>1514</v>
      </c>
      <c r="D67" s="1063" t="s">
        <v>1515</v>
      </c>
      <c r="E67" s="1134">
        <v>0.2</v>
      </c>
      <c r="F67" s="1149">
        <v>30</v>
      </c>
    </row>
    <row r="68" spans="1:6" s="1100" customFormat="1" ht="36">
      <c r="A68" s="1149">
        <v>8</v>
      </c>
      <c r="B68" s="4098"/>
      <c r="C68" s="1063" t="s">
        <v>1516</v>
      </c>
      <c r="D68" s="1063" t="s">
        <v>1517</v>
      </c>
      <c r="E68" s="1134">
        <v>0.2</v>
      </c>
      <c r="F68" s="1149">
        <v>30</v>
      </c>
    </row>
    <row r="69" spans="1:6" s="1100" customFormat="1" ht="36">
      <c r="A69" s="1149">
        <v>9</v>
      </c>
      <c r="B69" s="4098"/>
      <c r="C69" s="1063" t="s">
        <v>1518</v>
      </c>
      <c r="D69" s="1063" t="s">
        <v>1519</v>
      </c>
      <c r="E69" s="1134">
        <v>0.2</v>
      </c>
      <c r="F69" s="1149">
        <v>30</v>
      </c>
    </row>
    <row r="70" spans="1:6" s="1100" customFormat="1" ht="48">
      <c r="A70" s="1149">
        <v>10</v>
      </c>
      <c r="B70" s="4098"/>
      <c r="C70" s="1063" t="s">
        <v>1520</v>
      </c>
      <c r="D70" s="1063" t="s">
        <v>1521</v>
      </c>
      <c r="E70" s="1134">
        <v>0.2</v>
      </c>
      <c r="F70" s="1149">
        <v>30</v>
      </c>
    </row>
    <row r="71" spans="1:6" s="1100" customFormat="1" ht="48">
      <c r="A71" s="1149">
        <v>11</v>
      </c>
      <c r="B71" s="4098"/>
      <c r="C71" s="1063" t="s">
        <v>1522</v>
      </c>
      <c r="D71" s="1063" t="s">
        <v>1523</v>
      </c>
      <c r="E71" s="1134">
        <v>0.2</v>
      </c>
      <c r="F71" s="1149">
        <v>30</v>
      </c>
    </row>
    <row r="72" spans="1:6" s="1100" customFormat="1" ht="36">
      <c r="A72" s="1149">
        <v>12</v>
      </c>
      <c r="B72" s="4098"/>
      <c r="C72" s="1063" t="s">
        <v>1524</v>
      </c>
      <c r="D72" s="1063" t="s">
        <v>1525</v>
      </c>
      <c r="E72" s="1134">
        <v>0.5</v>
      </c>
      <c r="F72" s="1149">
        <v>80</v>
      </c>
    </row>
    <row r="73" spans="1:6" s="1100" customFormat="1" ht="24">
      <c r="A73" s="1149">
        <v>13</v>
      </c>
      <c r="B73" s="4098"/>
      <c r="C73" s="1063" t="s">
        <v>1526</v>
      </c>
      <c r="D73" s="1063" t="s">
        <v>1527</v>
      </c>
      <c r="E73" s="1134">
        <v>0.4</v>
      </c>
      <c r="F73" s="1149">
        <v>60</v>
      </c>
    </row>
    <row r="74" spans="1:6" s="1100" customFormat="1" ht="24">
      <c r="A74" s="1149">
        <v>14</v>
      </c>
      <c r="B74" s="4098"/>
      <c r="C74" s="1063" t="s">
        <v>1528</v>
      </c>
      <c r="D74" s="1063" t="s">
        <v>1529</v>
      </c>
      <c r="E74" s="1134">
        <v>0.2</v>
      </c>
      <c r="F74" s="1149">
        <v>30</v>
      </c>
    </row>
    <row r="75" spans="1:6" s="1100" customFormat="1" ht="24">
      <c r="A75" s="1149">
        <v>15</v>
      </c>
      <c r="B75" s="4098"/>
      <c r="C75" s="1063" t="s">
        <v>1530</v>
      </c>
      <c r="D75" s="1063" t="s">
        <v>1531</v>
      </c>
      <c r="E75" s="1134">
        <v>0.2</v>
      </c>
      <c r="F75" s="1149">
        <v>30</v>
      </c>
    </row>
    <row r="76" spans="1:6" s="1100" customFormat="1" ht="24">
      <c r="A76" s="1149">
        <v>16</v>
      </c>
      <c r="B76" s="4098" t="s">
        <v>1532</v>
      </c>
      <c r="C76" s="1063" t="s">
        <v>1533</v>
      </c>
      <c r="D76" s="1063" t="s">
        <v>1534</v>
      </c>
      <c r="E76" s="1134">
        <v>0.5</v>
      </c>
      <c r="F76" s="1149">
        <v>80</v>
      </c>
    </row>
    <row r="77" spans="1:6" s="1100" customFormat="1" ht="24">
      <c r="A77" s="1149">
        <v>17</v>
      </c>
      <c r="B77" s="4098"/>
      <c r="C77" s="1063" t="s">
        <v>1535</v>
      </c>
      <c r="D77" s="1063" t="s">
        <v>1536</v>
      </c>
      <c r="E77" s="1134">
        <v>0.5</v>
      </c>
      <c r="F77" s="1149">
        <v>80</v>
      </c>
    </row>
    <row r="78" spans="1:6" s="1100" customFormat="1" ht="24">
      <c r="A78" s="1149">
        <v>18</v>
      </c>
      <c r="B78" s="4098"/>
      <c r="C78" s="1063" t="s">
        <v>1537</v>
      </c>
      <c r="D78" s="1063" t="s">
        <v>1538</v>
      </c>
      <c r="E78" s="1134">
        <v>0.2</v>
      </c>
      <c r="F78" s="1149">
        <v>30</v>
      </c>
    </row>
    <row r="79" spans="1:6" s="1100" customFormat="1" ht="24">
      <c r="A79" s="1149">
        <v>19</v>
      </c>
      <c r="B79" s="4098"/>
      <c r="C79" s="1063" t="s">
        <v>1539</v>
      </c>
      <c r="D79" s="1063" t="s">
        <v>1540</v>
      </c>
      <c r="E79" s="1134">
        <v>0.5</v>
      </c>
      <c r="F79" s="1149">
        <v>80</v>
      </c>
    </row>
    <row r="80" spans="1:6" s="1100" customFormat="1" ht="36">
      <c r="A80" s="1149">
        <v>20</v>
      </c>
      <c r="B80" s="4098"/>
      <c r="C80" s="1063" t="s">
        <v>1541</v>
      </c>
      <c r="D80" s="1063" t="s">
        <v>1542</v>
      </c>
      <c r="E80" s="1134">
        <v>0.2</v>
      </c>
      <c r="F80" s="1149">
        <v>30</v>
      </c>
    </row>
    <row r="81" spans="1:6" s="1100" customFormat="1" ht="36">
      <c r="A81" s="1149">
        <v>21</v>
      </c>
      <c r="B81" s="4098"/>
      <c r="C81" s="1063" t="s">
        <v>1543</v>
      </c>
      <c r="D81" s="1063" t="s">
        <v>1544</v>
      </c>
      <c r="E81" s="1134">
        <v>0.2</v>
      </c>
      <c r="F81" s="1149">
        <v>30</v>
      </c>
    </row>
    <row r="82" spans="1:6" s="1100" customFormat="1" ht="48">
      <c r="A82" s="1149">
        <v>22</v>
      </c>
      <c r="B82" s="4098"/>
      <c r="C82" s="1063" t="s">
        <v>1545</v>
      </c>
      <c r="D82" s="1063" t="s">
        <v>1546</v>
      </c>
      <c r="E82" s="1134">
        <v>0.2</v>
      </c>
      <c r="F82" s="1149">
        <v>30</v>
      </c>
    </row>
    <row r="83" spans="1:6" s="1100" customFormat="1" ht="48">
      <c r="A83" s="1149">
        <v>23</v>
      </c>
      <c r="B83" s="4098"/>
      <c r="C83" s="1063" t="s">
        <v>1547</v>
      </c>
      <c r="D83" s="1063" t="s">
        <v>1548</v>
      </c>
      <c r="E83" s="1134">
        <v>0.2</v>
      </c>
      <c r="F83" s="1149">
        <v>30</v>
      </c>
    </row>
    <row r="84" spans="1:6" s="1100" customFormat="1" ht="36">
      <c r="A84" s="1149">
        <v>24</v>
      </c>
      <c r="B84" s="4098"/>
      <c r="C84" s="1063" t="s">
        <v>1549</v>
      </c>
      <c r="D84" s="1063" t="s">
        <v>1550</v>
      </c>
      <c r="E84" s="1134">
        <v>0.2</v>
      </c>
      <c r="F84" s="1149">
        <v>30</v>
      </c>
    </row>
    <row r="85" spans="1:6" s="1100" customFormat="1" ht="36">
      <c r="A85" s="1149">
        <v>25</v>
      </c>
      <c r="B85" s="4098"/>
      <c r="C85" s="1063" t="s">
        <v>1551</v>
      </c>
      <c r="D85" s="1063" t="s">
        <v>1552</v>
      </c>
      <c r="E85" s="1134">
        <v>0.5</v>
      </c>
      <c r="F85" s="1149">
        <v>80</v>
      </c>
    </row>
    <row r="86" spans="1:6" s="1100" customFormat="1" ht="36">
      <c r="A86" s="1149">
        <v>26</v>
      </c>
      <c r="B86" s="4098"/>
      <c r="C86" s="1063" t="s">
        <v>1553</v>
      </c>
      <c r="D86" s="1063" t="s">
        <v>1554</v>
      </c>
      <c r="E86" s="1134">
        <v>0.2</v>
      </c>
      <c r="F86" s="1149">
        <v>30</v>
      </c>
    </row>
    <row r="87" spans="1:6" s="1100" customFormat="1" ht="36">
      <c r="A87" s="1149">
        <v>27</v>
      </c>
      <c r="B87" s="4098"/>
      <c r="C87" s="1063" t="s">
        <v>1555</v>
      </c>
      <c r="D87" s="1063" t="s">
        <v>1556</v>
      </c>
      <c r="E87" s="1134">
        <v>0.2</v>
      </c>
      <c r="F87" s="1149">
        <v>30</v>
      </c>
    </row>
    <row r="88" spans="1:6" s="1100" customFormat="1" ht="36">
      <c r="A88" s="1149">
        <v>28</v>
      </c>
      <c r="B88" s="4098"/>
      <c r="C88" s="1063" t="s">
        <v>1557</v>
      </c>
      <c r="D88" s="1063" t="s">
        <v>1558</v>
      </c>
      <c r="E88" s="1134">
        <v>0.2</v>
      </c>
      <c r="F88" s="1149">
        <v>30</v>
      </c>
    </row>
    <row r="89" spans="1:6" s="1100" customFormat="1" ht="24">
      <c r="A89" s="1149">
        <v>29</v>
      </c>
      <c r="B89" s="4098"/>
      <c r="C89" s="1063" t="s">
        <v>1559</v>
      </c>
      <c r="D89" s="1063" t="s">
        <v>1560</v>
      </c>
      <c r="E89" s="1134">
        <v>0.2</v>
      </c>
      <c r="F89" s="1149">
        <v>30</v>
      </c>
    </row>
    <row r="90" spans="1:6" s="1100" customFormat="1" ht="24">
      <c r="A90" s="1149">
        <v>30</v>
      </c>
      <c r="B90" s="4098"/>
      <c r="C90" s="1063" t="s">
        <v>1561</v>
      </c>
      <c r="D90" s="1063" t="s">
        <v>1562</v>
      </c>
      <c r="E90" s="1134">
        <v>0.2</v>
      </c>
      <c r="F90" s="1149">
        <v>30</v>
      </c>
    </row>
    <row r="91" spans="1:6" s="1100" customFormat="1" ht="36">
      <c r="A91" s="1149">
        <v>31</v>
      </c>
      <c r="B91" s="4098"/>
      <c r="C91" s="1063" t="s">
        <v>1563</v>
      </c>
      <c r="D91" s="1063" t="s">
        <v>1564</v>
      </c>
      <c r="E91" s="1134">
        <v>0.2</v>
      </c>
      <c r="F91" s="1149">
        <v>30</v>
      </c>
    </row>
    <row r="92" spans="1:6" s="1100" customFormat="1" ht="24">
      <c r="A92" s="1149">
        <v>32</v>
      </c>
      <c r="B92" s="4098" t="s">
        <v>1565</v>
      </c>
      <c r="C92" s="1149" t="s">
        <v>1566</v>
      </c>
      <c r="D92" s="1063" t="s">
        <v>1567</v>
      </c>
      <c r="E92" s="1134">
        <v>0.2</v>
      </c>
      <c r="F92" s="1149">
        <v>30</v>
      </c>
    </row>
    <row r="93" spans="1:6" s="1100" customFormat="1" ht="36">
      <c r="A93" s="1149">
        <v>33</v>
      </c>
      <c r="B93" s="4098"/>
      <c r="C93" s="1149" t="s">
        <v>1568</v>
      </c>
      <c r="D93" s="1063" t="s">
        <v>1569</v>
      </c>
      <c r="E93" s="1134">
        <v>0.2</v>
      </c>
      <c r="F93" s="1149">
        <v>30</v>
      </c>
    </row>
    <row r="94" spans="1:6" s="1100" customFormat="1" ht="48">
      <c r="A94" s="1149">
        <v>34</v>
      </c>
      <c r="B94" s="4098"/>
      <c r="C94" s="1149" t="s">
        <v>1570</v>
      </c>
      <c r="D94" s="1063" t="s">
        <v>1571</v>
      </c>
      <c r="E94" s="1134">
        <v>0.2</v>
      </c>
      <c r="F94" s="1149">
        <v>30</v>
      </c>
    </row>
    <row r="95" spans="1:6" s="1100" customFormat="1" ht="36">
      <c r="A95" s="1149">
        <v>35</v>
      </c>
      <c r="B95" s="4098"/>
      <c r="C95" s="1149" t="s">
        <v>1572</v>
      </c>
      <c r="D95" s="1063" t="s">
        <v>1573</v>
      </c>
      <c r="E95" s="1134">
        <v>0.2</v>
      </c>
      <c r="F95" s="1149">
        <v>30</v>
      </c>
    </row>
    <row r="96" spans="1:6" s="1100" customFormat="1" ht="48">
      <c r="A96" s="1149">
        <v>36</v>
      </c>
      <c r="B96" s="4098"/>
      <c r="C96" s="1063" t="s">
        <v>1574</v>
      </c>
      <c r="D96" s="1063" t="s">
        <v>1575</v>
      </c>
      <c r="E96" s="1134">
        <v>0.2</v>
      </c>
      <c r="F96" s="1149">
        <v>30</v>
      </c>
    </row>
    <row r="97" spans="1:6" s="1100" customFormat="1" ht="36">
      <c r="A97" s="1149">
        <v>37</v>
      </c>
      <c r="B97" s="4098"/>
      <c r="C97" s="1149" t="s">
        <v>1576</v>
      </c>
      <c r="D97" s="1063" t="s">
        <v>1577</v>
      </c>
      <c r="E97" s="1134">
        <v>0.2</v>
      </c>
      <c r="F97" s="1149">
        <v>30</v>
      </c>
    </row>
    <row r="98" spans="1:6" s="1100" customFormat="1" ht="36">
      <c r="A98" s="1149">
        <v>38</v>
      </c>
      <c r="B98" s="4098"/>
      <c r="C98" s="1149" t="s">
        <v>1578</v>
      </c>
      <c r="D98" s="1063" t="s">
        <v>1579</v>
      </c>
      <c r="E98" s="1134">
        <v>0.2</v>
      </c>
      <c r="F98" s="1149">
        <v>30</v>
      </c>
    </row>
    <row r="99" spans="1:6" s="1100" customFormat="1" ht="36">
      <c r="A99" s="1149">
        <v>39</v>
      </c>
      <c r="B99" s="4098" t="s">
        <v>1580</v>
      </c>
      <c r="C99" s="1149" t="s">
        <v>1581</v>
      </c>
      <c r="D99" s="1063" t="s">
        <v>1582</v>
      </c>
      <c r="E99" s="1134">
        <v>0.3</v>
      </c>
      <c r="F99" s="1149">
        <v>50</v>
      </c>
    </row>
    <row r="100" spans="1:6" s="1100" customFormat="1" ht="24">
      <c r="A100" s="1149">
        <v>40</v>
      </c>
      <c r="B100" s="4098"/>
      <c r="C100" s="1149" t="s">
        <v>1583</v>
      </c>
      <c r="D100" s="1063" t="s">
        <v>1584</v>
      </c>
      <c r="E100" s="1134">
        <v>0.2</v>
      </c>
      <c r="F100" s="1149">
        <v>30</v>
      </c>
    </row>
    <row r="101" spans="1:6" s="1100" customFormat="1" ht="36">
      <c r="A101" s="1149">
        <v>41</v>
      </c>
      <c r="B101" s="409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098" t="s">
        <v>1595</v>
      </c>
      <c r="C105" s="1149" t="s">
        <v>1596</v>
      </c>
      <c r="D105" s="1063" t="s">
        <v>1597</v>
      </c>
      <c r="E105" s="1134">
        <v>0.2</v>
      </c>
      <c r="F105" s="1149">
        <v>30</v>
      </c>
    </row>
    <row r="106" spans="1:6" s="1100" customFormat="1" ht="36">
      <c r="A106" s="1149">
        <v>46</v>
      </c>
      <c r="B106" s="4098"/>
      <c r="C106" s="1149" t="s">
        <v>1598</v>
      </c>
      <c r="D106" s="1063" t="s">
        <v>1599</v>
      </c>
      <c r="E106" s="1134">
        <v>0.2</v>
      </c>
      <c r="F106" s="1149">
        <v>30</v>
      </c>
    </row>
    <row r="107" spans="1:6" s="1100" customFormat="1" ht="36">
      <c r="A107" s="1149">
        <v>47</v>
      </c>
      <c r="B107" s="4098" t="s">
        <v>1600</v>
      </c>
      <c r="C107" s="1149" t="s">
        <v>1601</v>
      </c>
      <c r="D107" s="1063" t="s">
        <v>1602</v>
      </c>
      <c r="E107" s="1134">
        <v>0.3</v>
      </c>
      <c r="F107" s="1149">
        <v>50</v>
      </c>
    </row>
    <row r="108" spans="1:6" s="1100" customFormat="1" ht="36">
      <c r="A108" s="1149">
        <v>48</v>
      </c>
      <c r="B108" s="409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098" t="s">
        <v>1611</v>
      </c>
      <c r="C111" s="1149" t="s">
        <v>1612</v>
      </c>
      <c r="D111" s="1063" t="s">
        <v>1613</v>
      </c>
      <c r="E111" s="1134">
        <v>0.2</v>
      </c>
      <c r="F111" s="1149">
        <v>30</v>
      </c>
    </row>
    <row r="112" spans="1:6" s="1100" customFormat="1" ht="24">
      <c r="A112" s="1149">
        <v>52</v>
      </c>
      <c r="B112" s="4098"/>
      <c r="C112" s="1149" t="s">
        <v>1614</v>
      </c>
      <c r="D112" s="1063" t="s">
        <v>1615</v>
      </c>
      <c r="E112" s="1134">
        <v>0.2</v>
      </c>
      <c r="F112" s="1149">
        <v>30</v>
      </c>
    </row>
    <row r="113" spans="1:14" s="1100" customFormat="1" ht="24">
      <c r="A113" s="1149">
        <v>53</v>
      </c>
      <c r="B113" s="409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098" t="s">
        <v>1624</v>
      </c>
      <c r="C116" s="1149" t="s">
        <v>1625</v>
      </c>
      <c r="D116" s="1063" t="s">
        <v>1626</v>
      </c>
      <c r="E116" s="1134">
        <v>0.2</v>
      </c>
      <c r="F116" s="1149">
        <v>30</v>
      </c>
    </row>
    <row r="117" spans="1:14" ht="36">
      <c r="A117" s="1149">
        <v>57</v>
      </c>
      <c r="B117" s="409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097" t="s">
        <v>1633</v>
      </c>
      <c r="B121" s="4097"/>
      <c r="C121" s="4097"/>
      <c r="D121" s="4097"/>
      <c r="E121" s="4097"/>
      <c r="F121" s="4097"/>
      <c r="G121" s="4097"/>
      <c r="H121" s="4097"/>
      <c r="I121" s="4097"/>
      <c r="J121" s="409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12" t="s">
        <v>1039</v>
      </c>
      <c r="B1" s="4112"/>
      <c r="C1" s="4112"/>
      <c r="D1" s="4112"/>
      <c r="E1" s="4112"/>
      <c r="F1" s="411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13" t="s">
        <v>1052</v>
      </c>
      <c r="B2" s="4113"/>
      <c r="C2" s="4113"/>
      <c r="D2" s="4113"/>
      <c r="E2" s="4113"/>
      <c r="F2" s="411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1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1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16" t="s">
        <v>2079</v>
      </c>
      <c r="B1" s="411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19" t="s">
        <v>2575</v>
      </c>
      <c r="C1" s="4119"/>
      <c r="D1" s="4119"/>
      <c r="E1" s="4119"/>
      <c r="F1" s="4119"/>
      <c r="G1" s="4118" t="s">
        <v>2576</v>
      </c>
      <c r="H1" s="4118"/>
      <c r="I1" s="4118"/>
      <c r="J1" s="4118"/>
      <c r="K1" s="4118"/>
      <c r="L1" s="4118"/>
      <c r="N1" s="4118" t="s">
        <v>2577</v>
      </c>
      <c r="O1" s="4118"/>
      <c r="P1" s="4118"/>
      <c r="Q1" s="4118"/>
      <c r="R1" s="2617"/>
      <c r="S1" s="4118" t="s">
        <v>2578</v>
      </c>
      <c r="T1" s="4118"/>
      <c r="U1" s="4118"/>
      <c r="V1" s="4118"/>
      <c r="X1" s="4117" t="s">
        <v>2638</v>
      </c>
      <c r="Y1" s="4118"/>
      <c r="Z1" s="4118"/>
      <c r="AA1" s="4118"/>
      <c r="AB1" s="4118"/>
      <c r="AD1" s="4117" t="s">
        <v>2642</v>
      </c>
      <c r="AE1" s="4118"/>
      <c r="AF1" s="4118"/>
      <c r="AG1" s="4118"/>
      <c r="AH1" s="4118"/>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21">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21"/>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21"/>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27"/>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2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21"/>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21"/>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27"/>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2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21"/>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21"/>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22"/>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2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21"/>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21"/>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22"/>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2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21"/>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21"/>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22"/>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23">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24"/>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24"/>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25"/>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2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21"/>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21"/>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22"/>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2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21">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21">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22">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2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21">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21">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22">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2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21">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21">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22">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2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21">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21">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22">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2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21">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21">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22">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2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21">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21">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22">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2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21">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21">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22">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2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21">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21">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22">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20">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21">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21">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22">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20">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21">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21">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22">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29" t="s">
        <v>2462</v>
      </c>
      <c r="C8" s="1809">
        <f ca="1">ROUND(F8*F10*F9*(1-F11)/10000,0)</f>
        <v>0</v>
      </c>
      <c r="D8" s="1806" t="s">
        <v>2533</v>
      </c>
      <c r="E8" s="61" t="s">
        <v>637</v>
      </c>
      <c r="F8" s="784">
        <f ca="1">INDIRECT("'数据-取费表'!u"&amp;$G$1)</f>
        <v>0</v>
      </c>
      <c r="G8" s="1577"/>
      <c r="H8" s="2467" t="s">
        <v>1824</v>
      </c>
      <c r="I8" s="4129" t="s">
        <v>2462</v>
      </c>
      <c r="J8" s="782">
        <f ca="1">ROUND(M8*M10*M9*(1-M11)/10000,0)</f>
        <v>0</v>
      </c>
      <c r="K8" s="340" t="s">
        <v>2533</v>
      </c>
      <c r="L8" s="783" t="s">
        <v>1738</v>
      </c>
      <c r="M8" s="784">
        <f ca="1">INDIRECT("'数据-取费表'!z"&amp;$G$1)</f>
        <v>0</v>
      </c>
    </row>
    <row r="9" spans="1:25" ht="18" customHeight="1">
      <c r="A9" s="2463"/>
      <c r="B9" s="4130"/>
      <c r="C9" s="1810"/>
      <c r="D9" s="1807"/>
      <c r="E9" s="61" t="s">
        <v>638</v>
      </c>
      <c r="F9" s="784">
        <f ca="1">IF(INDIRECT("'数据-取费表'!ah"&amp;$G$1)="",INDIRECT("'数据-取费表'!k"&amp;$G$1),INDIRECT("'数据-取费表'!ah"&amp;$G$1))</f>
        <v>0</v>
      </c>
      <c r="G9" s="1577"/>
      <c r="H9" s="2452"/>
      <c r="I9" s="4130"/>
      <c r="J9" s="787"/>
      <c r="K9" s="788"/>
      <c r="L9" s="783" t="s">
        <v>1739</v>
      </c>
      <c r="M9" s="784">
        <f ca="1">F9</f>
        <v>0</v>
      </c>
    </row>
    <row r="10" spans="1:25" ht="18" customHeight="1">
      <c r="A10" s="2456"/>
      <c r="B10" s="4131"/>
      <c r="C10" s="1810"/>
      <c r="D10" s="1807"/>
      <c r="E10" s="61" t="s">
        <v>639</v>
      </c>
      <c r="F10" s="784">
        <f ca="1">INDIRECT("'数据-取费表'!ai"&amp;$G$1)</f>
        <v>0</v>
      </c>
      <c r="G10" s="1577"/>
      <c r="H10" s="2452"/>
      <c r="I10" s="4131"/>
      <c r="J10" s="787"/>
      <c r="K10" s="788"/>
      <c r="L10" s="783" t="s">
        <v>1740</v>
      </c>
      <c r="M10" s="784">
        <f ca="1">INDIRECT("'数据-取费表'!ai"&amp;$G$1)</f>
        <v>0</v>
      </c>
    </row>
    <row r="11" spans="1:25" ht="18" customHeight="1">
      <c r="A11" s="785"/>
      <c r="B11" s="4132"/>
      <c r="C11" s="1810"/>
      <c r="D11" s="1807"/>
      <c r="E11" s="61" t="s">
        <v>640</v>
      </c>
      <c r="F11" s="793">
        <f ca="1">INDIRECT("'数据-取费表'!w"&amp;$G$1)</f>
        <v>0</v>
      </c>
      <c r="G11" s="1577"/>
      <c r="H11" s="2468"/>
      <c r="I11" s="4131"/>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28"/>
      <c r="J36" s="2063"/>
      <c r="K36" s="2064"/>
      <c r="L36" s="2063"/>
      <c r="M36" s="2063"/>
    </row>
    <row r="37" spans="1:18" ht="18" customHeight="1">
      <c r="A37" s="814"/>
      <c r="B37" s="792"/>
      <c r="C37" s="69"/>
      <c r="D37" s="815"/>
      <c r="E37" s="783" t="s">
        <v>674</v>
      </c>
      <c r="F37" s="784">
        <f ca="1">INDIRECT("'数据-取费表'!r"&amp;$G$1)</f>
        <v>0</v>
      </c>
      <c r="G37" s="2046"/>
      <c r="H37" s="2049"/>
      <c r="I37" s="4128"/>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33"/>
      <c r="L54" s="4134"/>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43221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82106.820000000007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61" t="s">
        <v>522</v>
      </c>
      <c r="D4" s="4062"/>
      <c r="E4" s="4085" t="s">
        <v>523</v>
      </c>
      <c r="F4" s="4086"/>
      <c r="G4" s="4061" t="s">
        <v>524</v>
      </c>
      <c r="H4" s="4062"/>
      <c r="I4" s="4061" t="s">
        <v>525</v>
      </c>
      <c r="J4" s="4062"/>
      <c r="K4" s="852" t="s">
        <v>526</v>
      </c>
      <c r="L4" s="2117"/>
      <c r="M4" s="2118"/>
      <c r="N4" s="2118"/>
      <c r="O4" s="2118"/>
      <c r="P4" s="4063" t="s">
        <v>527</v>
      </c>
      <c r="Q4" s="4064"/>
      <c r="R4" s="4049" t="s">
        <v>523</v>
      </c>
      <c r="S4" s="4050"/>
      <c r="T4" s="4049" t="s">
        <v>524</v>
      </c>
      <c r="U4" s="4050"/>
      <c r="V4" s="4069" t="s">
        <v>525</v>
      </c>
      <c r="W4" s="4069"/>
      <c r="X4" s="1552"/>
      <c r="Y4" s="4049" t="s">
        <v>527</v>
      </c>
      <c r="Z4" s="4050"/>
      <c r="AA4" s="4044" t="s">
        <v>523</v>
      </c>
      <c r="AB4" s="4044" t="s">
        <v>524</v>
      </c>
      <c r="AC4" s="4044" t="s">
        <v>525</v>
      </c>
    </row>
    <row r="5" spans="1:29" ht="15">
      <c r="A5" s="514"/>
      <c r="B5" s="515"/>
      <c r="C5" s="4072" t="s">
        <v>2926</v>
      </c>
      <c r="D5" s="4073"/>
      <c r="E5" s="4135" t="s">
        <v>3016</v>
      </c>
      <c r="F5" s="4088"/>
      <c r="G5" s="4136" t="s">
        <v>3581</v>
      </c>
      <c r="H5" s="4073"/>
      <c r="I5" s="4136" t="s">
        <v>3321</v>
      </c>
      <c r="J5" s="4073"/>
      <c r="K5" s="853"/>
      <c r="L5" s="2117"/>
      <c r="M5" s="2118"/>
      <c r="N5" s="2118"/>
      <c r="O5" s="2118"/>
      <c r="P5" s="4065"/>
      <c r="Q5" s="4066"/>
      <c r="R5" s="4051"/>
      <c r="S5" s="4052"/>
      <c r="T5" s="4051"/>
      <c r="U5" s="4052"/>
      <c r="V5" s="4069"/>
      <c r="W5" s="4069"/>
      <c r="X5" s="1552"/>
      <c r="Y5" s="4051"/>
      <c r="Z5" s="4052"/>
      <c r="AA5" s="4045"/>
      <c r="AB5" s="4045"/>
      <c r="AC5" s="4045"/>
    </row>
    <row r="6" spans="1:29" ht="15.75" thickBot="1">
      <c r="A6" s="516"/>
      <c r="B6" s="517"/>
      <c r="C6" s="4070" t="s">
        <v>2930</v>
      </c>
      <c r="D6" s="4071"/>
      <c r="E6" s="4089" t="s">
        <v>2930</v>
      </c>
      <c r="F6" s="4090"/>
      <c r="G6" s="4070" t="s">
        <v>2930</v>
      </c>
      <c r="H6" s="4071"/>
      <c r="I6" s="4070" t="s">
        <v>2930</v>
      </c>
      <c r="J6" s="4071"/>
      <c r="K6" s="853" t="s">
        <v>528</v>
      </c>
      <c r="L6" s="2117"/>
      <c r="M6" s="2118"/>
      <c r="N6" s="2118"/>
      <c r="O6" s="2118"/>
      <c r="P6" s="4067"/>
      <c r="Q6" s="4068"/>
      <c r="R6" s="4051"/>
      <c r="S6" s="4052"/>
      <c r="T6" s="4053"/>
      <c r="U6" s="4054"/>
      <c r="V6" s="4069"/>
      <c r="W6" s="4069"/>
      <c r="X6" s="1552"/>
      <c r="Y6" s="4053"/>
      <c r="Z6" s="4054"/>
      <c r="AA6" s="4046"/>
      <c r="AB6" s="4046"/>
      <c r="AC6" s="4046"/>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047" t="s">
        <v>530</v>
      </c>
      <c r="Q7" s="4056"/>
      <c r="R7" s="1553" t="s">
        <v>13</v>
      </c>
      <c r="S7" s="1554">
        <f t="shared" ref="S7:S15" si="0">F7</f>
        <v>100</v>
      </c>
      <c r="T7" s="1553" t="s">
        <v>13</v>
      </c>
      <c r="U7" s="1554">
        <f t="shared" ref="U7:U15" si="1">H7</f>
        <v>100</v>
      </c>
      <c r="V7" s="1553" t="s">
        <v>13</v>
      </c>
      <c r="W7" s="1554">
        <f t="shared" ref="W7:W15" si="2">J7</f>
        <v>100</v>
      </c>
      <c r="X7" s="1555"/>
      <c r="Y7" s="4047" t="s">
        <v>530</v>
      </c>
      <c r="Z7" s="4048"/>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47" t="s">
        <v>533</v>
      </c>
      <c r="Q8" s="4048"/>
      <c r="R8" s="1553" t="s">
        <v>13</v>
      </c>
      <c r="S8" s="1554">
        <f t="shared" si="0"/>
        <v>100</v>
      </c>
      <c r="T8" s="1553" t="s">
        <v>13</v>
      </c>
      <c r="U8" s="1554">
        <f t="shared" si="1"/>
        <v>100</v>
      </c>
      <c r="V8" s="1553" t="s">
        <v>13</v>
      </c>
      <c r="W8" s="1554">
        <f t="shared" si="2"/>
        <v>100</v>
      </c>
      <c r="X8" s="1555"/>
      <c r="Y8" s="4047" t="s">
        <v>533</v>
      </c>
      <c r="Z8" s="4048"/>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55" t="s">
        <v>535</v>
      </c>
      <c r="Q9" s="1146" t="str">
        <f t="shared" ref="Q9:Q15" si="6">B9</f>
        <v>用途</v>
      </c>
      <c r="R9" s="1553" t="s">
        <v>8</v>
      </c>
      <c r="S9" s="1554">
        <f t="shared" si="0"/>
        <v>100</v>
      </c>
      <c r="T9" s="1553" t="s">
        <v>8</v>
      </c>
      <c r="U9" s="1554">
        <f t="shared" si="1"/>
        <v>100</v>
      </c>
      <c r="V9" s="1553" t="s">
        <v>8</v>
      </c>
      <c r="W9" s="1554">
        <f t="shared" si="2"/>
        <v>100</v>
      </c>
      <c r="X9" s="1555"/>
      <c r="Y9" s="4012"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55"/>
      <c r="Q11" s="1146" t="str">
        <f t="shared" si="6"/>
        <v>容积率</v>
      </c>
      <c r="R11" s="1553" t="s">
        <v>11</v>
      </c>
      <c r="S11" s="1554">
        <f t="shared" si="0"/>
        <v>104</v>
      </c>
      <c r="T11" s="1553" t="s">
        <v>11</v>
      </c>
      <c r="U11" s="1554">
        <f t="shared" si="1"/>
        <v>102</v>
      </c>
      <c r="V11" s="1553" t="s">
        <v>11</v>
      </c>
      <c r="W11" s="1554">
        <f t="shared" si="2"/>
        <v>102</v>
      </c>
      <c r="X11" s="1555"/>
      <c r="Y11" s="4012"/>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55"/>
      <c r="Q12" s="1146">
        <f t="shared" si="6"/>
        <v>111</v>
      </c>
      <c r="R12" s="1553" t="s">
        <v>11</v>
      </c>
      <c r="S12" s="1554">
        <f t="shared" si="0"/>
        <v>100</v>
      </c>
      <c r="T12" s="1553" t="s">
        <v>11</v>
      </c>
      <c r="U12" s="1554">
        <f t="shared" si="1"/>
        <v>100</v>
      </c>
      <c r="V12" s="1553" t="s">
        <v>11</v>
      </c>
      <c r="W12" s="1554">
        <f t="shared" si="2"/>
        <v>100</v>
      </c>
      <c r="X12" s="1555"/>
      <c r="Y12" s="4012"/>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55"/>
      <c r="Q13" s="1146">
        <f t="shared" si="6"/>
        <v>111</v>
      </c>
      <c r="R13" s="1553" t="s">
        <v>11</v>
      </c>
      <c r="S13" s="1554">
        <f t="shared" si="0"/>
        <v>100</v>
      </c>
      <c r="T13" s="1553" t="s">
        <v>11</v>
      </c>
      <c r="U13" s="1554">
        <f t="shared" si="1"/>
        <v>100</v>
      </c>
      <c r="V13" s="1553" t="s">
        <v>11</v>
      </c>
      <c r="W13" s="1554">
        <f t="shared" si="2"/>
        <v>100</v>
      </c>
      <c r="X13" s="1555"/>
      <c r="Y13" s="4012"/>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55"/>
      <c r="Q14" s="1146">
        <f t="shared" si="6"/>
        <v>111</v>
      </c>
      <c r="R14" s="1553" t="s">
        <v>11</v>
      </c>
      <c r="S14" s="1554">
        <f t="shared" si="0"/>
        <v>100</v>
      </c>
      <c r="T14" s="1553" t="s">
        <v>11</v>
      </c>
      <c r="U14" s="1554">
        <f t="shared" si="1"/>
        <v>100</v>
      </c>
      <c r="V14" s="1553" t="s">
        <v>11</v>
      </c>
      <c r="W14" s="1554">
        <f t="shared" si="2"/>
        <v>100</v>
      </c>
      <c r="X14" s="1555"/>
      <c r="Y14" s="4012"/>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57" t="s">
        <v>540</v>
      </c>
      <c r="Q15" s="1557" t="str">
        <f t="shared" si="6"/>
        <v>居住社区成熟度</v>
      </c>
      <c r="R15" s="1558" t="s">
        <v>11</v>
      </c>
      <c r="S15" s="1559">
        <f t="shared" si="0"/>
        <v>100</v>
      </c>
      <c r="T15" s="1558" t="s">
        <v>11</v>
      </c>
      <c r="U15" s="1559">
        <f t="shared" si="1"/>
        <v>100</v>
      </c>
      <c r="V15" s="1558" t="s">
        <v>11</v>
      </c>
      <c r="W15" s="1559">
        <f t="shared" si="2"/>
        <v>100</v>
      </c>
      <c r="X15" s="1552"/>
      <c r="Y15" s="4057"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58"/>
      <c r="Q16" s="1557"/>
      <c r="R16" s="1558"/>
      <c r="S16" s="1559"/>
      <c r="T16" s="1558"/>
      <c r="U16" s="1559"/>
      <c r="V16" s="1558"/>
      <c r="W16" s="1559"/>
      <c r="X16" s="1552"/>
      <c r="Y16" s="4058"/>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58"/>
      <c r="Q17" s="1557" t="str">
        <f>B17</f>
        <v>交通便捷度</v>
      </c>
      <c r="R17" s="1558" t="s">
        <v>11</v>
      </c>
      <c r="S17" s="1559">
        <f>F17</f>
        <v>100</v>
      </c>
      <c r="T17" s="1558" t="s">
        <v>11</v>
      </c>
      <c r="U17" s="1559">
        <f>H17</f>
        <v>100</v>
      </c>
      <c r="V17" s="1558" t="s">
        <v>11</v>
      </c>
      <c r="W17" s="1559">
        <f>J17</f>
        <v>100</v>
      </c>
      <c r="X17" s="1552"/>
      <c r="Y17" s="4058"/>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58"/>
      <c r="Q18" s="1557"/>
      <c r="R18" s="1558"/>
      <c r="S18" s="1559"/>
      <c r="T18" s="1558"/>
      <c r="U18" s="1559"/>
      <c r="V18" s="1558"/>
      <c r="W18" s="1559"/>
      <c r="X18" s="1552"/>
      <c r="Y18" s="4058"/>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58"/>
      <c r="Q19" s="1557" t="str">
        <f>B19</f>
        <v>公共配套设施</v>
      </c>
      <c r="R19" s="1558" t="s">
        <v>11</v>
      </c>
      <c r="S19" s="1559">
        <f>F19</f>
        <v>100</v>
      </c>
      <c r="T19" s="1558" t="s">
        <v>11</v>
      </c>
      <c r="U19" s="1559">
        <f>H19</f>
        <v>102</v>
      </c>
      <c r="V19" s="1558" t="s">
        <v>11</v>
      </c>
      <c r="W19" s="1559">
        <f>J19</f>
        <v>102</v>
      </c>
      <c r="X19" s="1552"/>
      <c r="Y19" s="4058"/>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58"/>
      <c r="Q20" s="1557"/>
      <c r="R20" s="1558"/>
      <c r="S20" s="1559"/>
      <c r="T20" s="1558"/>
      <c r="U20" s="1559"/>
      <c r="V20" s="1558"/>
      <c r="W20" s="1559"/>
      <c r="X20" s="1552"/>
      <c r="Y20" s="4058"/>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58"/>
      <c r="Q21" s="2542" t="str">
        <f>B21</f>
        <v>基础设施水平</v>
      </c>
      <c r="R21" s="1558" t="s">
        <v>11</v>
      </c>
      <c r="S21" s="1559">
        <f>F21</f>
        <v>100</v>
      </c>
      <c r="T21" s="1558" t="s">
        <v>11</v>
      </c>
      <c r="U21" s="1559">
        <f>H21</f>
        <v>100</v>
      </c>
      <c r="V21" s="1558" t="s">
        <v>11</v>
      </c>
      <c r="W21" s="1559">
        <f>J21</f>
        <v>100</v>
      </c>
      <c r="X21" s="2544"/>
      <c r="Y21" s="4058"/>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58"/>
      <c r="Q22" s="2542"/>
      <c r="R22" s="1558"/>
      <c r="S22" s="1559"/>
      <c r="T22" s="1558"/>
      <c r="U22" s="1559"/>
      <c r="V22" s="1558"/>
      <c r="W22" s="1559"/>
      <c r="X22" s="2544"/>
      <c r="Y22" s="4058"/>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58"/>
      <c r="Q23" s="1557" t="str">
        <f>B23</f>
        <v>自然及人文环境</v>
      </c>
      <c r="R23" s="1558" t="s">
        <v>11</v>
      </c>
      <c r="S23" s="1559">
        <f>F23</f>
        <v>98</v>
      </c>
      <c r="T23" s="1558" t="s">
        <v>11</v>
      </c>
      <c r="U23" s="1559">
        <f>H23</f>
        <v>100</v>
      </c>
      <c r="V23" s="1558" t="s">
        <v>11</v>
      </c>
      <c r="W23" s="1559">
        <f>J23</f>
        <v>100</v>
      </c>
      <c r="X23" s="1552"/>
      <c r="Y23" s="4058"/>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58"/>
      <c r="Q24" s="1557"/>
      <c r="R24" s="1558"/>
      <c r="S24" s="1559"/>
      <c r="T24" s="1558"/>
      <c r="U24" s="1559"/>
      <c r="V24" s="1558"/>
      <c r="W24" s="1559"/>
      <c r="X24" s="1552"/>
      <c r="Y24" s="4058"/>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58"/>
      <c r="Q25" s="1557" t="str">
        <f t="shared" ref="Q25:Q46" si="11">B25</f>
        <v>楼层-1</v>
      </c>
      <c r="R25" s="1558" t="s">
        <v>11</v>
      </c>
      <c r="S25" s="1559">
        <f>F25</f>
        <v>100</v>
      </c>
      <c r="T25" s="1558" t="s">
        <v>11</v>
      </c>
      <c r="U25" s="1559">
        <f>H25</f>
        <v>100</v>
      </c>
      <c r="V25" s="1558" t="s">
        <v>11</v>
      </c>
      <c r="W25" s="1559">
        <f>J25</f>
        <v>100</v>
      </c>
      <c r="X25" s="1552"/>
      <c r="Y25" s="4058"/>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58"/>
      <c r="Q26" s="1557" t="str">
        <f t="shared" si="11"/>
        <v>朝向</v>
      </c>
      <c r="R26" s="1558" t="s">
        <v>11</v>
      </c>
      <c r="S26" s="1559">
        <f>F26</f>
        <v>100</v>
      </c>
      <c r="T26" s="1558" t="s">
        <v>11</v>
      </c>
      <c r="U26" s="1559">
        <f>H26</f>
        <v>100</v>
      </c>
      <c r="V26" s="1558" t="s">
        <v>11</v>
      </c>
      <c r="W26" s="1559">
        <f>J26</f>
        <v>100</v>
      </c>
      <c r="X26" s="1552"/>
      <c r="Y26" s="4058"/>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58"/>
      <c r="Q27" s="1146" t="str">
        <f t="shared" si="11"/>
        <v>道路级别</v>
      </c>
      <c r="R27" s="1553" t="s">
        <v>11</v>
      </c>
      <c r="S27" s="1554">
        <f>F27</f>
        <v>101</v>
      </c>
      <c r="T27" s="1553" t="s">
        <v>11</v>
      </c>
      <c r="U27" s="1554">
        <f>H27</f>
        <v>101</v>
      </c>
      <c r="V27" s="1553" t="s">
        <v>11</v>
      </c>
      <c r="W27" s="1554">
        <f>J27</f>
        <v>99</v>
      </c>
      <c r="X27" s="1555"/>
      <c r="Y27" s="4058"/>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58"/>
      <c r="Q28" s="1557">
        <f t="shared" si="11"/>
        <v>111</v>
      </c>
      <c r="R28" s="1558" t="s">
        <v>11</v>
      </c>
      <c r="S28" s="1559">
        <f t="shared" ref="S28:S46" si="12">F28</f>
        <v>100</v>
      </c>
      <c r="T28" s="1558" t="s">
        <v>11</v>
      </c>
      <c r="U28" s="1559">
        <f t="shared" ref="U28:U46" si="13">H28</f>
        <v>100</v>
      </c>
      <c r="V28" s="1558" t="s">
        <v>11</v>
      </c>
      <c r="W28" s="1559">
        <f t="shared" ref="W28:W46" si="14">J28</f>
        <v>100</v>
      </c>
      <c r="X28" s="1552"/>
      <c r="Y28" s="4058"/>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58"/>
      <c r="Q29" s="1557">
        <f t="shared" si="11"/>
        <v>111</v>
      </c>
      <c r="R29" s="1558" t="s">
        <v>11</v>
      </c>
      <c r="S29" s="1559">
        <f t="shared" si="12"/>
        <v>100</v>
      </c>
      <c r="T29" s="1558" t="s">
        <v>11</v>
      </c>
      <c r="U29" s="1559">
        <f t="shared" si="13"/>
        <v>100</v>
      </c>
      <c r="V29" s="1558" t="s">
        <v>11</v>
      </c>
      <c r="W29" s="1559">
        <f t="shared" si="14"/>
        <v>100</v>
      </c>
      <c r="X29" s="1552"/>
      <c r="Y29" s="405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58"/>
      <c r="Q30" s="1557">
        <f t="shared" si="11"/>
        <v>111</v>
      </c>
      <c r="R30" s="1558" t="s">
        <v>11</v>
      </c>
      <c r="S30" s="1559">
        <f t="shared" si="12"/>
        <v>100</v>
      </c>
      <c r="T30" s="1558" t="s">
        <v>11</v>
      </c>
      <c r="U30" s="1559">
        <f t="shared" si="13"/>
        <v>100</v>
      </c>
      <c r="V30" s="1558" t="s">
        <v>11</v>
      </c>
      <c r="W30" s="1559">
        <f t="shared" si="14"/>
        <v>100</v>
      </c>
      <c r="X30" s="1552"/>
      <c r="Y30" s="4058"/>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58"/>
      <c r="Q31" s="1557">
        <f t="shared" si="11"/>
        <v>111</v>
      </c>
      <c r="R31" s="1558" t="s">
        <v>11</v>
      </c>
      <c r="S31" s="1559">
        <f t="shared" si="12"/>
        <v>100</v>
      </c>
      <c r="T31" s="1558" t="s">
        <v>11</v>
      </c>
      <c r="U31" s="1559">
        <f t="shared" si="13"/>
        <v>100</v>
      </c>
      <c r="V31" s="1558" t="s">
        <v>11</v>
      </c>
      <c r="W31" s="1559">
        <f t="shared" si="14"/>
        <v>100</v>
      </c>
      <c r="X31" s="1552"/>
      <c r="Y31" s="4058"/>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59" t="s">
        <v>550</v>
      </c>
      <c r="Q32" s="1557" t="str">
        <f t="shared" si="11"/>
        <v>建筑类型</v>
      </c>
      <c r="R32" s="1558" t="s">
        <v>11</v>
      </c>
      <c r="S32" s="1559">
        <f t="shared" si="12"/>
        <v>100</v>
      </c>
      <c r="T32" s="1558" t="s">
        <v>11</v>
      </c>
      <c r="U32" s="1559">
        <f t="shared" si="13"/>
        <v>100</v>
      </c>
      <c r="V32" s="1558" t="s">
        <v>11</v>
      </c>
      <c r="W32" s="1559">
        <f t="shared" si="14"/>
        <v>100</v>
      </c>
      <c r="X32" s="1552"/>
      <c r="Y32" s="4060"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60"/>
      <c r="Q33" s="1589" t="str">
        <f t="shared" si="11"/>
        <v>项目建筑规模</v>
      </c>
      <c r="R33" s="1562" t="s">
        <v>11</v>
      </c>
      <c r="S33" s="1563">
        <f t="shared" si="12"/>
        <v>100</v>
      </c>
      <c r="T33" s="1562" t="s">
        <v>11</v>
      </c>
      <c r="U33" s="1563">
        <f t="shared" si="13"/>
        <v>100</v>
      </c>
      <c r="V33" s="1562" t="s">
        <v>11</v>
      </c>
      <c r="W33" s="1563">
        <f t="shared" si="14"/>
        <v>100</v>
      </c>
      <c r="X33" s="1564"/>
      <c r="Y33" s="4060"/>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60"/>
      <c r="Q34" s="1557" t="str">
        <f t="shared" si="11"/>
        <v>建筑结构</v>
      </c>
      <c r="R34" s="1558" t="s">
        <v>11</v>
      </c>
      <c r="S34" s="1559">
        <f t="shared" si="12"/>
        <v>100</v>
      </c>
      <c r="T34" s="1558" t="s">
        <v>11</v>
      </c>
      <c r="U34" s="1559">
        <f t="shared" si="13"/>
        <v>100</v>
      </c>
      <c r="V34" s="1558" t="s">
        <v>11</v>
      </c>
      <c r="W34" s="1559">
        <f t="shared" si="14"/>
        <v>100</v>
      </c>
      <c r="X34" s="1552"/>
      <c r="Y34" s="4060"/>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60"/>
      <c r="Q35" s="1557" t="str">
        <f t="shared" si="11"/>
        <v>建筑品质</v>
      </c>
      <c r="R35" s="1558" t="s">
        <v>11</v>
      </c>
      <c r="S35" s="1559">
        <f t="shared" si="12"/>
        <v>100</v>
      </c>
      <c r="T35" s="1558" t="s">
        <v>11</v>
      </c>
      <c r="U35" s="1559">
        <f t="shared" si="13"/>
        <v>95</v>
      </c>
      <c r="V35" s="1558" t="s">
        <v>11</v>
      </c>
      <c r="W35" s="1559">
        <f t="shared" si="14"/>
        <v>100</v>
      </c>
      <c r="X35" s="1552"/>
      <c r="Y35" s="4060"/>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60"/>
      <c r="Q36" s="1557" t="str">
        <f t="shared" si="11"/>
        <v>公共部分装修</v>
      </c>
      <c r="R36" s="1558" t="s">
        <v>11</v>
      </c>
      <c r="S36" s="1559">
        <f t="shared" si="12"/>
        <v>100</v>
      </c>
      <c r="T36" s="1558" t="s">
        <v>11</v>
      </c>
      <c r="U36" s="1559">
        <f t="shared" si="13"/>
        <v>100</v>
      </c>
      <c r="V36" s="1558" t="s">
        <v>11</v>
      </c>
      <c r="W36" s="1559">
        <f t="shared" si="14"/>
        <v>100</v>
      </c>
      <c r="X36" s="1552"/>
      <c r="Y36" s="4060"/>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60"/>
      <c r="Q37" s="1146" t="str">
        <f t="shared" si="11"/>
        <v>成新度</v>
      </c>
      <c r="R37" s="1553" t="s">
        <v>11</v>
      </c>
      <c r="S37" s="1554">
        <f t="shared" si="12"/>
        <v>100</v>
      </c>
      <c r="T37" s="1553" t="s">
        <v>11</v>
      </c>
      <c r="U37" s="1554">
        <f t="shared" si="13"/>
        <v>100</v>
      </c>
      <c r="V37" s="1553" t="s">
        <v>11</v>
      </c>
      <c r="W37" s="1554">
        <f t="shared" si="14"/>
        <v>100</v>
      </c>
      <c r="X37" s="1555"/>
      <c r="Y37" s="4060"/>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60" t="s">
        <v>550</v>
      </c>
      <c r="Q38" s="1557" t="str">
        <f t="shared" si="11"/>
        <v>物业管理</v>
      </c>
      <c r="R38" s="1558" t="s">
        <v>11</v>
      </c>
      <c r="S38" s="1559">
        <f t="shared" si="12"/>
        <v>100</v>
      </c>
      <c r="T38" s="1558" t="s">
        <v>11</v>
      </c>
      <c r="U38" s="1559">
        <f t="shared" si="13"/>
        <v>100</v>
      </c>
      <c r="V38" s="1558" t="s">
        <v>11</v>
      </c>
      <c r="W38" s="1559">
        <f t="shared" si="14"/>
        <v>100</v>
      </c>
      <c r="X38" s="1552"/>
      <c r="Y38" s="4060"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60"/>
      <c r="Q39" s="1557" t="str">
        <f t="shared" si="11"/>
        <v>市政基础设施</v>
      </c>
      <c r="R39" s="1558" t="s">
        <v>11</v>
      </c>
      <c r="S39" s="1559">
        <f t="shared" si="12"/>
        <v>100</v>
      </c>
      <c r="T39" s="1558" t="s">
        <v>11</v>
      </c>
      <c r="U39" s="1559">
        <f t="shared" si="13"/>
        <v>100</v>
      </c>
      <c r="V39" s="1558" t="s">
        <v>11</v>
      </c>
      <c r="W39" s="1559">
        <f t="shared" si="14"/>
        <v>100</v>
      </c>
      <c r="X39" s="1552"/>
      <c r="Y39" s="4060"/>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60"/>
      <c r="Q40" s="1557" t="str">
        <f t="shared" si="11"/>
        <v>房型</v>
      </c>
      <c r="R40" s="1558" t="s">
        <v>11</v>
      </c>
      <c r="S40" s="1559">
        <f t="shared" si="12"/>
        <v>100</v>
      </c>
      <c r="T40" s="1558" t="s">
        <v>11</v>
      </c>
      <c r="U40" s="1559">
        <f t="shared" si="13"/>
        <v>100</v>
      </c>
      <c r="V40" s="1558" t="s">
        <v>11</v>
      </c>
      <c r="W40" s="1559">
        <f t="shared" si="14"/>
        <v>100</v>
      </c>
      <c r="X40" s="1552"/>
      <c r="Y40" s="4060"/>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60"/>
      <c r="Q41" s="1589" t="str">
        <f t="shared" si="11"/>
        <v>单套/主力户型建筑面积</v>
      </c>
      <c r="R41" s="1562" t="s">
        <v>11</v>
      </c>
      <c r="S41" s="1563">
        <f t="shared" si="12"/>
        <v>98</v>
      </c>
      <c r="T41" s="1562" t="s">
        <v>11</v>
      </c>
      <c r="U41" s="1563">
        <f t="shared" si="13"/>
        <v>96</v>
      </c>
      <c r="V41" s="1562" t="s">
        <v>11</v>
      </c>
      <c r="W41" s="1563">
        <f t="shared" si="14"/>
        <v>100</v>
      </c>
      <c r="X41" s="1564"/>
      <c r="Y41" s="4060"/>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60"/>
      <c r="Q42" s="1557" t="str">
        <f t="shared" si="11"/>
        <v>内部装修</v>
      </c>
      <c r="R42" s="1558" t="s">
        <v>11</v>
      </c>
      <c r="S42" s="1559">
        <f t="shared" si="12"/>
        <v>100</v>
      </c>
      <c r="T42" s="1558" t="s">
        <v>11</v>
      </c>
      <c r="U42" s="1559">
        <f t="shared" si="13"/>
        <v>100</v>
      </c>
      <c r="V42" s="1558" t="s">
        <v>11</v>
      </c>
      <c r="W42" s="1559">
        <f t="shared" si="14"/>
        <v>100</v>
      </c>
      <c r="X42" s="1552"/>
      <c r="Y42" s="4060"/>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60"/>
      <c r="Q43" s="1557" t="str">
        <f t="shared" si="11"/>
        <v>内部装修维护情况</v>
      </c>
      <c r="R43" s="1558" t="s">
        <v>11</v>
      </c>
      <c r="S43" s="1559">
        <f t="shared" si="12"/>
        <v>100</v>
      </c>
      <c r="T43" s="1558" t="s">
        <v>11</v>
      </c>
      <c r="U43" s="1559">
        <f t="shared" si="13"/>
        <v>100</v>
      </c>
      <c r="V43" s="1558" t="s">
        <v>11</v>
      </c>
      <c r="W43" s="1559">
        <f t="shared" si="14"/>
        <v>100</v>
      </c>
      <c r="X43" s="1552"/>
      <c r="Y43" s="406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60"/>
      <c r="Q44" s="1146">
        <f t="shared" si="11"/>
        <v>111</v>
      </c>
      <c r="R44" s="1553" t="s">
        <v>11</v>
      </c>
      <c r="S44" s="1554">
        <f t="shared" si="12"/>
        <v>100</v>
      </c>
      <c r="T44" s="1553" t="s">
        <v>11</v>
      </c>
      <c r="U44" s="1554">
        <f t="shared" si="13"/>
        <v>100</v>
      </c>
      <c r="V44" s="1553" t="s">
        <v>11</v>
      </c>
      <c r="W44" s="1554">
        <f t="shared" si="14"/>
        <v>100</v>
      </c>
      <c r="X44" s="1555"/>
      <c r="Y44" s="406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60"/>
      <c r="Q45" s="1557">
        <f t="shared" si="11"/>
        <v>111</v>
      </c>
      <c r="R45" s="1558" t="s">
        <v>11</v>
      </c>
      <c r="S45" s="1559">
        <f t="shared" si="12"/>
        <v>100</v>
      </c>
      <c r="T45" s="1558" t="s">
        <v>11</v>
      </c>
      <c r="U45" s="1559">
        <f t="shared" si="13"/>
        <v>100</v>
      </c>
      <c r="V45" s="1558" t="s">
        <v>11</v>
      </c>
      <c r="W45" s="1559">
        <f t="shared" si="14"/>
        <v>100</v>
      </c>
      <c r="X45" s="1552"/>
      <c r="Y45" s="4060"/>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39"/>
      <c r="Q46" s="1557">
        <f t="shared" si="11"/>
        <v>111</v>
      </c>
      <c r="R46" s="1558" t="s">
        <v>10</v>
      </c>
      <c r="S46" s="1559">
        <f t="shared" si="12"/>
        <v>100</v>
      </c>
      <c r="T46" s="1558" t="s">
        <v>10</v>
      </c>
      <c r="U46" s="1559">
        <f t="shared" si="13"/>
        <v>100</v>
      </c>
      <c r="V46" s="1558" t="s">
        <v>10</v>
      </c>
      <c r="W46" s="1559">
        <f t="shared" si="14"/>
        <v>100</v>
      </c>
      <c r="X46" s="1552"/>
      <c r="Y46" s="4139"/>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55" t="str">
        <f>A47</f>
        <v>成交单价（元/平方米）</v>
      </c>
      <c r="Q47" s="4055"/>
      <c r="R47" s="4138">
        <f>E47</f>
        <v>5500</v>
      </c>
      <c r="S47" s="4138"/>
      <c r="T47" s="4138">
        <f>G47</f>
        <v>4700</v>
      </c>
      <c r="U47" s="4138"/>
      <c r="V47" s="4138">
        <f>I47</f>
        <v>5600</v>
      </c>
      <c r="W47" s="4138"/>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55" t="str">
        <f>A48</f>
        <v>比较价格（元/平方米）</v>
      </c>
      <c r="Q48" s="4055"/>
      <c r="R48" s="4138">
        <f>IF(F1="售价",ROUND(PRODUCT(R47,AA7:AA46),0),ROUND(PRODUCT(R47,AA7:AA46),1))</f>
        <v>5452</v>
      </c>
      <c r="S48" s="4138"/>
      <c r="T48" s="4138">
        <f>IF(F1="售价",ROUND(PRODUCT(T47,AB7:AB46),0),ROUND(PRODUCT(T47,AB7:AB46),1))</f>
        <v>4904</v>
      </c>
      <c r="U48" s="4138"/>
      <c r="V48" s="4138">
        <f>IF(F1="售价",ROUND(PRODUCT(V47,AC7:AC46),0),ROUND(PRODUCT(V47,AC7:AC46),1))</f>
        <v>5437</v>
      </c>
      <c r="W48" s="4138"/>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76" t="str">
        <f>A49</f>
        <v>估价对象XX用房的比较价格（楼面单价，元/平方米）</v>
      </c>
      <c r="Q49" s="4077"/>
      <c r="R49" s="4137">
        <f>IF(F1="售价",ROUND(AVERAGE(R48:V48),0),ROUND(AVERAGE(R48:V48),1))</f>
        <v>5264</v>
      </c>
      <c r="S49" s="4137"/>
      <c r="T49" s="4137"/>
      <c r="U49" s="4137"/>
      <c r="V49" s="4137"/>
      <c r="W49" s="413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29" t="s">
        <v>2462</v>
      </c>
      <c r="C6" s="782">
        <f ca="1">ROUND(F6*F8*F7*(1-F9)/10000,0)</f>
        <v>0</v>
      </c>
      <c r="D6" s="2460" t="s">
        <v>2461</v>
      </c>
      <c r="E6" s="783" t="s">
        <v>1738</v>
      </c>
      <c r="F6" s="784">
        <f ca="1">INDIRECT("'数据-取费表'!u"&amp;$G$1)</f>
        <v>0</v>
      </c>
      <c r="G6" s="1577"/>
      <c r="H6" s="2467" t="s">
        <v>2467</v>
      </c>
      <c r="I6" s="4129" t="s">
        <v>2462</v>
      </c>
      <c r="J6" s="782">
        <f ca="1">ROUND(M6*M8*M7*(1-M9)/10000,0)</f>
        <v>0</v>
      </c>
      <c r="K6" s="340" t="s">
        <v>1737</v>
      </c>
      <c r="L6" s="783" t="s">
        <v>1738</v>
      </c>
      <c r="M6" s="784">
        <f ca="1">INDIRECT("'数据-取费表'!z"&amp;$G$1)</f>
        <v>0</v>
      </c>
    </row>
    <row r="7" spans="1:33" ht="18" customHeight="1">
      <c r="A7" s="2463"/>
      <c r="B7" s="4130"/>
      <c r="C7" s="787"/>
      <c r="D7" s="788"/>
      <c r="E7" s="783" t="s">
        <v>1739</v>
      </c>
      <c r="F7" s="784">
        <f ca="1">IF(INDIRECT("'数据-取费表'!ah"&amp;$G$1)="",INDIRECT("'数据-取费表'!k"&amp;$G$1),INDIRECT("'数据-取费表'!ah"&amp;$G$1))</f>
        <v>6493.21</v>
      </c>
      <c r="G7" s="1577"/>
      <c r="H7" s="2452"/>
      <c r="I7" s="4130"/>
      <c r="J7" s="787"/>
      <c r="K7" s="788"/>
      <c r="L7" s="783" t="s">
        <v>1739</v>
      </c>
      <c r="M7" s="784">
        <f ca="1">F7</f>
        <v>6493.21</v>
      </c>
    </row>
    <row r="8" spans="1:33" ht="18" customHeight="1">
      <c r="A8" s="2456"/>
      <c r="B8" s="4131"/>
      <c r="C8" s="787"/>
      <c r="D8" s="788"/>
      <c r="E8" s="783" t="s">
        <v>1740</v>
      </c>
      <c r="F8" s="784">
        <f ca="1">INDIRECT("'数据-取费表'!ai"&amp;$G$1)</f>
        <v>365</v>
      </c>
      <c r="G8" s="1577"/>
      <c r="H8" s="2452"/>
      <c r="I8" s="4131"/>
      <c r="J8" s="787"/>
      <c r="K8" s="788"/>
      <c r="L8" s="783" t="s">
        <v>1740</v>
      </c>
      <c r="M8" s="784">
        <f ca="1">INDIRECT("'数据-取费表'!ai"&amp;$G$1)</f>
        <v>365</v>
      </c>
    </row>
    <row r="9" spans="1:33" ht="18" customHeight="1">
      <c r="A9" s="785"/>
      <c r="B9" s="4132"/>
      <c r="C9" s="787"/>
      <c r="D9" s="788"/>
      <c r="E9" s="783" t="s">
        <v>1741</v>
      </c>
      <c r="F9" s="793">
        <f ca="1">INDIRECT("'数据-取费表'!w"&amp;$G$1)</f>
        <v>0</v>
      </c>
      <c r="G9" s="1577"/>
      <c r="H9" s="2468"/>
      <c r="I9" s="4131"/>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1198.24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1198.24</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40" t="s">
        <v>2962</v>
      </c>
      <c r="L53" s="414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1198.24</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58" t="s">
        <v>2470</v>
      </c>
      <c r="B1" s="4159"/>
      <c r="C1" s="4160"/>
      <c r="D1" s="4161">
        <f>SUM(I10,I15,I20,I21,I23)</f>
        <v>0</v>
      </c>
      <c r="E1" s="4161"/>
      <c r="F1" s="4161"/>
      <c r="G1" s="4161"/>
      <c r="H1" s="4161"/>
      <c r="I1" s="4162"/>
    </row>
    <row r="2" spans="1:9">
      <c r="A2" s="4148" t="s">
        <v>2471</v>
      </c>
      <c r="B2" s="4149" t="s">
        <v>2472</v>
      </c>
      <c r="C2" s="4149"/>
      <c r="D2" s="2470" t="s">
        <v>2473</v>
      </c>
      <c r="E2" s="2470" t="s">
        <v>2474</v>
      </c>
      <c r="F2" s="2470" t="s">
        <v>2475</v>
      </c>
      <c r="G2" s="2470" t="s">
        <v>2476</v>
      </c>
      <c r="H2" s="2470" t="s">
        <v>2477</v>
      </c>
      <c r="I2" s="2471" t="s">
        <v>2478</v>
      </c>
    </row>
    <row r="3" spans="1:9">
      <c r="A3" s="4148"/>
      <c r="B3" s="4149" t="s">
        <v>2479</v>
      </c>
      <c r="C3" s="4149"/>
      <c r="D3" s="2472"/>
      <c r="E3" s="2470"/>
      <c r="F3" s="2473"/>
      <c r="G3" s="2473"/>
      <c r="H3" s="2474"/>
      <c r="I3" s="2475">
        <f>ROUND(D3*E3*F3*G3*H3/10000,0)</f>
        <v>0</v>
      </c>
    </row>
    <row r="4" spans="1:9">
      <c r="A4" s="4148"/>
      <c r="B4" s="4149" t="s">
        <v>2480</v>
      </c>
      <c r="C4" s="4149"/>
      <c r="D4" s="2472"/>
      <c r="E4" s="2470"/>
      <c r="F4" s="2473"/>
      <c r="G4" s="2473"/>
      <c r="H4" s="2474"/>
      <c r="I4" s="2475">
        <f t="shared" ref="I4:I9" si="0">ROUND(D4*E4*F4*G4*H4/10000,0)</f>
        <v>0</v>
      </c>
    </row>
    <row r="5" spans="1:9">
      <c r="A5" s="4148"/>
      <c r="B5" s="4149" t="s">
        <v>2481</v>
      </c>
      <c r="C5" s="4149"/>
      <c r="D5" s="2472"/>
      <c r="E5" s="2470"/>
      <c r="F5" s="2473"/>
      <c r="G5" s="2473"/>
      <c r="H5" s="2474"/>
      <c r="I5" s="2475">
        <f t="shared" si="0"/>
        <v>0</v>
      </c>
    </row>
    <row r="6" spans="1:9">
      <c r="A6" s="4148"/>
      <c r="B6" s="4149" t="s">
        <v>2482</v>
      </c>
      <c r="C6" s="4149"/>
      <c r="D6" s="2472"/>
      <c r="E6" s="2470"/>
      <c r="F6" s="2473"/>
      <c r="G6" s="2473"/>
      <c r="H6" s="2474"/>
      <c r="I6" s="2475">
        <f t="shared" si="0"/>
        <v>0</v>
      </c>
    </row>
    <row r="7" spans="1:9">
      <c r="A7" s="4148"/>
      <c r="B7" s="4149" t="s">
        <v>2483</v>
      </c>
      <c r="C7" s="4149"/>
      <c r="D7" s="2472"/>
      <c r="E7" s="2470"/>
      <c r="F7" s="2473"/>
      <c r="G7" s="2473"/>
      <c r="H7" s="2474"/>
      <c r="I7" s="2475">
        <f t="shared" si="0"/>
        <v>0</v>
      </c>
    </row>
    <row r="8" spans="1:9">
      <c r="A8" s="4148"/>
      <c r="B8" s="4149" t="s">
        <v>2484</v>
      </c>
      <c r="C8" s="4149"/>
      <c r="D8" s="2472"/>
      <c r="E8" s="2470"/>
      <c r="F8" s="2473"/>
      <c r="G8" s="2473"/>
      <c r="H8" s="2474"/>
      <c r="I8" s="2475">
        <f t="shared" si="0"/>
        <v>0</v>
      </c>
    </row>
    <row r="9" spans="1:9">
      <c r="A9" s="4148"/>
      <c r="B9" s="4149" t="s">
        <v>2485</v>
      </c>
      <c r="C9" s="4149"/>
      <c r="D9" s="2472"/>
      <c r="E9" s="2470"/>
      <c r="F9" s="2473"/>
      <c r="G9" s="2473"/>
      <c r="H9" s="2474"/>
      <c r="I9" s="2475">
        <f t="shared" si="0"/>
        <v>0</v>
      </c>
    </row>
    <row r="10" spans="1:9">
      <c r="A10" s="4148"/>
      <c r="B10" s="4150" t="s">
        <v>2486</v>
      </c>
      <c r="C10" s="4150"/>
      <c r="D10" s="2476">
        <v>527</v>
      </c>
      <c r="E10" s="2476" t="e">
        <f>ROUND(D1*10000/D10/H9,0)</f>
        <v>#DIV/0!</v>
      </c>
      <c r="F10" s="2477"/>
      <c r="G10" s="2477"/>
      <c r="H10" s="2478"/>
      <c r="I10" s="2479">
        <f>SUM(I3:I9)</f>
        <v>0</v>
      </c>
    </row>
    <row r="11" spans="1:9" ht="14.25">
      <c r="A11" s="4148" t="s">
        <v>2487</v>
      </c>
      <c r="B11" s="4149" t="s">
        <v>2488</v>
      </c>
      <c r="C11" s="4149"/>
      <c r="D11" s="2472" t="s">
        <v>2489</v>
      </c>
      <c r="E11" s="2472" t="s">
        <v>2490</v>
      </c>
      <c r="F11" s="2473" t="s">
        <v>2491</v>
      </c>
      <c r="G11" s="2473" t="s">
        <v>2492</v>
      </c>
      <c r="H11" s="2480" t="s">
        <v>2493</v>
      </c>
      <c r="I11" s="2471" t="s">
        <v>2494</v>
      </c>
    </row>
    <row r="12" spans="1:9">
      <c r="A12" s="4148"/>
      <c r="B12" s="4149" t="s">
        <v>2495</v>
      </c>
      <c r="C12" s="4149"/>
      <c r="D12" s="2472"/>
      <c r="E12" s="2472"/>
      <c r="F12" s="2473"/>
      <c r="G12" s="2474"/>
      <c r="H12" s="2481"/>
      <c r="I12" s="2471">
        <f>ROUND(D12*E12*F12*G12/10000,0)</f>
        <v>0</v>
      </c>
    </row>
    <row r="13" spans="1:9">
      <c r="A13" s="4148"/>
      <c r="B13" s="4149" t="s">
        <v>2496</v>
      </c>
      <c r="C13" s="4149"/>
      <c r="D13" s="2472"/>
      <c r="E13" s="2472"/>
      <c r="F13" s="2473"/>
      <c r="G13" s="2474"/>
      <c r="H13" s="2481"/>
      <c r="I13" s="2471">
        <f>ROUND(D13*E13*F13*G13/10000,0)</f>
        <v>0</v>
      </c>
    </row>
    <row r="14" spans="1:9">
      <c r="A14" s="4148"/>
      <c r="B14" s="4149" t="s">
        <v>2497</v>
      </c>
      <c r="C14" s="4149"/>
      <c r="D14" s="2472"/>
      <c r="E14" s="2472"/>
      <c r="F14" s="2473"/>
      <c r="G14" s="2474"/>
      <c r="H14" s="2481"/>
      <c r="I14" s="2471">
        <f>ROUND(D14*E14*F14*G14/10000,0)</f>
        <v>0</v>
      </c>
    </row>
    <row r="15" spans="1:9">
      <c r="A15" s="4148"/>
      <c r="B15" s="4150" t="s">
        <v>2486</v>
      </c>
      <c r="C15" s="4150"/>
      <c r="D15" s="2476"/>
      <c r="E15" s="2476">
        <f>SUM(E12:E14)</f>
        <v>0</v>
      </c>
      <c r="F15" s="2477"/>
      <c r="G15" s="2474"/>
      <c r="H15" s="2481"/>
      <c r="I15" s="2482">
        <f>SUM(I12:I14)</f>
        <v>0</v>
      </c>
    </row>
    <row r="16" spans="1:9" ht="24">
      <c r="A16" s="4148" t="s">
        <v>2498</v>
      </c>
      <c r="B16" s="4149" t="s">
        <v>2499</v>
      </c>
      <c r="C16" s="4149"/>
      <c r="D16" s="2472" t="s">
        <v>2500</v>
      </c>
      <c r="E16" s="2483" t="s">
        <v>2501</v>
      </c>
      <c r="F16" s="2473" t="s">
        <v>2502</v>
      </c>
      <c r="G16" s="2474" t="s">
        <v>2492</v>
      </c>
      <c r="H16" s="2480" t="s">
        <v>2493</v>
      </c>
      <c r="I16" s="2471" t="s">
        <v>2494</v>
      </c>
    </row>
    <row r="17" spans="1:9" ht="14.25">
      <c r="A17" s="4148"/>
      <c r="B17" s="4149" t="s">
        <v>2503</v>
      </c>
      <c r="C17" s="4149"/>
      <c r="D17" s="2472"/>
      <c r="E17" s="2472"/>
      <c r="F17" s="2473"/>
      <c r="G17" s="2474"/>
      <c r="H17" s="2484"/>
      <c r="I17" s="2485">
        <f>ROUND(D17*E17*F17*G17/10000,0)</f>
        <v>0</v>
      </c>
    </row>
    <row r="18" spans="1:9" ht="14.25">
      <c r="A18" s="4148"/>
      <c r="B18" s="4149" t="s">
        <v>2504</v>
      </c>
      <c r="C18" s="4149"/>
      <c r="D18" s="2472"/>
      <c r="E18" s="2472"/>
      <c r="F18" s="2473"/>
      <c r="G18" s="2474"/>
      <c r="H18" s="2484"/>
      <c r="I18" s="2485">
        <f>ROUND(D18*E18*F18*G18/10000,0)</f>
        <v>0</v>
      </c>
    </row>
    <row r="19" spans="1:9" ht="14.25">
      <c r="A19" s="4148"/>
      <c r="B19" s="4149" t="s">
        <v>2505</v>
      </c>
      <c r="C19" s="4149"/>
      <c r="D19" s="2472"/>
      <c r="E19" s="2472"/>
      <c r="F19" s="2473"/>
      <c r="G19" s="2474"/>
      <c r="H19" s="2484"/>
      <c r="I19" s="2485">
        <f>ROUND(D19*E19*F19*G19/10000,0)</f>
        <v>0</v>
      </c>
    </row>
    <row r="20" spans="1:9">
      <c r="A20" s="4148"/>
      <c r="B20" s="4150" t="s">
        <v>2486</v>
      </c>
      <c r="C20" s="4150"/>
      <c r="D20" s="2476">
        <f>SUM(D17:D19)</f>
        <v>0</v>
      </c>
      <c r="E20" s="2476"/>
      <c r="F20" s="2477"/>
      <c r="G20" s="2474"/>
      <c r="H20" s="2481"/>
      <c r="I20" s="2482">
        <f>SUM(I17:I19)</f>
        <v>0</v>
      </c>
    </row>
    <row r="21" spans="1:9">
      <c r="A21" s="4148" t="s">
        <v>2506</v>
      </c>
      <c r="B21" s="4151"/>
      <c r="C21" s="4151"/>
      <c r="D21" s="4151"/>
      <c r="E21" s="4151"/>
      <c r="F21" s="4151"/>
      <c r="G21" s="4151"/>
      <c r="H21" s="2486">
        <v>0.1</v>
      </c>
      <c r="I21" s="2479">
        <f>ROUND(I10*H21,0)</f>
        <v>0</v>
      </c>
    </row>
    <row r="22" spans="1:9" ht="14.25">
      <c r="A22" s="4152" t="s">
        <v>2507</v>
      </c>
      <c r="B22" s="4153"/>
      <c r="C22" s="4154"/>
      <c r="D22" s="2487" t="s">
        <v>2508</v>
      </c>
      <c r="E22" s="2487" t="s">
        <v>2509</v>
      </c>
      <c r="F22" s="2488" t="s">
        <v>2510</v>
      </c>
      <c r="G22" s="2488" t="s">
        <v>2511</v>
      </c>
      <c r="H22" s="2480" t="s">
        <v>2512</v>
      </c>
      <c r="I22" s="2471" t="s">
        <v>2513</v>
      </c>
    </row>
    <row r="23" spans="1:9" ht="14.25" thickBot="1">
      <c r="A23" s="4155"/>
      <c r="B23" s="4156"/>
      <c r="C23" s="4157"/>
      <c r="D23" s="2489"/>
      <c r="E23" s="2489"/>
      <c r="F23" s="2489"/>
      <c r="G23" s="2490"/>
      <c r="H23" s="2491"/>
      <c r="I23" s="2492">
        <f>ROUND(E23*D23*F23*(1-G23)/10000,0)</f>
        <v>0</v>
      </c>
    </row>
    <row r="26" spans="1:9">
      <c r="A26" s="2493" t="s">
        <v>2514</v>
      </c>
      <c r="B26" s="2493"/>
      <c r="C26" s="2493"/>
      <c r="D26" s="2493"/>
      <c r="E26" s="4145">
        <f>C27-C30-C31-C32</f>
        <v>0</v>
      </c>
      <c r="F26" s="4145"/>
      <c r="G26" s="4145"/>
      <c r="H26" s="2992" t="s">
        <v>2842</v>
      </c>
    </row>
    <row r="27" spans="1:9">
      <c r="A27" s="2494">
        <v>1</v>
      </c>
      <c r="B27" s="2495" t="s">
        <v>2515</v>
      </c>
      <c r="C27" s="2495"/>
      <c r="D27" s="2495"/>
      <c r="E27" s="4146"/>
      <c r="F27" s="4146"/>
      <c r="G27" s="4146"/>
    </row>
    <row r="28" spans="1:9">
      <c r="A28" s="2496" t="s">
        <v>2516</v>
      </c>
      <c r="B28" s="2495" t="s">
        <v>2517</v>
      </c>
      <c r="C28" s="2495"/>
      <c r="D28" s="2495"/>
      <c r="E28" s="4146"/>
      <c r="F28" s="4146"/>
      <c r="G28" s="4146"/>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47"/>
      <c r="F32" s="4147"/>
      <c r="G32" s="4147"/>
    </row>
    <row r="33" spans="1:7" hidden="1">
      <c r="A33" s="4142" t="s">
        <v>2525</v>
      </c>
      <c r="B33" s="4143"/>
      <c r="C33" s="4143"/>
      <c r="D33" s="4144"/>
      <c r="E33" s="4145"/>
      <c r="F33" s="4145"/>
      <c r="G33" s="4145"/>
    </row>
    <row r="34" spans="1:7" hidden="1">
      <c r="A34" s="2498">
        <v>1</v>
      </c>
      <c r="B34" s="2495" t="s">
        <v>2526</v>
      </c>
      <c r="C34" s="2495"/>
      <c r="D34" s="2495"/>
      <c r="E34" s="4146"/>
      <c r="F34" s="4146"/>
      <c r="G34" s="4146"/>
    </row>
    <row r="35" spans="1:7" hidden="1">
      <c r="A35" s="2498">
        <v>2</v>
      </c>
      <c r="B35" s="2495" t="s">
        <v>2527</v>
      </c>
      <c r="C35" s="2495"/>
      <c r="D35" s="2495"/>
      <c r="E35" s="4146"/>
      <c r="F35" s="4146"/>
      <c r="G35" s="4146"/>
    </row>
    <row r="36" spans="1:7" hidden="1">
      <c r="A36" s="2498">
        <v>3</v>
      </c>
      <c r="B36" s="2495" t="s">
        <v>2528</v>
      </c>
      <c r="C36" s="2495"/>
      <c r="D36" s="2495"/>
      <c r="E36" s="4146"/>
      <c r="F36" s="4146"/>
      <c r="G36" s="4146"/>
    </row>
    <row r="37" spans="1:7" hidden="1">
      <c r="A37" s="2498">
        <v>4</v>
      </c>
      <c r="B37" s="2495" t="s">
        <v>2529</v>
      </c>
      <c r="C37" s="2495"/>
      <c r="D37" s="2495"/>
      <c r="E37" s="4146"/>
      <c r="F37" s="4146"/>
      <c r="G37" s="4146"/>
    </row>
    <row r="38" spans="1:7" hidden="1">
      <c r="A38" s="4142" t="s">
        <v>2530</v>
      </c>
      <c r="B38" s="4143"/>
      <c r="C38" s="4143"/>
      <c r="D38" s="4144"/>
      <c r="E38" s="4145"/>
      <c r="F38" s="4145"/>
      <c r="G38" s="41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111184.34000000001</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1478</v>
      </c>
      <c r="D12" s="757">
        <f>'数据-汇总表'!E5</f>
        <v>82106.820000000007</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61" t="s">
        <v>522</v>
      </c>
      <c r="D4" s="4062"/>
      <c r="E4" s="4085" t="s">
        <v>523</v>
      </c>
      <c r="F4" s="4086"/>
      <c r="G4" s="4061" t="s">
        <v>524</v>
      </c>
      <c r="H4" s="4062"/>
      <c r="I4" s="4061" t="s">
        <v>525</v>
      </c>
      <c r="J4" s="4062"/>
      <c r="K4" s="513" t="s">
        <v>526</v>
      </c>
      <c r="L4" s="2117"/>
      <c r="M4" s="2118"/>
      <c r="N4" s="2118"/>
      <c r="O4" s="2118"/>
      <c r="P4" s="4063" t="s">
        <v>527</v>
      </c>
      <c r="Q4" s="4064"/>
      <c r="R4" s="4049" t="s">
        <v>523</v>
      </c>
      <c r="S4" s="4050"/>
      <c r="T4" s="4049" t="s">
        <v>524</v>
      </c>
      <c r="U4" s="4050"/>
      <c r="V4" s="4069" t="s">
        <v>525</v>
      </c>
      <c r="W4" s="4069"/>
      <c r="X4" s="1552"/>
      <c r="Y4" s="4049" t="s">
        <v>527</v>
      </c>
      <c r="Z4" s="4050"/>
      <c r="AA4" s="4044" t="s">
        <v>523</v>
      </c>
      <c r="AB4" s="4069" t="s">
        <v>524</v>
      </c>
      <c r="AC4" s="4044" t="s">
        <v>525</v>
      </c>
    </row>
    <row r="5" spans="1:29" ht="15">
      <c r="A5" s="514"/>
      <c r="B5" s="515"/>
      <c r="C5" s="4072" t="s">
        <v>2926</v>
      </c>
      <c r="D5" s="4073"/>
      <c r="E5" s="4135" t="s">
        <v>3553</v>
      </c>
      <c r="F5" s="4088"/>
      <c r="G5" s="4136" t="s">
        <v>3321</v>
      </c>
      <c r="H5" s="4073"/>
      <c r="I5" s="4136" t="s">
        <v>3345</v>
      </c>
      <c r="J5" s="4073"/>
      <c r="K5" s="513"/>
      <c r="L5" s="2117"/>
      <c r="M5" s="2118"/>
      <c r="N5" s="2118"/>
      <c r="O5" s="2118"/>
      <c r="P5" s="4065"/>
      <c r="Q5" s="4066"/>
      <c r="R5" s="4051"/>
      <c r="S5" s="4052"/>
      <c r="T5" s="4051"/>
      <c r="U5" s="4052"/>
      <c r="V5" s="4069"/>
      <c r="W5" s="4069"/>
      <c r="X5" s="1552"/>
      <c r="Y5" s="4051"/>
      <c r="Z5" s="4052"/>
      <c r="AA5" s="4045"/>
      <c r="AB5" s="4069"/>
      <c r="AC5" s="4045"/>
    </row>
    <row r="6" spans="1:29" ht="15.75" thickBot="1">
      <c r="A6" s="516"/>
      <c r="B6" s="517"/>
      <c r="C6" s="4070" t="s">
        <v>2930</v>
      </c>
      <c r="D6" s="4071"/>
      <c r="E6" s="4089" t="s">
        <v>2930</v>
      </c>
      <c r="F6" s="4090"/>
      <c r="G6" s="4070" t="s">
        <v>2930</v>
      </c>
      <c r="H6" s="4071"/>
      <c r="I6" s="4070" t="s">
        <v>2930</v>
      </c>
      <c r="J6" s="4071"/>
      <c r="K6" s="513" t="s">
        <v>528</v>
      </c>
      <c r="L6" s="2117"/>
      <c r="M6" s="2118"/>
      <c r="N6" s="2118"/>
      <c r="O6" s="2118"/>
      <c r="P6" s="4067"/>
      <c r="Q6" s="4068"/>
      <c r="R6" s="4051"/>
      <c r="S6" s="4052"/>
      <c r="T6" s="4053"/>
      <c r="U6" s="4054"/>
      <c r="V6" s="4069"/>
      <c r="W6" s="4069"/>
      <c r="X6" s="1552"/>
      <c r="Y6" s="4053"/>
      <c r="Z6" s="4054"/>
      <c r="AA6" s="4046"/>
      <c r="AB6" s="4069"/>
      <c r="AC6" s="4046"/>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047" t="s">
        <v>530</v>
      </c>
      <c r="Q7" s="4056"/>
      <c r="R7" s="1553" t="s">
        <v>8</v>
      </c>
      <c r="S7" s="1554">
        <f t="shared" ref="S7:S15" si="0">F7</f>
        <v>100</v>
      </c>
      <c r="T7" s="1553" t="s">
        <v>8</v>
      </c>
      <c r="U7" s="1554">
        <f t="shared" ref="U7:U15" si="1">H7</f>
        <v>100</v>
      </c>
      <c r="V7" s="1553" t="s">
        <v>8</v>
      </c>
      <c r="W7" s="1554">
        <f t="shared" ref="W7:W15" si="2">J7</f>
        <v>100</v>
      </c>
      <c r="X7" s="1555"/>
      <c r="Y7" s="4047" t="s">
        <v>530</v>
      </c>
      <c r="Z7" s="4048"/>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47" t="s">
        <v>533</v>
      </c>
      <c r="Q8" s="4048"/>
      <c r="R8" s="1553" t="s">
        <v>8</v>
      </c>
      <c r="S8" s="1554">
        <f t="shared" si="0"/>
        <v>100</v>
      </c>
      <c r="T8" s="1553" t="s">
        <v>8</v>
      </c>
      <c r="U8" s="1554">
        <f t="shared" si="1"/>
        <v>100</v>
      </c>
      <c r="V8" s="1553" t="s">
        <v>8</v>
      </c>
      <c r="W8" s="1554">
        <f t="shared" si="2"/>
        <v>100</v>
      </c>
      <c r="X8" s="1555"/>
      <c r="Y8" s="4047" t="s">
        <v>533</v>
      </c>
      <c r="Z8" s="4048"/>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55" t="s">
        <v>535</v>
      </c>
      <c r="Q9" s="1146" t="str">
        <f t="shared" ref="Q9:Q15" si="6">B9</f>
        <v>用途</v>
      </c>
      <c r="R9" s="1553" t="s">
        <v>8</v>
      </c>
      <c r="S9" s="1554">
        <f t="shared" si="0"/>
        <v>100</v>
      </c>
      <c r="T9" s="1553" t="s">
        <v>8</v>
      </c>
      <c r="U9" s="1554">
        <f t="shared" si="1"/>
        <v>100</v>
      </c>
      <c r="V9" s="1553" t="s">
        <v>8</v>
      </c>
      <c r="W9" s="1554">
        <f t="shared" si="2"/>
        <v>100</v>
      </c>
      <c r="X9" s="1555"/>
      <c r="Y9" s="4012"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55"/>
      <c r="Q11" s="1146" t="str">
        <f t="shared" si="6"/>
        <v>容积率</v>
      </c>
      <c r="R11" s="1553" t="s">
        <v>8</v>
      </c>
      <c r="S11" s="1554">
        <f t="shared" si="0"/>
        <v>104</v>
      </c>
      <c r="T11" s="1553" t="s">
        <v>8</v>
      </c>
      <c r="U11" s="1554">
        <f t="shared" si="1"/>
        <v>102</v>
      </c>
      <c r="V11" s="1553" t="s">
        <v>8</v>
      </c>
      <c r="W11" s="1554">
        <f t="shared" si="2"/>
        <v>104</v>
      </c>
      <c r="X11" s="1555"/>
      <c r="Y11" s="4012"/>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55"/>
      <c r="Q12" s="1146">
        <f t="shared" si="6"/>
        <v>111</v>
      </c>
      <c r="R12" s="1553" t="s">
        <v>8</v>
      </c>
      <c r="S12" s="1554">
        <f t="shared" si="0"/>
        <v>100</v>
      </c>
      <c r="T12" s="1553" t="s">
        <v>8</v>
      </c>
      <c r="U12" s="1554">
        <f t="shared" si="1"/>
        <v>100</v>
      </c>
      <c r="V12" s="1553" t="s">
        <v>8</v>
      </c>
      <c r="W12" s="1554">
        <f t="shared" si="2"/>
        <v>100</v>
      </c>
      <c r="X12" s="1555"/>
      <c r="Y12" s="4012"/>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55"/>
      <c r="Q13" s="1146">
        <f t="shared" si="6"/>
        <v>111</v>
      </c>
      <c r="R13" s="1553" t="s">
        <v>8</v>
      </c>
      <c r="S13" s="1554">
        <f t="shared" si="0"/>
        <v>100</v>
      </c>
      <c r="T13" s="1553" t="s">
        <v>8</v>
      </c>
      <c r="U13" s="1554">
        <f t="shared" si="1"/>
        <v>100</v>
      </c>
      <c r="V13" s="1553" t="s">
        <v>8</v>
      </c>
      <c r="W13" s="1554">
        <f t="shared" si="2"/>
        <v>100</v>
      </c>
      <c r="X13" s="1555"/>
      <c r="Y13" s="4012"/>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55"/>
      <c r="Q14" s="1146">
        <f t="shared" si="6"/>
        <v>111</v>
      </c>
      <c r="R14" s="1553" t="s">
        <v>8</v>
      </c>
      <c r="S14" s="1554">
        <f t="shared" si="0"/>
        <v>100</v>
      </c>
      <c r="T14" s="1553" t="s">
        <v>8</v>
      </c>
      <c r="U14" s="1554">
        <f t="shared" si="1"/>
        <v>100</v>
      </c>
      <c r="V14" s="1553" t="s">
        <v>8</v>
      </c>
      <c r="W14" s="1554">
        <f t="shared" si="2"/>
        <v>100</v>
      </c>
      <c r="X14" s="1555"/>
      <c r="Y14" s="4012"/>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57" t="s">
        <v>540</v>
      </c>
      <c r="Q15" s="1557" t="str">
        <f t="shared" si="6"/>
        <v>商业繁华度</v>
      </c>
      <c r="R15" s="1558" t="s">
        <v>8</v>
      </c>
      <c r="S15" s="1559">
        <f t="shared" si="0"/>
        <v>100</v>
      </c>
      <c r="T15" s="1558" t="s">
        <v>8</v>
      </c>
      <c r="U15" s="1559">
        <f t="shared" si="1"/>
        <v>100</v>
      </c>
      <c r="V15" s="1558" t="s">
        <v>8</v>
      </c>
      <c r="W15" s="1559">
        <f t="shared" si="2"/>
        <v>100</v>
      </c>
      <c r="X15" s="1552"/>
      <c r="Y15" s="4057"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58"/>
      <c r="Q16" s="1557"/>
      <c r="R16" s="1558"/>
      <c r="S16" s="1559"/>
      <c r="T16" s="1558"/>
      <c r="U16" s="1559"/>
      <c r="V16" s="1558"/>
      <c r="W16" s="1559"/>
      <c r="X16" s="1552"/>
      <c r="Y16" s="4058"/>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58"/>
      <c r="Q17" s="1557" t="str">
        <f>B17</f>
        <v>交通便捷度</v>
      </c>
      <c r="R17" s="1558" t="s">
        <v>8</v>
      </c>
      <c r="S17" s="1559">
        <f>F17</f>
        <v>100</v>
      </c>
      <c r="T17" s="1558" t="s">
        <v>8</v>
      </c>
      <c r="U17" s="1559">
        <f>H17</f>
        <v>100</v>
      </c>
      <c r="V17" s="1558" t="s">
        <v>8</v>
      </c>
      <c r="W17" s="1559">
        <f>J17</f>
        <v>100</v>
      </c>
      <c r="X17" s="1552"/>
      <c r="Y17" s="4058"/>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58"/>
      <c r="Q18" s="1557"/>
      <c r="R18" s="1558"/>
      <c r="S18" s="1559"/>
      <c r="T18" s="1558"/>
      <c r="U18" s="1559"/>
      <c r="V18" s="1558"/>
      <c r="W18" s="1559"/>
      <c r="X18" s="1552"/>
      <c r="Y18" s="4058"/>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58"/>
      <c r="Q19" s="1557" t="str">
        <f>B19</f>
        <v>公共配套设施</v>
      </c>
      <c r="R19" s="1558" t="s">
        <v>8</v>
      </c>
      <c r="S19" s="1559">
        <f>F19</f>
        <v>100</v>
      </c>
      <c r="T19" s="1558" t="s">
        <v>8</v>
      </c>
      <c r="U19" s="1559">
        <f>H19</f>
        <v>102</v>
      </c>
      <c r="V19" s="1558" t="s">
        <v>8</v>
      </c>
      <c r="W19" s="1559">
        <f>J19</f>
        <v>102</v>
      </c>
      <c r="X19" s="1552"/>
      <c r="Y19" s="4058"/>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58"/>
      <c r="Q20" s="1557"/>
      <c r="R20" s="1558"/>
      <c r="S20" s="1559"/>
      <c r="T20" s="1558"/>
      <c r="U20" s="1559"/>
      <c r="V20" s="1558"/>
      <c r="W20" s="1559"/>
      <c r="X20" s="1552"/>
      <c r="Y20" s="4058"/>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58"/>
      <c r="Q21" s="2542" t="str">
        <f>B21</f>
        <v>基础设施水平</v>
      </c>
      <c r="R21" s="1558" t="s">
        <v>8</v>
      </c>
      <c r="S21" s="1559">
        <f>F21</f>
        <v>100</v>
      </c>
      <c r="T21" s="1558" t="s">
        <v>8</v>
      </c>
      <c r="U21" s="1559">
        <f>H21</f>
        <v>100</v>
      </c>
      <c r="V21" s="1558" t="s">
        <v>8</v>
      </c>
      <c r="W21" s="1559">
        <f>J21</f>
        <v>100</v>
      </c>
      <c r="X21" s="2544"/>
      <c r="Y21" s="4058"/>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58"/>
      <c r="Q22" s="2542"/>
      <c r="R22" s="1558"/>
      <c r="S22" s="1559"/>
      <c r="T22" s="1558"/>
      <c r="U22" s="1559"/>
      <c r="V22" s="1558"/>
      <c r="W22" s="1559"/>
      <c r="X22" s="2544"/>
      <c r="Y22" s="4058"/>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58"/>
      <c r="Q23" s="1557" t="str">
        <f>B23</f>
        <v>自然及人文环境</v>
      </c>
      <c r="R23" s="1558" t="s">
        <v>8</v>
      </c>
      <c r="S23" s="1559">
        <f>F23</f>
        <v>100</v>
      </c>
      <c r="T23" s="1558" t="s">
        <v>8</v>
      </c>
      <c r="U23" s="1559">
        <f>H23</f>
        <v>100</v>
      </c>
      <c r="V23" s="1558" t="s">
        <v>8</v>
      </c>
      <c r="W23" s="1559">
        <f>J23</f>
        <v>100</v>
      </c>
      <c r="X23" s="1552"/>
      <c r="Y23" s="4058"/>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58"/>
      <c r="Q24" s="1557"/>
      <c r="R24" s="1558"/>
      <c r="S24" s="1559"/>
      <c r="T24" s="1558"/>
      <c r="U24" s="1559"/>
      <c r="V24" s="1558"/>
      <c r="W24" s="1559"/>
      <c r="X24" s="1552"/>
      <c r="Y24" s="4058"/>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58"/>
      <c r="Q25" s="1557" t="str">
        <f t="shared" ref="Q25:Q46" si="11">B25</f>
        <v>临街状况</v>
      </c>
      <c r="R25" s="1558" t="s">
        <v>8</v>
      </c>
      <c r="S25" s="1559">
        <f>F25</f>
        <v>100</v>
      </c>
      <c r="T25" s="1558" t="s">
        <v>8</v>
      </c>
      <c r="U25" s="1559">
        <f>H25</f>
        <v>100</v>
      </c>
      <c r="V25" s="1558" t="s">
        <v>8</v>
      </c>
      <c r="W25" s="1559">
        <f>J25</f>
        <v>100</v>
      </c>
      <c r="X25" s="1552"/>
      <c r="Y25" s="4058"/>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058"/>
      <c r="Q26" s="1557" t="str">
        <f t="shared" si="11"/>
        <v>平面位置/可视性</v>
      </c>
      <c r="R26" s="1558" t="s">
        <v>8</v>
      </c>
      <c r="S26" s="1559">
        <f>F26</f>
        <v>100</v>
      </c>
      <c r="T26" s="1558" t="s">
        <v>8</v>
      </c>
      <c r="U26" s="1559">
        <f>H26</f>
        <v>100</v>
      </c>
      <c r="V26" s="1558" t="s">
        <v>8</v>
      </c>
      <c r="W26" s="1559">
        <f>J26</f>
        <v>100</v>
      </c>
      <c r="X26" s="1552"/>
      <c r="Y26" s="4058"/>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58"/>
      <c r="Q27" s="1146" t="str">
        <f t="shared" si="11"/>
        <v>人流量</v>
      </c>
      <c r="R27" s="1553" t="s">
        <v>8</v>
      </c>
      <c r="S27" s="1554">
        <f>F27</f>
        <v>100</v>
      </c>
      <c r="T27" s="1553" t="s">
        <v>8</v>
      </c>
      <c r="U27" s="1554">
        <f>H27</f>
        <v>100</v>
      </c>
      <c r="V27" s="1553" t="s">
        <v>8</v>
      </c>
      <c r="W27" s="1554">
        <f>J27</f>
        <v>100</v>
      </c>
      <c r="X27" s="1555"/>
      <c r="Y27" s="4058"/>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58"/>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58"/>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58"/>
      <c r="Q29" s="1557">
        <f t="shared" si="11"/>
        <v>111</v>
      </c>
      <c r="R29" s="1558" t="s">
        <v>8</v>
      </c>
      <c r="S29" s="1559">
        <f t="shared" si="12"/>
        <v>100</v>
      </c>
      <c r="T29" s="1558" t="s">
        <v>8</v>
      </c>
      <c r="U29" s="1559">
        <f t="shared" si="13"/>
        <v>100</v>
      </c>
      <c r="V29" s="1558" t="s">
        <v>8</v>
      </c>
      <c r="W29" s="1559">
        <f t="shared" si="14"/>
        <v>100</v>
      </c>
      <c r="X29" s="1552"/>
      <c r="Y29" s="405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58"/>
      <c r="Q30" s="1557">
        <f t="shared" si="11"/>
        <v>111</v>
      </c>
      <c r="R30" s="1558" t="s">
        <v>8</v>
      </c>
      <c r="S30" s="1559">
        <f t="shared" si="12"/>
        <v>100</v>
      </c>
      <c r="T30" s="1558" t="s">
        <v>8</v>
      </c>
      <c r="U30" s="1559">
        <f t="shared" si="13"/>
        <v>100</v>
      </c>
      <c r="V30" s="1558" t="s">
        <v>8</v>
      </c>
      <c r="W30" s="1559">
        <f t="shared" si="14"/>
        <v>100</v>
      </c>
      <c r="X30" s="1552"/>
      <c r="Y30" s="4058"/>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58"/>
      <c r="Q31" s="1557">
        <f t="shared" si="11"/>
        <v>111</v>
      </c>
      <c r="R31" s="1558" t="s">
        <v>8</v>
      </c>
      <c r="S31" s="1559">
        <f t="shared" si="12"/>
        <v>100</v>
      </c>
      <c r="T31" s="1558" t="s">
        <v>8</v>
      </c>
      <c r="U31" s="1559">
        <f t="shared" si="13"/>
        <v>100</v>
      </c>
      <c r="V31" s="1558" t="s">
        <v>8</v>
      </c>
      <c r="W31" s="1559">
        <f t="shared" si="14"/>
        <v>100</v>
      </c>
      <c r="X31" s="1552"/>
      <c r="Y31" s="4058"/>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59" t="s">
        <v>550</v>
      </c>
      <c r="Q32" s="1557" t="str">
        <f t="shared" si="11"/>
        <v>商业类型</v>
      </c>
      <c r="R32" s="1558" t="s">
        <v>8</v>
      </c>
      <c r="S32" s="1559">
        <f t="shared" si="12"/>
        <v>100</v>
      </c>
      <c r="T32" s="1558" t="s">
        <v>8</v>
      </c>
      <c r="U32" s="1559">
        <f t="shared" si="13"/>
        <v>100</v>
      </c>
      <c r="V32" s="1558" t="s">
        <v>8</v>
      </c>
      <c r="W32" s="1559">
        <f t="shared" si="14"/>
        <v>100</v>
      </c>
      <c r="X32" s="1552"/>
      <c r="Y32" s="4060"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60"/>
      <c r="Q33" s="1589" t="str">
        <f t="shared" si="11"/>
        <v>项目建筑规模</v>
      </c>
      <c r="R33" s="1562" t="s">
        <v>8</v>
      </c>
      <c r="S33" s="1563">
        <f t="shared" si="12"/>
        <v>100</v>
      </c>
      <c r="T33" s="1562" t="s">
        <v>8</v>
      </c>
      <c r="U33" s="1563">
        <f t="shared" si="13"/>
        <v>100</v>
      </c>
      <c r="V33" s="1562" t="s">
        <v>8</v>
      </c>
      <c r="W33" s="1563">
        <f t="shared" si="14"/>
        <v>100</v>
      </c>
      <c r="X33" s="1564"/>
      <c r="Y33" s="4060"/>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60"/>
      <c r="Q34" s="1557" t="str">
        <f t="shared" si="11"/>
        <v>建筑结构</v>
      </c>
      <c r="R34" s="1558" t="s">
        <v>8</v>
      </c>
      <c r="S34" s="1559">
        <f t="shared" si="12"/>
        <v>100</v>
      </c>
      <c r="T34" s="1558" t="s">
        <v>8</v>
      </c>
      <c r="U34" s="1559">
        <f t="shared" si="13"/>
        <v>100</v>
      </c>
      <c r="V34" s="1558" t="s">
        <v>8</v>
      </c>
      <c r="W34" s="1559">
        <f t="shared" si="14"/>
        <v>100</v>
      </c>
      <c r="X34" s="1552"/>
      <c r="Y34" s="4060"/>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60"/>
      <c r="Q35" s="1557" t="str">
        <f t="shared" si="11"/>
        <v>公共部分装修</v>
      </c>
      <c r="R35" s="1558" t="s">
        <v>8</v>
      </c>
      <c r="S35" s="1559">
        <f t="shared" si="12"/>
        <v>100</v>
      </c>
      <c r="T35" s="1558" t="s">
        <v>8</v>
      </c>
      <c r="U35" s="1559">
        <f t="shared" si="13"/>
        <v>100</v>
      </c>
      <c r="V35" s="1558" t="s">
        <v>8</v>
      </c>
      <c r="W35" s="1559">
        <f t="shared" si="14"/>
        <v>100</v>
      </c>
      <c r="X35" s="1552"/>
      <c r="Y35" s="4060"/>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60"/>
      <c r="Q36" s="1557" t="str">
        <f t="shared" si="11"/>
        <v>成新度</v>
      </c>
      <c r="R36" s="1558" t="s">
        <v>8</v>
      </c>
      <c r="S36" s="1559">
        <f t="shared" si="12"/>
        <v>100</v>
      </c>
      <c r="T36" s="1558" t="s">
        <v>8</v>
      </c>
      <c r="U36" s="1559">
        <f t="shared" si="13"/>
        <v>100</v>
      </c>
      <c r="V36" s="1558" t="s">
        <v>8</v>
      </c>
      <c r="W36" s="1559">
        <f t="shared" si="14"/>
        <v>100</v>
      </c>
      <c r="X36" s="1552"/>
      <c r="Y36" s="4060"/>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60"/>
      <c r="Q37" s="1146" t="str">
        <f t="shared" si="11"/>
        <v>市政基础设施</v>
      </c>
      <c r="R37" s="1553" t="s">
        <v>8</v>
      </c>
      <c r="S37" s="1554">
        <f t="shared" si="12"/>
        <v>100</v>
      </c>
      <c r="T37" s="1553" t="s">
        <v>8</v>
      </c>
      <c r="U37" s="1554">
        <f t="shared" si="13"/>
        <v>100</v>
      </c>
      <c r="V37" s="1553" t="s">
        <v>8</v>
      </c>
      <c r="W37" s="1554">
        <f t="shared" si="14"/>
        <v>100</v>
      </c>
      <c r="X37" s="1555"/>
      <c r="Y37" s="4060"/>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60" t="s">
        <v>766</v>
      </c>
      <c r="Q38" s="1557" t="str">
        <f t="shared" si="11"/>
        <v>业态</v>
      </c>
      <c r="R38" s="1558" t="s">
        <v>8</v>
      </c>
      <c r="S38" s="1559">
        <f t="shared" si="12"/>
        <v>100</v>
      </c>
      <c r="T38" s="1558" t="s">
        <v>8</v>
      </c>
      <c r="U38" s="1559">
        <f t="shared" si="13"/>
        <v>100</v>
      </c>
      <c r="V38" s="1558" t="s">
        <v>8</v>
      </c>
      <c r="W38" s="1559">
        <f t="shared" si="14"/>
        <v>100</v>
      </c>
      <c r="X38" s="1552"/>
      <c r="Y38" s="4060"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60"/>
      <c r="Q39" s="1557" t="str">
        <f t="shared" si="11"/>
        <v>层高</v>
      </c>
      <c r="R39" s="1558" t="s">
        <v>8</v>
      </c>
      <c r="S39" s="1559">
        <f t="shared" si="12"/>
        <v>100</v>
      </c>
      <c r="T39" s="1558" t="s">
        <v>8</v>
      </c>
      <c r="U39" s="1559">
        <f t="shared" si="13"/>
        <v>100</v>
      </c>
      <c r="V39" s="1558" t="s">
        <v>8</v>
      </c>
      <c r="W39" s="1559">
        <f t="shared" si="14"/>
        <v>100</v>
      </c>
      <c r="X39" s="1552"/>
      <c r="Y39" s="4060"/>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60"/>
      <c r="Q40" s="1557" t="str">
        <f t="shared" si="11"/>
        <v>单套建筑面积</v>
      </c>
      <c r="R40" s="1558" t="s">
        <v>8</v>
      </c>
      <c r="S40" s="1559">
        <f t="shared" si="12"/>
        <v>100</v>
      </c>
      <c r="T40" s="1558" t="s">
        <v>8</v>
      </c>
      <c r="U40" s="1559">
        <f t="shared" si="13"/>
        <v>100</v>
      </c>
      <c r="V40" s="1558" t="s">
        <v>8</v>
      </c>
      <c r="W40" s="1559">
        <f t="shared" si="14"/>
        <v>100</v>
      </c>
      <c r="X40" s="1552"/>
      <c r="Y40" s="4060"/>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60"/>
      <c r="Q41" s="1589" t="str">
        <f t="shared" si="11"/>
        <v>进深比</v>
      </c>
      <c r="R41" s="1562" t="s">
        <v>8</v>
      </c>
      <c r="S41" s="1563">
        <f t="shared" si="12"/>
        <v>100</v>
      </c>
      <c r="T41" s="1562" t="s">
        <v>8</v>
      </c>
      <c r="U41" s="1563">
        <f t="shared" si="13"/>
        <v>100</v>
      </c>
      <c r="V41" s="1562" t="s">
        <v>8</v>
      </c>
      <c r="W41" s="1563">
        <f t="shared" si="14"/>
        <v>100</v>
      </c>
      <c r="X41" s="1564"/>
      <c r="Y41" s="4060"/>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60"/>
      <c r="Q42" s="1557" t="str">
        <f t="shared" si="11"/>
        <v>内部装修</v>
      </c>
      <c r="R42" s="1558" t="s">
        <v>8</v>
      </c>
      <c r="S42" s="1559">
        <f t="shared" si="12"/>
        <v>100</v>
      </c>
      <c r="T42" s="1558" t="s">
        <v>8</v>
      </c>
      <c r="U42" s="1559">
        <f t="shared" si="13"/>
        <v>100</v>
      </c>
      <c r="V42" s="1558" t="s">
        <v>8</v>
      </c>
      <c r="W42" s="1559">
        <f t="shared" si="14"/>
        <v>100</v>
      </c>
      <c r="X42" s="1552"/>
      <c r="Y42" s="4060"/>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60"/>
      <c r="Q43" s="1557" t="str">
        <f t="shared" si="11"/>
        <v>内部装修维护情况</v>
      </c>
      <c r="R43" s="1558" t="s">
        <v>8</v>
      </c>
      <c r="S43" s="1559">
        <f t="shared" si="12"/>
        <v>100</v>
      </c>
      <c r="T43" s="1558" t="s">
        <v>8</v>
      </c>
      <c r="U43" s="1559">
        <f t="shared" si="13"/>
        <v>100</v>
      </c>
      <c r="V43" s="1558" t="s">
        <v>8</v>
      </c>
      <c r="W43" s="1559">
        <f t="shared" si="14"/>
        <v>100</v>
      </c>
      <c r="X43" s="1552"/>
      <c r="Y43" s="406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60"/>
      <c r="Q44" s="1146">
        <f t="shared" si="11"/>
        <v>111</v>
      </c>
      <c r="R44" s="1553" t="s">
        <v>8</v>
      </c>
      <c r="S44" s="1554">
        <f t="shared" si="12"/>
        <v>100</v>
      </c>
      <c r="T44" s="1553" t="s">
        <v>8</v>
      </c>
      <c r="U44" s="1554">
        <f t="shared" si="13"/>
        <v>100</v>
      </c>
      <c r="V44" s="1553" t="s">
        <v>8</v>
      </c>
      <c r="W44" s="1554">
        <f t="shared" si="14"/>
        <v>100</v>
      </c>
      <c r="X44" s="1555"/>
      <c r="Y44" s="406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60"/>
      <c r="Q45" s="1557">
        <f t="shared" si="11"/>
        <v>111</v>
      </c>
      <c r="R45" s="1558" t="s">
        <v>8</v>
      </c>
      <c r="S45" s="1559">
        <f t="shared" si="12"/>
        <v>100</v>
      </c>
      <c r="T45" s="1558" t="s">
        <v>8</v>
      </c>
      <c r="U45" s="1559">
        <f t="shared" si="13"/>
        <v>100</v>
      </c>
      <c r="V45" s="1558" t="s">
        <v>8</v>
      </c>
      <c r="W45" s="1559">
        <f t="shared" si="14"/>
        <v>100</v>
      </c>
      <c r="X45" s="1552"/>
      <c r="Y45" s="4060"/>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39"/>
      <c r="Q46" s="1557">
        <f t="shared" si="11"/>
        <v>111</v>
      </c>
      <c r="R46" s="1558" t="s">
        <v>8</v>
      </c>
      <c r="S46" s="1559">
        <f t="shared" si="12"/>
        <v>100</v>
      </c>
      <c r="T46" s="1558" t="s">
        <v>8</v>
      </c>
      <c r="U46" s="1559">
        <f t="shared" si="13"/>
        <v>100</v>
      </c>
      <c r="V46" s="1558" t="s">
        <v>8</v>
      </c>
      <c r="W46" s="1559">
        <f t="shared" si="14"/>
        <v>100</v>
      </c>
      <c r="X46" s="1552"/>
      <c r="Y46" s="4139"/>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55" t="str">
        <f>A47</f>
        <v>成交单价（元/平方米）</v>
      </c>
      <c r="Q47" s="4055"/>
      <c r="R47" s="4138">
        <f>E47</f>
        <v>13000</v>
      </c>
      <c r="S47" s="4138"/>
      <c r="T47" s="4138">
        <f>G47</f>
        <v>13500</v>
      </c>
      <c r="U47" s="4138"/>
      <c r="V47" s="4138">
        <f>I47</f>
        <v>14800</v>
      </c>
      <c r="W47" s="4138"/>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55" t="str">
        <f>A48</f>
        <v>比较价格（元/平方米）</v>
      </c>
      <c r="Q48" s="4055"/>
      <c r="R48" s="4138">
        <f>IF(F1="售价",ROUND(PRODUCT(R47,AA7:AA46),0),ROUND(PRODUCT(R47,AA7:AA46),1))</f>
        <v>10000</v>
      </c>
      <c r="S48" s="4138"/>
      <c r="T48" s="4138">
        <f>IF(F1="售价",ROUND(PRODUCT(T47,AB7:AB46),0),ROUND(PRODUCT(T47,AB7:AB46),1))</f>
        <v>10381</v>
      </c>
      <c r="U48" s="4138"/>
      <c r="V48" s="4138">
        <f>IF(F1="售价",ROUND(PRODUCT(V47,AC7:AC46),0),ROUND(PRODUCT(V47,AC7:AC46),1))</f>
        <v>11161</v>
      </c>
      <c r="W48" s="4138"/>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76" t="str">
        <f>A49</f>
        <v>估价对象XX用房的比较价格（楼面单价，元/平方米）</v>
      </c>
      <c r="Q49" s="4077"/>
      <c r="R49" s="4137">
        <f>IF(F1="售价",ROUND(AVERAGE(R48:V48),0),ROUND(AVERAGE(R48:V48),1))</f>
        <v>10514</v>
      </c>
      <c r="S49" s="4137"/>
      <c r="T49" s="4137"/>
      <c r="U49" s="4137"/>
      <c r="V49" s="4137"/>
      <c r="W49" s="413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61" t="s">
        <v>522</v>
      </c>
      <c r="D4" s="4062"/>
      <c r="E4" s="4085" t="s">
        <v>523</v>
      </c>
      <c r="F4" s="4086"/>
      <c r="G4" s="4061" t="s">
        <v>524</v>
      </c>
      <c r="H4" s="4062"/>
      <c r="I4" s="4061" t="s">
        <v>525</v>
      </c>
      <c r="J4" s="4062"/>
      <c r="K4" s="513" t="s">
        <v>526</v>
      </c>
      <c r="L4" s="2117"/>
      <c r="M4" s="2118"/>
      <c r="N4" s="2118"/>
      <c r="O4" s="2118"/>
      <c r="P4" s="4163" t="s">
        <v>527</v>
      </c>
      <c r="Q4" s="4064"/>
      <c r="R4" s="4049" t="s">
        <v>523</v>
      </c>
      <c r="S4" s="4050"/>
      <c r="T4" s="4049" t="s">
        <v>524</v>
      </c>
      <c r="U4" s="4050"/>
      <c r="V4" s="4069" t="s">
        <v>525</v>
      </c>
      <c r="W4" s="4069"/>
      <c r="X4" s="1552"/>
      <c r="Y4" s="4049" t="s">
        <v>527</v>
      </c>
      <c r="Z4" s="4050"/>
      <c r="AA4" s="4044" t="s">
        <v>523</v>
      </c>
      <c r="AB4" s="4044" t="s">
        <v>524</v>
      </c>
      <c r="AC4" s="4044" t="s">
        <v>525</v>
      </c>
    </row>
    <row r="5" spans="1:29" ht="15">
      <c r="A5" s="514"/>
      <c r="B5" s="515"/>
      <c r="C5" s="4072" t="s">
        <v>2926</v>
      </c>
      <c r="D5" s="4073"/>
      <c r="E5" s="4087" t="s">
        <v>2927</v>
      </c>
      <c r="F5" s="4088"/>
      <c r="G5" s="4072" t="s">
        <v>2928</v>
      </c>
      <c r="H5" s="4073"/>
      <c r="I5" s="4072" t="s">
        <v>2929</v>
      </c>
      <c r="J5" s="4073"/>
      <c r="K5" s="513"/>
      <c r="L5" s="2117"/>
      <c r="M5" s="2118"/>
      <c r="N5" s="2118"/>
      <c r="O5" s="2118"/>
      <c r="P5" s="4164"/>
      <c r="Q5" s="4066"/>
      <c r="R5" s="4051"/>
      <c r="S5" s="4052"/>
      <c r="T5" s="4051"/>
      <c r="U5" s="4052"/>
      <c r="V5" s="4069"/>
      <c r="W5" s="4069"/>
      <c r="X5" s="1552"/>
      <c r="Y5" s="4051"/>
      <c r="Z5" s="4052"/>
      <c r="AA5" s="4045"/>
      <c r="AB5" s="4045"/>
      <c r="AC5" s="4045"/>
    </row>
    <row r="6" spans="1:29" ht="15.75" thickBot="1">
      <c r="A6" s="516"/>
      <c r="B6" s="517"/>
      <c r="C6" s="4070" t="s">
        <v>2930</v>
      </c>
      <c r="D6" s="4071"/>
      <c r="E6" s="4089" t="s">
        <v>2930</v>
      </c>
      <c r="F6" s="4090"/>
      <c r="G6" s="4070" t="s">
        <v>2930</v>
      </c>
      <c r="H6" s="4071"/>
      <c r="I6" s="4070" t="s">
        <v>2930</v>
      </c>
      <c r="J6" s="4071"/>
      <c r="K6" s="513" t="s">
        <v>528</v>
      </c>
      <c r="L6" s="2117"/>
      <c r="M6" s="2118"/>
      <c r="N6" s="2118"/>
      <c r="O6" s="2118"/>
      <c r="P6" s="4165"/>
      <c r="Q6" s="4068"/>
      <c r="R6" s="4051"/>
      <c r="S6" s="4052"/>
      <c r="T6" s="4053"/>
      <c r="U6" s="4054"/>
      <c r="V6" s="4069"/>
      <c r="W6" s="4069"/>
      <c r="X6" s="1552"/>
      <c r="Y6" s="4053"/>
      <c r="Z6" s="4054"/>
      <c r="AA6" s="4046"/>
      <c r="AB6" s="4046"/>
      <c r="AC6" s="4046"/>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56" t="s">
        <v>530</v>
      </c>
      <c r="Q7" s="4056"/>
      <c r="R7" s="1553" t="s">
        <v>8</v>
      </c>
      <c r="S7" s="1554">
        <f t="shared" ref="S7:S15" si="0">F7</f>
        <v>0</v>
      </c>
      <c r="T7" s="1553" t="s">
        <v>8</v>
      </c>
      <c r="U7" s="1554">
        <f t="shared" ref="U7:U15" si="1">H7</f>
        <v>0</v>
      </c>
      <c r="V7" s="1553" t="s">
        <v>8</v>
      </c>
      <c r="W7" s="1554">
        <f t="shared" ref="W7:W15" si="2">J7</f>
        <v>0</v>
      </c>
      <c r="X7" s="1555"/>
      <c r="Y7" s="4047" t="s">
        <v>530</v>
      </c>
      <c r="Z7" s="4048"/>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56" t="s">
        <v>533</v>
      </c>
      <c r="Q8" s="4048"/>
      <c r="R8" s="1553" t="s">
        <v>8</v>
      </c>
      <c r="S8" s="1554">
        <f t="shared" si="0"/>
        <v>0</v>
      </c>
      <c r="T8" s="1553" t="s">
        <v>8</v>
      </c>
      <c r="U8" s="1554">
        <f t="shared" si="1"/>
        <v>0</v>
      </c>
      <c r="V8" s="1553" t="s">
        <v>8</v>
      </c>
      <c r="W8" s="1554">
        <f t="shared" si="2"/>
        <v>0</v>
      </c>
      <c r="X8" s="1555"/>
      <c r="Y8" s="4047" t="s">
        <v>533</v>
      </c>
      <c r="Z8" s="4048"/>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55" t="s">
        <v>535</v>
      </c>
      <c r="Q9" s="1146" t="str">
        <f t="shared" ref="Q9:Q15" si="6">B9</f>
        <v>用途</v>
      </c>
      <c r="R9" s="1553" t="s">
        <v>8</v>
      </c>
      <c r="S9" s="1554">
        <f t="shared" si="0"/>
        <v>100</v>
      </c>
      <c r="T9" s="1553" t="s">
        <v>8</v>
      </c>
      <c r="U9" s="1554">
        <f t="shared" si="1"/>
        <v>100</v>
      </c>
      <c r="V9" s="1553" t="s">
        <v>8</v>
      </c>
      <c r="W9" s="1554">
        <f t="shared" si="2"/>
        <v>100</v>
      </c>
      <c r="X9" s="1555"/>
      <c r="Y9" s="4012"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55"/>
      <c r="Q11" s="1146" t="str">
        <f t="shared" si="6"/>
        <v>容积率</v>
      </c>
      <c r="R11" s="1553" t="s">
        <v>8</v>
      </c>
      <c r="S11" s="1554" t="e">
        <f t="shared" si="0"/>
        <v>#N/A</v>
      </c>
      <c r="T11" s="1553" t="s">
        <v>8</v>
      </c>
      <c r="U11" s="1554" t="e">
        <f t="shared" si="1"/>
        <v>#N/A</v>
      </c>
      <c r="V11" s="1553" t="s">
        <v>8</v>
      </c>
      <c r="W11" s="1554" t="e">
        <f t="shared" si="2"/>
        <v>#N/A</v>
      </c>
      <c r="X11" s="1555"/>
      <c r="Y11" s="4012"/>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55"/>
      <c r="Q12" s="1146">
        <f t="shared" si="6"/>
        <v>111</v>
      </c>
      <c r="R12" s="1553" t="s">
        <v>8</v>
      </c>
      <c r="S12" s="1554">
        <f t="shared" si="0"/>
        <v>100</v>
      </c>
      <c r="T12" s="1553" t="s">
        <v>8</v>
      </c>
      <c r="U12" s="1554">
        <f t="shared" si="1"/>
        <v>100</v>
      </c>
      <c r="V12" s="1553" t="s">
        <v>8</v>
      </c>
      <c r="W12" s="1554">
        <f t="shared" si="2"/>
        <v>100</v>
      </c>
      <c r="X12" s="1555"/>
      <c r="Y12" s="4012"/>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55"/>
      <c r="Q13" s="1146">
        <f t="shared" si="6"/>
        <v>111</v>
      </c>
      <c r="R13" s="1553" t="s">
        <v>8</v>
      </c>
      <c r="S13" s="1554">
        <f t="shared" si="0"/>
        <v>100</v>
      </c>
      <c r="T13" s="1553" t="s">
        <v>8</v>
      </c>
      <c r="U13" s="1554">
        <f t="shared" si="1"/>
        <v>100</v>
      </c>
      <c r="V13" s="1553" t="s">
        <v>8</v>
      </c>
      <c r="W13" s="1554">
        <f t="shared" si="2"/>
        <v>100</v>
      </c>
      <c r="X13" s="1555"/>
      <c r="Y13" s="4012"/>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55"/>
      <c r="Q14" s="1146">
        <f t="shared" si="6"/>
        <v>111</v>
      </c>
      <c r="R14" s="1553" t="s">
        <v>8</v>
      </c>
      <c r="S14" s="1554">
        <f t="shared" si="0"/>
        <v>100</v>
      </c>
      <c r="T14" s="1553" t="s">
        <v>8</v>
      </c>
      <c r="U14" s="1554">
        <f t="shared" si="1"/>
        <v>100</v>
      </c>
      <c r="V14" s="1553" t="s">
        <v>8</v>
      </c>
      <c r="W14" s="1554">
        <f t="shared" si="2"/>
        <v>100</v>
      </c>
      <c r="X14" s="1555"/>
      <c r="Y14" s="4012"/>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57" t="s">
        <v>540</v>
      </c>
      <c r="Q15" s="1557" t="str">
        <f t="shared" si="6"/>
        <v>办公集聚程度</v>
      </c>
      <c r="R15" s="1558" t="s">
        <v>8</v>
      </c>
      <c r="S15" s="1559">
        <f t="shared" si="0"/>
        <v>100</v>
      </c>
      <c r="T15" s="1558" t="s">
        <v>8</v>
      </c>
      <c r="U15" s="1559">
        <f t="shared" si="1"/>
        <v>100</v>
      </c>
      <c r="V15" s="1558" t="s">
        <v>8</v>
      </c>
      <c r="W15" s="1559">
        <f t="shared" si="2"/>
        <v>100</v>
      </c>
      <c r="X15" s="1552"/>
      <c r="Y15" s="4057"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58"/>
      <c r="Q16" s="1557"/>
      <c r="R16" s="1558"/>
      <c r="S16" s="1559"/>
      <c r="T16" s="1558"/>
      <c r="U16" s="1559"/>
      <c r="V16" s="1558"/>
      <c r="W16" s="1559"/>
      <c r="X16" s="1552"/>
      <c r="Y16" s="4058"/>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58"/>
      <c r="Q17" s="1557" t="str">
        <f>B17</f>
        <v>交通便捷度</v>
      </c>
      <c r="R17" s="1558" t="s">
        <v>8</v>
      </c>
      <c r="S17" s="1559">
        <f>F17</f>
        <v>100</v>
      </c>
      <c r="T17" s="1558" t="s">
        <v>8</v>
      </c>
      <c r="U17" s="1559">
        <f>H17</f>
        <v>100</v>
      </c>
      <c r="V17" s="1558" t="s">
        <v>8</v>
      </c>
      <c r="W17" s="1559">
        <f>J17</f>
        <v>100</v>
      </c>
      <c r="X17" s="1552"/>
      <c r="Y17" s="4058"/>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58"/>
      <c r="Q18" s="1557"/>
      <c r="R18" s="1558"/>
      <c r="S18" s="1559"/>
      <c r="T18" s="1558"/>
      <c r="U18" s="1559"/>
      <c r="V18" s="1558"/>
      <c r="W18" s="1559"/>
      <c r="X18" s="1552"/>
      <c r="Y18" s="4058"/>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58"/>
      <c r="Q19" s="1557" t="str">
        <f>B19</f>
        <v>公共配套设施</v>
      </c>
      <c r="R19" s="1558" t="s">
        <v>8</v>
      </c>
      <c r="S19" s="1559">
        <f>F19</f>
        <v>100</v>
      </c>
      <c r="T19" s="1558" t="s">
        <v>8</v>
      </c>
      <c r="U19" s="1559">
        <f>H19</f>
        <v>100</v>
      </c>
      <c r="V19" s="1558" t="s">
        <v>8</v>
      </c>
      <c r="W19" s="1559">
        <f>J19</f>
        <v>100</v>
      </c>
      <c r="X19" s="1552"/>
      <c r="Y19" s="4058"/>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58"/>
      <c r="Q20" s="1557"/>
      <c r="R20" s="1558"/>
      <c r="S20" s="1559"/>
      <c r="T20" s="1558"/>
      <c r="U20" s="1559"/>
      <c r="V20" s="1558"/>
      <c r="W20" s="1559"/>
      <c r="X20" s="1552"/>
      <c r="Y20" s="4058"/>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58"/>
      <c r="Q21" s="2542" t="str">
        <f>B21</f>
        <v>基础设施水平</v>
      </c>
      <c r="R21" s="1558" t="s">
        <v>8</v>
      </c>
      <c r="S21" s="1559">
        <f>F21</f>
        <v>100</v>
      </c>
      <c r="T21" s="1558" t="s">
        <v>8</v>
      </c>
      <c r="U21" s="1559">
        <f>H21</f>
        <v>100</v>
      </c>
      <c r="V21" s="1558" t="s">
        <v>8</v>
      </c>
      <c r="W21" s="1559">
        <f>J21</f>
        <v>100</v>
      </c>
      <c r="X21" s="2544"/>
      <c r="Y21" s="4058"/>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58"/>
      <c r="Q22" s="2542"/>
      <c r="R22" s="1558"/>
      <c r="S22" s="1559"/>
      <c r="T22" s="1558"/>
      <c r="U22" s="1559"/>
      <c r="V22" s="1558"/>
      <c r="W22" s="1559"/>
      <c r="X22" s="2544"/>
      <c r="Y22" s="4058"/>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58"/>
      <c r="Q23" s="1557" t="str">
        <f>B23</f>
        <v>环境质量</v>
      </c>
      <c r="R23" s="1558" t="s">
        <v>8</v>
      </c>
      <c r="S23" s="1559">
        <f>F23</f>
        <v>100</v>
      </c>
      <c r="T23" s="1558" t="s">
        <v>8</v>
      </c>
      <c r="U23" s="1559">
        <f>H23</f>
        <v>100</v>
      </c>
      <c r="V23" s="1558" t="s">
        <v>8</v>
      </c>
      <c r="W23" s="1559">
        <f>J23</f>
        <v>100</v>
      </c>
      <c r="X23" s="1552"/>
      <c r="Y23" s="4058"/>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58"/>
      <c r="Q24" s="1557"/>
      <c r="R24" s="1558"/>
      <c r="S24" s="1559"/>
      <c r="T24" s="1558"/>
      <c r="U24" s="1559"/>
      <c r="V24" s="1558"/>
      <c r="W24" s="1559"/>
      <c r="X24" s="1552"/>
      <c r="Y24" s="4058"/>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58"/>
      <c r="Q25" s="1557" t="str">
        <f>B25</f>
        <v>毗邻道路的类型与等级</v>
      </c>
      <c r="R25" s="1558" t="s">
        <v>8</v>
      </c>
      <c r="S25" s="1559">
        <f>F25</f>
        <v>100</v>
      </c>
      <c r="T25" s="1558" t="s">
        <v>8</v>
      </c>
      <c r="U25" s="1559">
        <f>H25</f>
        <v>100</v>
      </c>
      <c r="V25" s="1558" t="s">
        <v>8</v>
      </c>
      <c r="W25" s="1559">
        <f>J25</f>
        <v>100</v>
      </c>
      <c r="X25" s="1552"/>
      <c r="Y25" s="4058"/>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58"/>
      <c r="Q26" s="1557"/>
      <c r="R26" s="1558"/>
      <c r="S26" s="1559"/>
      <c r="T26" s="1558"/>
      <c r="U26" s="1559"/>
      <c r="V26" s="1558"/>
      <c r="W26" s="1559"/>
      <c r="X26" s="1552"/>
      <c r="Y26" s="4058"/>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58"/>
      <c r="Q27" s="1557" t="str">
        <f t="shared" ref="Q27:Q47" si="11">B27</f>
        <v>楼层</v>
      </c>
      <c r="R27" s="1558" t="s">
        <v>8</v>
      </c>
      <c r="S27" s="1559">
        <f>F27</f>
        <v>100</v>
      </c>
      <c r="T27" s="1558" t="s">
        <v>8</v>
      </c>
      <c r="U27" s="1559">
        <f>H27</f>
        <v>100</v>
      </c>
      <c r="V27" s="1558" t="s">
        <v>8</v>
      </c>
      <c r="W27" s="1559">
        <f>J27</f>
        <v>100</v>
      </c>
      <c r="X27" s="1552"/>
      <c r="Y27" s="4058"/>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58"/>
      <c r="Q28" s="1146" t="str">
        <f t="shared" si="11"/>
        <v>朝向</v>
      </c>
      <c r="R28" s="1553" t="s">
        <v>8</v>
      </c>
      <c r="S28" s="1554">
        <f>F28</f>
        <v>100</v>
      </c>
      <c r="T28" s="1553" t="s">
        <v>8</v>
      </c>
      <c r="U28" s="1554">
        <f>H28</f>
        <v>100</v>
      </c>
      <c r="V28" s="1553" t="s">
        <v>8</v>
      </c>
      <c r="W28" s="1554">
        <f>J28</f>
        <v>100</v>
      </c>
      <c r="X28" s="1555"/>
      <c r="Y28" s="4058"/>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58"/>
      <c r="Q29" s="1557">
        <f t="shared" si="11"/>
        <v>111</v>
      </c>
      <c r="R29" s="1558" t="s">
        <v>8</v>
      </c>
      <c r="S29" s="1559">
        <f t="shared" ref="S29:S47" si="12">F29</f>
        <v>100</v>
      </c>
      <c r="T29" s="1558" t="s">
        <v>8</v>
      </c>
      <c r="U29" s="1559">
        <f t="shared" ref="U29:U47" si="13">H29</f>
        <v>100</v>
      </c>
      <c r="V29" s="1558" t="s">
        <v>8</v>
      </c>
      <c r="W29" s="1559">
        <f t="shared" ref="W29:W47" si="14">J29</f>
        <v>100</v>
      </c>
      <c r="X29" s="1552"/>
      <c r="Y29" s="4058"/>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58"/>
      <c r="Q30" s="1557">
        <f t="shared" si="11"/>
        <v>111</v>
      </c>
      <c r="R30" s="1558" t="s">
        <v>8</v>
      </c>
      <c r="S30" s="1559">
        <f t="shared" si="12"/>
        <v>100</v>
      </c>
      <c r="T30" s="1558" t="s">
        <v>8</v>
      </c>
      <c r="U30" s="1559">
        <f t="shared" si="13"/>
        <v>100</v>
      </c>
      <c r="V30" s="1558" t="s">
        <v>8</v>
      </c>
      <c r="W30" s="1559">
        <f t="shared" si="14"/>
        <v>100</v>
      </c>
      <c r="X30" s="1552"/>
      <c r="Y30" s="4058"/>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58"/>
      <c r="Q31" s="1557">
        <f t="shared" si="11"/>
        <v>111</v>
      </c>
      <c r="R31" s="1558" t="s">
        <v>8</v>
      </c>
      <c r="S31" s="1559">
        <f t="shared" si="12"/>
        <v>100</v>
      </c>
      <c r="T31" s="1558" t="s">
        <v>8</v>
      </c>
      <c r="U31" s="1559">
        <f t="shared" si="13"/>
        <v>100</v>
      </c>
      <c r="V31" s="1558" t="s">
        <v>8</v>
      </c>
      <c r="W31" s="1559">
        <f t="shared" si="14"/>
        <v>100</v>
      </c>
      <c r="X31" s="1552"/>
      <c r="Y31" s="4058"/>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58"/>
      <c r="Q32" s="1557">
        <f t="shared" si="11"/>
        <v>111</v>
      </c>
      <c r="R32" s="1558" t="s">
        <v>8</v>
      </c>
      <c r="S32" s="1559">
        <f t="shared" si="12"/>
        <v>100</v>
      </c>
      <c r="T32" s="1558" t="s">
        <v>8</v>
      </c>
      <c r="U32" s="1559">
        <f t="shared" si="13"/>
        <v>100</v>
      </c>
      <c r="V32" s="1558" t="s">
        <v>8</v>
      </c>
      <c r="W32" s="1559">
        <f t="shared" si="14"/>
        <v>100</v>
      </c>
      <c r="X32" s="1552"/>
      <c r="Y32" s="4058"/>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59" t="s">
        <v>550</v>
      </c>
      <c r="Q33" s="1557" t="str">
        <f t="shared" si="11"/>
        <v>建筑类型</v>
      </c>
      <c r="R33" s="1558" t="s">
        <v>8</v>
      </c>
      <c r="S33" s="1559">
        <f t="shared" si="12"/>
        <v>100</v>
      </c>
      <c r="T33" s="1558" t="s">
        <v>8</v>
      </c>
      <c r="U33" s="1559">
        <f t="shared" si="13"/>
        <v>100</v>
      </c>
      <c r="V33" s="1558" t="s">
        <v>8</v>
      </c>
      <c r="W33" s="1559">
        <f t="shared" si="14"/>
        <v>100</v>
      </c>
      <c r="X33" s="1552"/>
      <c r="Y33" s="4060"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60"/>
      <c r="Q34" s="1589" t="str">
        <f t="shared" si="11"/>
        <v>项目建筑规模</v>
      </c>
      <c r="R34" s="1562" t="s">
        <v>8</v>
      </c>
      <c r="S34" s="1563" t="e">
        <f t="shared" si="12"/>
        <v>#N/A</v>
      </c>
      <c r="T34" s="1562" t="s">
        <v>8</v>
      </c>
      <c r="U34" s="1563" t="e">
        <f t="shared" si="13"/>
        <v>#N/A</v>
      </c>
      <c r="V34" s="1562" t="s">
        <v>8</v>
      </c>
      <c r="W34" s="1563" t="e">
        <f t="shared" si="14"/>
        <v>#N/A</v>
      </c>
      <c r="X34" s="1564"/>
      <c r="Y34" s="4060"/>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60"/>
      <c r="Q35" s="1557" t="str">
        <f t="shared" si="11"/>
        <v>建筑结构</v>
      </c>
      <c r="R35" s="1558" t="s">
        <v>8</v>
      </c>
      <c r="S35" s="1559">
        <f t="shared" si="12"/>
        <v>100</v>
      </c>
      <c r="T35" s="1558" t="s">
        <v>8</v>
      </c>
      <c r="U35" s="1559">
        <f t="shared" si="13"/>
        <v>100</v>
      </c>
      <c r="V35" s="1558" t="s">
        <v>8</v>
      </c>
      <c r="W35" s="1559">
        <f t="shared" si="14"/>
        <v>100</v>
      </c>
      <c r="X35" s="1552"/>
      <c r="Y35" s="4060"/>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60"/>
      <c r="Q36" s="1557" t="str">
        <f t="shared" si="11"/>
        <v>公共部分装修</v>
      </c>
      <c r="R36" s="1558" t="s">
        <v>8</v>
      </c>
      <c r="S36" s="1559">
        <f t="shared" si="12"/>
        <v>100</v>
      </c>
      <c r="T36" s="1558" t="s">
        <v>8</v>
      </c>
      <c r="U36" s="1559">
        <f t="shared" si="13"/>
        <v>100</v>
      </c>
      <c r="V36" s="1558" t="s">
        <v>8</v>
      </c>
      <c r="W36" s="1559">
        <f t="shared" si="14"/>
        <v>100</v>
      </c>
      <c r="X36" s="1552"/>
      <c r="Y36" s="4060"/>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60"/>
      <c r="Q37" s="1557" t="str">
        <f t="shared" si="11"/>
        <v>成新度</v>
      </c>
      <c r="R37" s="1558" t="s">
        <v>8</v>
      </c>
      <c r="S37" s="1559" t="e">
        <f t="shared" si="12"/>
        <v>#N/A</v>
      </c>
      <c r="T37" s="1558" t="s">
        <v>8</v>
      </c>
      <c r="U37" s="1559" t="e">
        <f t="shared" si="13"/>
        <v>#N/A</v>
      </c>
      <c r="V37" s="1558" t="s">
        <v>8</v>
      </c>
      <c r="W37" s="1559" t="e">
        <f t="shared" si="14"/>
        <v>#N/A</v>
      </c>
      <c r="X37" s="1552"/>
      <c r="Y37" s="4060"/>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60"/>
      <c r="Q38" s="1146" t="str">
        <f t="shared" si="11"/>
        <v>写字楼等级</v>
      </c>
      <c r="R38" s="1553" t="s">
        <v>8</v>
      </c>
      <c r="S38" s="1554">
        <f t="shared" si="12"/>
        <v>100</v>
      </c>
      <c r="T38" s="1553" t="s">
        <v>8</v>
      </c>
      <c r="U38" s="1554">
        <f t="shared" si="13"/>
        <v>100</v>
      </c>
      <c r="V38" s="1553" t="s">
        <v>8</v>
      </c>
      <c r="W38" s="1554">
        <f t="shared" si="14"/>
        <v>100</v>
      </c>
      <c r="X38" s="1555"/>
      <c r="Y38" s="4060"/>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60" t="s">
        <v>550</v>
      </c>
      <c r="Q39" s="1557" t="str">
        <f t="shared" si="11"/>
        <v>物业管理</v>
      </c>
      <c r="R39" s="1558" t="s">
        <v>8</v>
      </c>
      <c r="S39" s="1559">
        <f t="shared" si="12"/>
        <v>100</v>
      </c>
      <c r="T39" s="1558" t="s">
        <v>8</v>
      </c>
      <c r="U39" s="1559">
        <f t="shared" si="13"/>
        <v>100</v>
      </c>
      <c r="V39" s="1558" t="s">
        <v>8</v>
      </c>
      <c r="W39" s="1559">
        <f t="shared" si="14"/>
        <v>100</v>
      </c>
      <c r="X39" s="1552"/>
      <c r="Y39" s="4060"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60"/>
      <c r="Q40" s="1557" t="str">
        <f t="shared" si="11"/>
        <v>市政基础设施</v>
      </c>
      <c r="R40" s="1558" t="s">
        <v>8</v>
      </c>
      <c r="S40" s="1559">
        <f t="shared" si="12"/>
        <v>100</v>
      </c>
      <c r="T40" s="1558" t="s">
        <v>8</v>
      </c>
      <c r="U40" s="1559">
        <f t="shared" si="13"/>
        <v>100</v>
      </c>
      <c r="V40" s="1558" t="s">
        <v>8</v>
      </c>
      <c r="W40" s="1559">
        <f t="shared" si="14"/>
        <v>100</v>
      </c>
      <c r="X40" s="1552"/>
      <c r="Y40" s="4060"/>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60"/>
      <c r="Q41" s="1557" t="str">
        <f t="shared" si="11"/>
        <v>层高</v>
      </c>
      <c r="R41" s="1558" t="s">
        <v>8</v>
      </c>
      <c r="S41" s="1559">
        <f t="shared" si="12"/>
        <v>100</v>
      </c>
      <c r="T41" s="1558" t="s">
        <v>8</v>
      </c>
      <c r="U41" s="1559">
        <f t="shared" si="13"/>
        <v>100</v>
      </c>
      <c r="V41" s="1558" t="s">
        <v>8</v>
      </c>
      <c r="W41" s="1559">
        <f t="shared" si="14"/>
        <v>100</v>
      </c>
      <c r="X41" s="1552"/>
      <c r="Y41" s="4060"/>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60"/>
      <c r="Q42" s="1589" t="str">
        <f t="shared" si="11"/>
        <v>单套建筑面积</v>
      </c>
      <c r="R42" s="1562" t="s">
        <v>8</v>
      </c>
      <c r="S42" s="1563">
        <f t="shared" si="12"/>
        <v>100</v>
      </c>
      <c r="T42" s="1562" t="s">
        <v>8</v>
      </c>
      <c r="U42" s="1563">
        <f t="shared" si="13"/>
        <v>100</v>
      </c>
      <c r="V42" s="1562" t="s">
        <v>8</v>
      </c>
      <c r="W42" s="1563">
        <f t="shared" si="14"/>
        <v>100</v>
      </c>
      <c r="X42" s="1564"/>
      <c r="Y42" s="4060"/>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60"/>
      <c r="Q43" s="1557" t="str">
        <f t="shared" si="11"/>
        <v>内部装修</v>
      </c>
      <c r="R43" s="1558" t="s">
        <v>8</v>
      </c>
      <c r="S43" s="1559">
        <f t="shared" si="12"/>
        <v>100</v>
      </c>
      <c r="T43" s="1558" t="s">
        <v>8</v>
      </c>
      <c r="U43" s="1559">
        <f t="shared" si="13"/>
        <v>100</v>
      </c>
      <c r="V43" s="1558" t="s">
        <v>8</v>
      </c>
      <c r="W43" s="1559">
        <f t="shared" si="14"/>
        <v>100</v>
      </c>
      <c r="X43" s="1552"/>
      <c r="Y43" s="4060"/>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60"/>
      <c r="Q44" s="1557" t="str">
        <f t="shared" si="11"/>
        <v>内部装修维护情况</v>
      </c>
      <c r="R44" s="1558" t="s">
        <v>8</v>
      </c>
      <c r="S44" s="1559">
        <f t="shared" si="12"/>
        <v>100</v>
      </c>
      <c r="T44" s="1558" t="s">
        <v>8</v>
      </c>
      <c r="U44" s="1559">
        <f t="shared" si="13"/>
        <v>100</v>
      </c>
      <c r="V44" s="1558" t="s">
        <v>8</v>
      </c>
      <c r="W44" s="1559">
        <f t="shared" si="14"/>
        <v>100</v>
      </c>
      <c r="X44" s="1552"/>
      <c r="Y44" s="4060"/>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60"/>
      <c r="Q45" s="1146">
        <f t="shared" si="11"/>
        <v>111</v>
      </c>
      <c r="R45" s="1553" t="s">
        <v>8</v>
      </c>
      <c r="S45" s="1554">
        <f t="shared" si="12"/>
        <v>100</v>
      </c>
      <c r="T45" s="1553" t="s">
        <v>8</v>
      </c>
      <c r="U45" s="1554">
        <f t="shared" si="13"/>
        <v>100</v>
      </c>
      <c r="V45" s="1553" t="s">
        <v>8</v>
      </c>
      <c r="W45" s="1554">
        <f t="shared" si="14"/>
        <v>100</v>
      </c>
      <c r="X45" s="1555"/>
      <c r="Y45" s="4060"/>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60"/>
      <c r="Q46" s="1557">
        <f t="shared" si="11"/>
        <v>111</v>
      </c>
      <c r="R46" s="1558" t="s">
        <v>8</v>
      </c>
      <c r="S46" s="1559">
        <f t="shared" si="12"/>
        <v>100</v>
      </c>
      <c r="T46" s="1558" t="s">
        <v>8</v>
      </c>
      <c r="U46" s="1559">
        <f t="shared" si="13"/>
        <v>100</v>
      </c>
      <c r="V46" s="1558" t="s">
        <v>8</v>
      </c>
      <c r="W46" s="1559">
        <f t="shared" si="14"/>
        <v>100</v>
      </c>
      <c r="X46" s="1552"/>
      <c r="Y46" s="4060"/>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39"/>
      <c r="Q47" s="1557">
        <f t="shared" si="11"/>
        <v>111</v>
      </c>
      <c r="R47" s="1558" t="s">
        <v>8</v>
      </c>
      <c r="S47" s="1559">
        <f t="shared" si="12"/>
        <v>100</v>
      </c>
      <c r="T47" s="1558" t="s">
        <v>8</v>
      </c>
      <c r="U47" s="1559">
        <f t="shared" si="13"/>
        <v>100</v>
      </c>
      <c r="V47" s="1558" t="s">
        <v>8</v>
      </c>
      <c r="W47" s="1559">
        <f t="shared" si="14"/>
        <v>100</v>
      </c>
      <c r="X47" s="1552"/>
      <c r="Y47" s="4139"/>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77" t="str">
        <f>A48</f>
        <v>成交单价（元/平方米）</v>
      </c>
      <c r="Q48" s="4055"/>
      <c r="R48" s="4138">
        <f>E48</f>
        <v>0</v>
      </c>
      <c r="S48" s="4138"/>
      <c r="T48" s="4138">
        <f>G48</f>
        <v>0</v>
      </c>
      <c r="U48" s="4138"/>
      <c r="V48" s="4138">
        <f>I48</f>
        <v>0</v>
      </c>
      <c r="W48" s="4138"/>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77" t="str">
        <f>A49</f>
        <v>比较价格（元/平方米）</v>
      </c>
      <c r="Q49" s="4055"/>
      <c r="R49" s="4138" t="e">
        <f>IF(F1="售价",ROUND(PRODUCT(R48,AA7:AA47),0),ROUND(PRODUCT(R48,AA7:AA47),1))</f>
        <v>#DIV/0!</v>
      </c>
      <c r="S49" s="4138"/>
      <c r="T49" s="4138" t="e">
        <f>IF(F1="售价",ROUND(PRODUCT(T48,AB7:AB47),0),ROUND(PRODUCT(T48,AB7:AB47),1))</f>
        <v>#DIV/0!</v>
      </c>
      <c r="U49" s="4138"/>
      <c r="V49" s="4138" t="e">
        <f>IF(F1="售价",ROUND(PRODUCT(V48,AC7:AC47),0),ROUND(PRODUCT(V48,AC7:AC47),1))</f>
        <v>#DIV/0!</v>
      </c>
      <c r="W49" s="4138"/>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66" t="str">
        <f>A50</f>
        <v>估价对象XX用房的比较价格（楼面单价，元/平方米）</v>
      </c>
      <c r="Q50" s="4077"/>
      <c r="R50" s="4137" t="e">
        <f>IF(F1="售价",ROUND(AVERAGE(R49:V49),0),ROUND(AVERAGE(R49:V49),1))</f>
        <v>#DIV/0!</v>
      </c>
      <c r="S50" s="4137"/>
      <c r="T50" s="4137"/>
      <c r="U50" s="4137"/>
      <c r="V50" s="4137"/>
      <c r="W50" s="413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61" t="s">
        <v>522</v>
      </c>
      <c r="D4" s="4062"/>
      <c r="E4" s="4085" t="s">
        <v>523</v>
      </c>
      <c r="F4" s="4086"/>
      <c r="G4" s="4061" t="s">
        <v>524</v>
      </c>
      <c r="H4" s="4062"/>
      <c r="I4" s="4061" t="s">
        <v>525</v>
      </c>
      <c r="J4" s="4062"/>
      <c r="K4" s="513" t="s">
        <v>526</v>
      </c>
      <c r="L4" s="2117"/>
      <c r="M4" s="2118"/>
      <c r="N4" s="2118"/>
      <c r="O4" s="2118"/>
      <c r="P4" s="4063" t="s">
        <v>527</v>
      </c>
      <c r="Q4" s="4064"/>
      <c r="R4" s="4049" t="s">
        <v>523</v>
      </c>
      <c r="S4" s="4050"/>
      <c r="T4" s="4049" t="s">
        <v>524</v>
      </c>
      <c r="U4" s="4050"/>
      <c r="V4" s="4069" t="s">
        <v>525</v>
      </c>
      <c r="W4" s="4069"/>
      <c r="X4" s="1552"/>
      <c r="Y4" s="4049" t="s">
        <v>527</v>
      </c>
      <c r="Z4" s="4050"/>
      <c r="AA4" s="4044" t="s">
        <v>523</v>
      </c>
      <c r="AB4" s="4045" t="s">
        <v>524</v>
      </c>
      <c r="AC4" s="4044" t="s">
        <v>525</v>
      </c>
    </row>
    <row r="5" spans="1:29" ht="15">
      <c r="A5" s="514"/>
      <c r="B5" s="515"/>
      <c r="C5" s="4072" t="s">
        <v>2926</v>
      </c>
      <c r="D5" s="4073"/>
      <c r="E5" s="4087" t="s">
        <v>2927</v>
      </c>
      <c r="F5" s="4088"/>
      <c r="G5" s="4072" t="s">
        <v>2928</v>
      </c>
      <c r="H5" s="4073"/>
      <c r="I5" s="4072" t="s">
        <v>2929</v>
      </c>
      <c r="J5" s="4073"/>
      <c r="K5" s="513"/>
      <c r="L5" s="2117"/>
      <c r="M5" s="2118"/>
      <c r="N5" s="2118"/>
      <c r="O5" s="2118"/>
      <c r="P5" s="4065"/>
      <c r="Q5" s="4066"/>
      <c r="R5" s="4051"/>
      <c r="S5" s="4052"/>
      <c r="T5" s="4051"/>
      <c r="U5" s="4052"/>
      <c r="V5" s="4069"/>
      <c r="W5" s="4069"/>
      <c r="X5" s="1552"/>
      <c r="Y5" s="4051"/>
      <c r="Z5" s="4052"/>
      <c r="AA5" s="4045"/>
      <c r="AB5" s="4045"/>
      <c r="AC5" s="4045"/>
    </row>
    <row r="6" spans="1:29" ht="15.75" thickBot="1">
      <c r="A6" s="516"/>
      <c r="B6" s="517"/>
      <c r="C6" s="4070" t="s">
        <v>2930</v>
      </c>
      <c r="D6" s="4071"/>
      <c r="E6" s="4089" t="s">
        <v>2930</v>
      </c>
      <c r="F6" s="4090"/>
      <c r="G6" s="4070" t="s">
        <v>2930</v>
      </c>
      <c r="H6" s="4071"/>
      <c r="I6" s="4070" t="s">
        <v>2930</v>
      </c>
      <c r="J6" s="4071"/>
      <c r="K6" s="513" t="s">
        <v>528</v>
      </c>
      <c r="L6" s="2117"/>
      <c r="M6" s="2118"/>
      <c r="N6" s="2118"/>
      <c r="O6" s="2118"/>
      <c r="P6" s="4067"/>
      <c r="Q6" s="4068"/>
      <c r="R6" s="4051"/>
      <c r="S6" s="4052"/>
      <c r="T6" s="4053"/>
      <c r="U6" s="4054"/>
      <c r="V6" s="4069"/>
      <c r="W6" s="4069"/>
      <c r="X6" s="1552"/>
      <c r="Y6" s="4053"/>
      <c r="Z6" s="4054"/>
      <c r="AA6" s="4046"/>
      <c r="AB6" s="4046"/>
      <c r="AC6" s="4046"/>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47" t="s">
        <v>530</v>
      </c>
      <c r="Q7" s="4056"/>
      <c r="R7" s="1553" t="s">
        <v>8</v>
      </c>
      <c r="S7" s="1554">
        <f t="shared" ref="S7:S15" si="0">F7</f>
        <v>0</v>
      </c>
      <c r="T7" s="1553" t="s">
        <v>8</v>
      </c>
      <c r="U7" s="1554">
        <f t="shared" ref="U7:U15" si="1">H7</f>
        <v>0</v>
      </c>
      <c r="V7" s="1553" t="s">
        <v>8</v>
      </c>
      <c r="W7" s="1554">
        <f t="shared" ref="W7:W15" si="2">J7</f>
        <v>0</v>
      </c>
      <c r="X7" s="1555"/>
      <c r="Y7" s="4047" t="s">
        <v>530</v>
      </c>
      <c r="Z7" s="4048"/>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47" t="s">
        <v>533</v>
      </c>
      <c r="Q8" s="4048"/>
      <c r="R8" s="1553" t="s">
        <v>8</v>
      </c>
      <c r="S8" s="1554">
        <f t="shared" si="0"/>
        <v>0</v>
      </c>
      <c r="T8" s="1553" t="s">
        <v>8</v>
      </c>
      <c r="U8" s="1554">
        <f t="shared" si="1"/>
        <v>0</v>
      </c>
      <c r="V8" s="1553" t="s">
        <v>8</v>
      </c>
      <c r="W8" s="1554">
        <f t="shared" si="2"/>
        <v>0</v>
      </c>
      <c r="X8" s="1555"/>
      <c r="Y8" s="4047" t="s">
        <v>533</v>
      </c>
      <c r="Z8" s="4048"/>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55" t="s">
        <v>535</v>
      </c>
      <c r="Q9" s="1146" t="str">
        <f t="shared" ref="Q9:Q15" si="6">B9</f>
        <v>用途</v>
      </c>
      <c r="R9" s="1553" t="s">
        <v>8</v>
      </c>
      <c r="S9" s="1554">
        <f t="shared" si="0"/>
        <v>100</v>
      </c>
      <c r="T9" s="1553" t="s">
        <v>8</v>
      </c>
      <c r="U9" s="1554">
        <f t="shared" si="1"/>
        <v>100</v>
      </c>
      <c r="V9" s="1553" t="s">
        <v>8</v>
      </c>
      <c r="W9" s="1554">
        <f t="shared" si="2"/>
        <v>100</v>
      </c>
      <c r="X9" s="1555"/>
      <c r="Y9" s="4012"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55"/>
      <c r="Q11" s="1146" t="str">
        <f t="shared" si="6"/>
        <v>容积率</v>
      </c>
      <c r="R11" s="1553" t="s">
        <v>8</v>
      </c>
      <c r="S11" s="1554" t="e">
        <f t="shared" si="0"/>
        <v>#N/A</v>
      </c>
      <c r="T11" s="1553" t="s">
        <v>8</v>
      </c>
      <c r="U11" s="1554" t="e">
        <f t="shared" si="1"/>
        <v>#N/A</v>
      </c>
      <c r="V11" s="1553" t="s">
        <v>8</v>
      </c>
      <c r="W11" s="1554" t="e">
        <f t="shared" si="2"/>
        <v>#N/A</v>
      </c>
      <c r="X11" s="1555"/>
      <c r="Y11" s="4012"/>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55"/>
      <c r="Q12" s="1146">
        <f t="shared" si="6"/>
        <v>111</v>
      </c>
      <c r="R12" s="1553" t="s">
        <v>8</v>
      </c>
      <c r="S12" s="1554">
        <f t="shared" si="0"/>
        <v>100</v>
      </c>
      <c r="T12" s="1553" t="s">
        <v>8</v>
      </c>
      <c r="U12" s="1554">
        <f t="shared" si="1"/>
        <v>100</v>
      </c>
      <c r="V12" s="1553" t="s">
        <v>8</v>
      </c>
      <c r="W12" s="1554">
        <f t="shared" si="2"/>
        <v>100</v>
      </c>
      <c r="X12" s="1555"/>
      <c r="Y12" s="4012"/>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55"/>
      <c r="Q13" s="1146">
        <f t="shared" si="6"/>
        <v>111</v>
      </c>
      <c r="R13" s="1553" t="s">
        <v>8</v>
      </c>
      <c r="S13" s="1554">
        <f t="shared" si="0"/>
        <v>100</v>
      </c>
      <c r="T13" s="1553" t="s">
        <v>8</v>
      </c>
      <c r="U13" s="1554">
        <f t="shared" si="1"/>
        <v>100</v>
      </c>
      <c r="V13" s="1553" t="s">
        <v>8</v>
      </c>
      <c r="W13" s="1554">
        <f t="shared" si="2"/>
        <v>100</v>
      </c>
      <c r="X13" s="1555"/>
      <c r="Y13" s="4012"/>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55"/>
      <c r="Q14" s="1146">
        <f t="shared" si="6"/>
        <v>111</v>
      </c>
      <c r="R14" s="1553" t="s">
        <v>8</v>
      </c>
      <c r="S14" s="1554">
        <f t="shared" si="0"/>
        <v>100</v>
      </c>
      <c r="T14" s="1553" t="s">
        <v>8</v>
      </c>
      <c r="U14" s="1554">
        <f t="shared" si="1"/>
        <v>100</v>
      </c>
      <c r="V14" s="1553" t="s">
        <v>8</v>
      </c>
      <c r="W14" s="1554">
        <f t="shared" si="2"/>
        <v>100</v>
      </c>
      <c r="X14" s="1555"/>
      <c r="Y14" s="4012"/>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57" t="s">
        <v>540</v>
      </c>
      <c r="Q15" s="1557" t="str">
        <f t="shared" si="6"/>
        <v>产业集聚程度</v>
      </c>
      <c r="R15" s="1558" t="s">
        <v>8</v>
      </c>
      <c r="S15" s="1559">
        <f t="shared" si="0"/>
        <v>100</v>
      </c>
      <c r="T15" s="1558" t="s">
        <v>8</v>
      </c>
      <c r="U15" s="1559">
        <f t="shared" si="1"/>
        <v>100</v>
      </c>
      <c r="V15" s="1558" t="s">
        <v>8</v>
      </c>
      <c r="W15" s="1559">
        <f t="shared" si="2"/>
        <v>100</v>
      </c>
      <c r="X15" s="1552"/>
      <c r="Y15" s="4057"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58"/>
      <c r="Q16" s="1557"/>
      <c r="R16" s="1558"/>
      <c r="S16" s="1559"/>
      <c r="T16" s="1558"/>
      <c r="U16" s="1559"/>
      <c r="V16" s="1558"/>
      <c r="W16" s="1559"/>
      <c r="X16" s="1552"/>
      <c r="Y16" s="4058"/>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58"/>
      <c r="Q17" s="1557" t="str">
        <f>B17</f>
        <v>交通便捷度</v>
      </c>
      <c r="R17" s="1558" t="s">
        <v>8</v>
      </c>
      <c r="S17" s="1559">
        <f>F17</f>
        <v>100</v>
      </c>
      <c r="T17" s="1558" t="s">
        <v>8</v>
      </c>
      <c r="U17" s="1559">
        <f>H17</f>
        <v>100</v>
      </c>
      <c r="V17" s="1558" t="s">
        <v>8</v>
      </c>
      <c r="W17" s="1559">
        <f>J17</f>
        <v>100</v>
      </c>
      <c r="X17" s="1552"/>
      <c r="Y17" s="405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58"/>
      <c r="Q18" s="1557"/>
      <c r="R18" s="1558"/>
      <c r="S18" s="1559"/>
      <c r="T18" s="1558"/>
      <c r="U18" s="1559"/>
      <c r="V18" s="1558"/>
      <c r="W18" s="1559"/>
      <c r="X18" s="1552"/>
      <c r="Y18" s="4058"/>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58"/>
      <c r="Q19" s="1557" t="str">
        <f>B19</f>
        <v>公共配套设施</v>
      </c>
      <c r="R19" s="1558" t="s">
        <v>8</v>
      </c>
      <c r="S19" s="1559">
        <f>F19</f>
        <v>100</v>
      </c>
      <c r="T19" s="1558" t="s">
        <v>8</v>
      </c>
      <c r="U19" s="1559">
        <f>H19</f>
        <v>100</v>
      </c>
      <c r="V19" s="1558" t="s">
        <v>8</v>
      </c>
      <c r="W19" s="1559">
        <f>J19</f>
        <v>100</v>
      </c>
      <c r="X19" s="1552"/>
      <c r="Y19" s="4058"/>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58"/>
      <c r="Q20" s="1557"/>
      <c r="R20" s="1558"/>
      <c r="S20" s="1559"/>
      <c r="T20" s="1558"/>
      <c r="U20" s="1559"/>
      <c r="V20" s="1558"/>
      <c r="W20" s="1559"/>
      <c r="X20" s="1552"/>
      <c r="Y20" s="4058"/>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58"/>
      <c r="Q21" s="2542" t="str">
        <f>B21</f>
        <v>基础设施水平</v>
      </c>
      <c r="R21" s="1558" t="s">
        <v>8</v>
      </c>
      <c r="S21" s="1559">
        <f>F21</f>
        <v>100</v>
      </c>
      <c r="T21" s="1558" t="s">
        <v>8</v>
      </c>
      <c r="U21" s="1559">
        <f>H21</f>
        <v>100</v>
      </c>
      <c r="V21" s="1558" t="s">
        <v>8</v>
      </c>
      <c r="W21" s="1559">
        <f>J21</f>
        <v>100</v>
      </c>
      <c r="X21" s="2544"/>
      <c r="Y21" s="4058"/>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58"/>
      <c r="Q22" s="2542"/>
      <c r="R22" s="1558"/>
      <c r="S22" s="1559"/>
      <c r="T22" s="1558"/>
      <c r="U22" s="1559"/>
      <c r="V22" s="1558"/>
      <c r="W22" s="1559"/>
      <c r="X22" s="2544"/>
      <c r="Y22" s="4058"/>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58"/>
      <c r="Q23" s="1557" t="str">
        <f>B23</f>
        <v>环境质量</v>
      </c>
      <c r="R23" s="1558" t="s">
        <v>8</v>
      </c>
      <c r="S23" s="1559">
        <f>F23</f>
        <v>100</v>
      </c>
      <c r="T23" s="1558" t="s">
        <v>8</v>
      </c>
      <c r="U23" s="1559">
        <f>H23</f>
        <v>100</v>
      </c>
      <c r="V23" s="1558" t="s">
        <v>8</v>
      </c>
      <c r="W23" s="1559">
        <f>J23</f>
        <v>100</v>
      </c>
      <c r="X23" s="1552"/>
      <c r="Y23" s="4058"/>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58"/>
      <c r="Q24" s="1557"/>
      <c r="R24" s="1558"/>
      <c r="S24" s="1559"/>
      <c r="T24" s="1558"/>
      <c r="U24" s="1559"/>
      <c r="V24" s="1558"/>
      <c r="W24" s="1559"/>
      <c r="X24" s="1552"/>
      <c r="Y24" s="4058"/>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58"/>
      <c r="Q25" s="1557">
        <f>B25</f>
        <v>111</v>
      </c>
      <c r="R25" s="1558" t="s">
        <v>8</v>
      </c>
      <c r="S25" s="1559">
        <f>F25</f>
        <v>100</v>
      </c>
      <c r="T25" s="1558" t="s">
        <v>8</v>
      </c>
      <c r="U25" s="1559">
        <f>H25</f>
        <v>100</v>
      </c>
      <c r="V25" s="1558" t="s">
        <v>8</v>
      </c>
      <c r="W25" s="1559">
        <f>J25</f>
        <v>100</v>
      </c>
      <c r="X25" s="1552"/>
      <c r="Y25" s="4058"/>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58"/>
      <c r="Q26" s="1557">
        <f t="shared" ref="Q26:Q40" si="11">B26</f>
        <v>111</v>
      </c>
      <c r="R26" s="1558" t="s">
        <v>8</v>
      </c>
      <c r="S26" s="1559">
        <f>F26</f>
        <v>100</v>
      </c>
      <c r="T26" s="1558" t="s">
        <v>8</v>
      </c>
      <c r="U26" s="1559">
        <f>H26</f>
        <v>100</v>
      </c>
      <c r="V26" s="1558" t="s">
        <v>8</v>
      </c>
      <c r="W26" s="1559">
        <f>J26</f>
        <v>100</v>
      </c>
      <c r="X26" s="1552"/>
      <c r="Y26" s="4058"/>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58"/>
      <c r="Q27" s="1146">
        <f t="shared" si="11"/>
        <v>111</v>
      </c>
      <c r="R27" s="1553" t="s">
        <v>8</v>
      </c>
      <c r="S27" s="1554">
        <f>F27</f>
        <v>100</v>
      </c>
      <c r="T27" s="1553" t="s">
        <v>8</v>
      </c>
      <c r="U27" s="1554">
        <f>H27</f>
        <v>100</v>
      </c>
      <c r="V27" s="1553" t="s">
        <v>8</v>
      </c>
      <c r="W27" s="1554">
        <f>J27</f>
        <v>100</v>
      </c>
      <c r="X27" s="1555"/>
      <c r="Y27" s="4058"/>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58"/>
      <c r="Q28" s="1557">
        <f t="shared" si="11"/>
        <v>111</v>
      </c>
      <c r="R28" s="1558" t="s">
        <v>8</v>
      </c>
      <c r="S28" s="1559">
        <f t="shared" ref="S28:S40" si="12">F28</f>
        <v>100</v>
      </c>
      <c r="T28" s="1558" t="s">
        <v>8</v>
      </c>
      <c r="U28" s="1559">
        <f t="shared" ref="U28:U40" si="13">H28</f>
        <v>100</v>
      </c>
      <c r="V28" s="1558" t="s">
        <v>8</v>
      </c>
      <c r="W28" s="1559">
        <f t="shared" ref="W28:W40" si="14">J28</f>
        <v>100</v>
      </c>
      <c r="X28" s="1552"/>
      <c r="Y28" s="4058"/>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59" t="s">
        <v>550</v>
      </c>
      <c r="Q29" s="1557" t="str">
        <f t="shared" si="11"/>
        <v>建筑类型</v>
      </c>
      <c r="R29" s="1558" t="s">
        <v>8</v>
      </c>
      <c r="S29" s="1559">
        <f t="shared" si="12"/>
        <v>100</v>
      </c>
      <c r="T29" s="1558" t="s">
        <v>8</v>
      </c>
      <c r="U29" s="1559">
        <f t="shared" si="13"/>
        <v>100</v>
      </c>
      <c r="V29" s="1558" t="s">
        <v>8</v>
      </c>
      <c r="W29" s="1559">
        <f t="shared" si="14"/>
        <v>100</v>
      </c>
      <c r="X29" s="1552"/>
      <c r="Y29" s="4060"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60"/>
      <c r="Q30" s="1589" t="str">
        <f t="shared" si="11"/>
        <v>项目建筑规模</v>
      </c>
      <c r="R30" s="1562" t="s">
        <v>8</v>
      </c>
      <c r="S30" s="1563" t="e">
        <f t="shared" si="12"/>
        <v>#N/A</v>
      </c>
      <c r="T30" s="1562" t="s">
        <v>8</v>
      </c>
      <c r="U30" s="1563" t="e">
        <f t="shared" si="13"/>
        <v>#N/A</v>
      </c>
      <c r="V30" s="1562" t="s">
        <v>8</v>
      </c>
      <c r="W30" s="1563" t="e">
        <f t="shared" si="14"/>
        <v>#N/A</v>
      </c>
      <c r="X30" s="1564"/>
      <c r="Y30" s="4060"/>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60"/>
      <c r="Q31" s="1557" t="str">
        <f t="shared" si="11"/>
        <v>建筑结构</v>
      </c>
      <c r="R31" s="1558" t="s">
        <v>8</v>
      </c>
      <c r="S31" s="1559">
        <f t="shared" si="12"/>
        <v>100</v>
      </c>
      <c r="T31" s="1558" t="s">
        <v>8</v>
      </c>
      <c r="U31" s="1559">
        <f t="shared" si="13"/>
        <v>100</v>
      </c>
      <c r="V31" s="1558" t="s">
        <v>8</v>
      </c>
      <c r="W31" s="1559">
        <f t="shared" si="14"/>
        <v>100</v>
      </c>
      <c r="X31" s="1552"/>
      <c r="Y31" s="4060"/>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60"/>
      <c r="Q32" s="1557" t="str">
        <f t="shared" si="11"/>
        <v>公共部分装修</v>
      </c>
      <c r="R32" s="1558" t="s">
        <v>8</v>
      </c>
      <c r="S32" s="1559">
        <f t="shared" si="12"/>
        <v>100</v>
      </c>
      <c r="T32" s="1558" t="s">
        <v>8</v>
      </c>
      <c r="U32" s="1559">
        <f t="shared" si="13"/>
        <v>100</v>
      </c>
      <c r="V32" s="1558" t="s">
        <v>8</v>
      </c>
      <c r="W32" s="1559">
        <f t="shared" si="14"/>
        <v>100</v>
      </c>
      <c r="X32" s="1552"/>
      <c r="Y32" s="4060"/>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60"/>
      <c r="Q33" s="1557" t="str">
        <f t="shared" si="11"/>
        <v>成新度</v>
      </c>
      <c r="R33" s="1558" t="s">
        <v>8</v>
      </c>
      <c r="S33" s="1559" t="e">
        <f t="shared" si="12"/>
        <v>#N/A</v>
      </c>
      <c r="T33" s="1558" t="s">
        <v>8</v>
      </c>
      <c r="U33" s="1559" t="e">
        <f t="shared" si="13"/>
        <v>#N/A</v>
      </c>
      <c r="V33" s="1558" t="s">
        <v>8</v>
      </c>
      <c r="W33" s="1559" t="e">
        <f t="shared" si="14"/>
        <v>#N/A</v>
      </c>
      <c r="X33" s="1552"/>
      <c r="Y33" s="4060"/>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60"/>
      <c r="Q34" s="1146" t="str">
        <f t="shared" si="11"/>
        <v>物业管理</v>
      </c>
      <c r="R34" s="1553" t="s">
        <v>8</v>
      </c>
      <c r="S34" s="1554">
        <f t="shared" si="12"/>
        <v>100</v>
      </c>
      <c r="T34" s="1553" t="s">
        <v>8</v>
      </c>
      <c r="U34" s="1554">
        <f t="shared" si="13"/>
        <v>100</v>
      </c>
      <c r="V34" s="1553" t="s">
        <v>8</v>
      </c>
      <c r="W34" s="1554">
        <f t="shared" si="14"/>
        <v>100</v>
      </c>
      <c r="X34" s="1555"/>
      <c r="Y34" s="4060"/>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60" t="s">
        <v>550</v>
      </c>
      <c r="Q35" s="1557" t="str">
        <f t="shared" si="11"/>
        <v>市政基础设施</v>
      </c>
      <c r="R35" s="1558" t="s">
        <v>8</v>
      </c>
      <c r="S35" s="1559">
        <f t="shared" si="12"/>
        <v>100</v>
      </c>
      <c r="T35" s="1558" t="s">
        <v>8</v>
      </c>
      <c r="U35" s="1559">
        <f t="shared" si="13"/>
        <v>100</v>
      </c>
      <c r="V35" s="1558" t="s">
        <v>8</v>
      </c>
      <c r="W35" s="1559">
        <f t="shared" si="14"/>
        <v>100</v>
      </c>
      <c r="X35" s="1552"/>
      <c r="Y35" s="4060"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60"/>
      <c r="Q36" s="1557" t="str">
        <f t="shared" si="11"/>
        <v>内部装修</v>
      </c>
      <c r="R36" s="1558" t="s">
        <v>8</v>
      </c>
      <c r="S36" s="1559">
        <f t="shared" si="12"/>
        <v>100</v>
      </c>
      <c r="T36" s="1558" t="s">
        <v>8</v>
      </c>
      <c r="U36" s="1559">
        <f t="shared" si="13"/>
        <v>100</v>
      </c>
      <c r="V36" s="1558" t="s">
        <v>8</v>
      </c>
      <c r="W36" s="1559">
        <f t="shared" si="14"/>
        <v>100</v>
      </c>
      <c r="X36" s="1552"/>
      <c r="Y36" s="4060"/>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60"/>
      <c r="Q37" s="1557" t="str">
        <f t="shared" si="11"/>
        <v>内部装修状况</v>
      </c>
      <c r="R37" s="1558" t="s">
        <v>8</v>
      </c>
      <c r="S37" s="1559">
        <f t="shared" si="12"/>
        <v>100</v>
      </c>
      <c r="T37" s="1558" t="s">
        <v>8</v>
      </c>
      <c r="U37" s="1559">
        <f t="shared" si="13"/>
        <v>100</v>
      </c>
      <c r="V37" s="1558" t="s">
        <v>8</v>
      </c>
      <c r="W37" s="1559">
        <f t="shared" si="14"/>
        <v>100</v>
      </c>
      <c r="X37" s="1552"/>
      <c r="Y37" s="4060"/>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60"/>
      <c r="Q38" s="1589">
        <f t="shared" si="11"/>
        <v>111</v>
      </c>
      <c r="R38" s="1562" t="s">
        <v>8</v>
      </c>
      <c r="S38" s="1563">
        <f t="shared" si="12"/>
        <v>100</v>
      </c>
      <c r="T38" s="1562" t="s">
        <v>8</v>
      </c>
      <c r="U38" s="1563">
        <f t="shared" si="13"/>
        <v>100</v>
      </c>
      <c r="V38" s="1562" t="s">
        <v>8</v>
      </c>
      <c r="W38" s="1563">
        <f t="shared" si="14"/>
        <v>100</v>
      </c>
      <c r="X38" s="1564"/>
      <c r="Y38" s="4060"/>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60"/>
      <c r="Q39" s="1557">
        <f t="shared" si="11"/>
        <v>111</v>
      </c>
      <c r="R39" s="1558" t="s">
        <v>8</v>
      </c>
      <c r="S39" s="1559">
        <f t="shared" si="12"/>
        <v>100</v>
      </c>
      <c r="T39" s="1558" t="s">
        <v>8</v>
      </c>
      <c r="U39" s="1559">
        <f t="shared" si="13"/>
        <v>100</v>
      </c>
      <c r="V39" s="1558" t="s">
        <v>8</v>
      </c>
      <c r="W39" s="1559">
        <f t="shared" si="14"/>
        <v>100</v>
      </c>
      <c r="X39" s="1552"/>
      <c r="Y39" s="4060"/>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39"/>
      <c r="Q40" s="1557">
        <f t="shared" si="11"/>
        <v>111</v>
      </c>
      <c r="R40" s="1558" t="s">
        <v>8</v>
      </c>
      <c r="S40" s="1559">
        <f t="shared" si="12"/>
        <v>100</v>
      </c>
      <c r="T40" s="1558" t="s">
        <v>8</v>
      </c>
      <c r="U40" s="1559">
        <f t="shared" si="13"/>
        <v>100</v>
      </c>
      <c r="V40" s="1558" t="s">
        <v>8</v>
      </c>
      <c r="W40" s="1559">
        <f t="shared" si="14"/>
        <v>100</v>
      </c>
      <c r="X40" s="1552"/>
      <c r="Y40" s="4139"/>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55" t="str">
        <f>A41</f>
        <v>成交单价（元/平方米）</v>
      </c>
      <c r="Q41" s="4055"/>
      <c r="R41" s="4138">
        <f>E41</f>
        <v>0</v>
      </c>
      <c r="S41" s="4138"/>
      <c r="T41" s="4138">
        <f>G41</f>
        <v>0</v>
      </c>
      <c r="U41" s="4138"/>
      <c r="V41" s="4138">
        <f>I41</f>
        <v>0</v>
      </c>
      <c r="W41" s="4138"/>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55" t="str">
        <f>A42</f>
        <v>比较价格（元/平方米）</v>
      </c>
      <c r="Q42" s="4055"/>
      <c r="R42" s="4138" t="e">
        <f>IF(F1="售价",ROUND(PRODUCT(R41,AA7:AA40),0),ROUND(PRODUCT(R41,AA7:AA40),1))</f>
        <v>#DIV/0!</v>
      </c>
      <c r="S42" s="4138"/>
      <c r="T42" s="4138" t="e">
        <f>IF(F1="售价",ROUND(PRODUCT(T41,AB7:AB40),0),ROUND(PRODUCT(T41,AB7:AB40),1))</f>
        <v>#DIV/0!</v>
      </c>
      <c r="U42" s="4138"/>
      <c r="V42" s="4138" t="e">
        <f>IF(F1="售价",ROUND(PRODUCT(V41,AC7:AC40),0),ROUND(PRODUCT(V41,AC7:AC40),1))</f>
        <v>#DIV/0!</v>
      </c>
      <c r="W42" s="4138"/>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76" t="str">
        <f>A43</f>
        <v>估价对象XX用房的比较价格（楼面单价，元/平方米）</v>
      </c>
      <c r="Q43" s="4077"/>
      <c r="R43" s="4137" t="e">
        <f>IF(F1="售价",ROUND(AVERAGE(R42:V42),0),ROUND(AVERAGE(R42:V42),1))</f>
        <v>#DIV/0!</v>
      </c>
      <c r="S43" s="4137"/>
      <c r="T43" s="4137"/>
      <c r="U43" s="4137"/>
      <c r="V43" s="4137"/>
      <c r="W43" s="413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61" t="s">
        <v>798</v>
      </c>
      <c r="D4" s="4062"/>
      <c r="E4" s="4061" t="s">
        <v>799</v>
      </c>
      <c r="F4" s="4062"/>
      <c r="G4" s="4061" t="s">
        <v>800</v>
      </c>
      <c r="H4" s="4062"/>
      <c r="I4" s="4061" t="s">
        <v>801</v>
      </c>
      <c r="J4" s="4062"/>
      <c r="K4" s="513" t="s">
        <v>802</v>
      </c>
      <c r="L4" s="2117"/>
      <c r="M4" s="2118"/>
      <c r="N4" s="2118"/>
      <c r="O4" s="2118"/>
      <c r="P4" s="4063" t="s">
        <v>803</v>
      </c>
      <c r="Q4" s="4064"/>
      <c r="R4" s="4049" t="s">
        <v>799</v>
      </c>
      <c r="S4" s="4050"/>
      <c r="T4" s="4049" t="s">
        <v>800</v>
      </c>
      <c r="U4" s="4050"/>
      <c r="V4" s="4069" t="s">
        <v>801</v>
      </c>
      <c r="W4" s="4069"/>
      <c r="X4" s="1552"/>
      <c r="Y4" s="4049" t="s">
        <v>803</v>
      </c>
      <c r="Z4" s="4050"/>
      <c r="AA4" s="4044" t="s">
        <v>799</v>
      </c>
      <c r="AB4" s="4045" t="s">
        <v>800</v>
      </c>
      <c r="AC4" s="4044" t="s">
        <v>801</v>
      </c>
    </row>
    <row r="5" spans="1:29" ht="15">
      <c r="A5" s="514"/>
      <c r="B5" s="515"/>
      <c r="C5" s="4072" t="s">
        <v>2926</v>
      </c>
      <c r="D5" s="4073"/>
      <c r="E5" s="4072" t="s">
        <v>2927</v>
      </c>
      <c r="F5" s="4073"/>
      <c r="G5" s="4072" t="s">
        <v>2928</v>
      </c>
      <c r="H5" s="4073"/>
      <c r="I5" s="4072" t="s">
        <v>2929</v>
      </c>
      <c r="J5" s="4073"/>
      <c r="K5" s="513"/>
      <c r="L5" s="2117"/>
      <c r="M5" s="2118"/>
      <c r="N5" s="2118"/>
      <c r="O5" s="2118"/>
      <c r="P5" s="4065"/>
      <c r="Q5" s="4066"/>
      <c r="R5" s="4051"/>
      <c r="S5" s="4052"/>
      <c r="T5" s="4051"/>
      <c r="U5" s="4052"/>
      <c r="V5" s="4069"/>
      <c r="W5" s="4069"/>
      <c r="X5" s="1552"/>
      <c r="Y5" s="4051"/>
      <c r="Z5" s="4052"/>
      <c r="AA5" s="4045"/>
      <c r="AB5" s="4045"/>
      <c r="AC5" s="4045"/>
    </row>
    <row r="6" spans="1:29" ht="15.75" thickBot="1">
      <c r="A6" s="516"/>
      <c r="B6" s="517"/>
      <c r="C6" s="4070" t="s">
        <v>2930</v>
      </c>
      <c r="D6" s="4071"/>
      <c r="E6" s="4074" t="s">
        <v>2930</v>
      </c>
      <c r="F6" s="4075"/>
      <c r="G6" s="4070" t="s">
        <v>2930</v>
      </c>
      <c r="H6" s="4071"/>
      <c r="I6" s="4070" t="s">
        <v>2930</v>
      </c>
      <c r="J6" s="4071"/>
      <c r="K6" s="513" t="s">
        <v>528</v>
      </c>
      <c r="L6" s="2117"/>
      <c r="M6" s="2118"/>
      <c r="N6" s="2118"/>
      <c r="O6" s="2118"/>
      <c r="P6" s="4067"/>
      <c r="Q6" s="4068"/>
      <c r="R6" s="4051"/>
      <c r="S6" s="4052"/>
      <c r="T6" s="4053"/>
      <c r="U6" s="4054"/>
      <c r="V6" s="4069"/>
      <c r="W6" s="4069"/>
      <c r="X6" s="1552"/>
      <c r="Y6" s="4053"/>
      <c r="Z6" s="4054"/>
      <c r="AA6" s="4046"/>
      <c r="AB6" s="4046"/>
      <c r="AC6" s="4046"/>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47" t="s">
        <v>530</v>
      </c>
      <c r="Q7" s="4056"/>
      <c r="R7" s="1553" t="s">
        <v>8</v>
      </c>
      <c r="S7" s="1554">
        <f t="shared" ref="S7:S14" si="0">F7</f>
        <v>0</v>
      </c>
      <c r="T7" s="1553" t="s">
        <v>8</v>
      </c>
      <c r="U7" s="1554">
        <f t="shared" ref="U7:U14" si="1">H7</f>
        <v>0</v>
      </c>
      <c r="V7" s="1553" t="s">
        <v>8</v>
      </c>
      <c r="W7" s="1554">
        <f t="shared" ref="W7:W14" si="2">J7</f>
        <v>0</v>
      </c>
      <c r="X7" s="1555"/>
      <c r="Y7" s="4047" t="s">
        <v>530</v>
      </c>
      <c r="Z7" s="4048"/>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47" t="s">
        <v>533</v>
      </c>
      <c r="Q8" s="4048"/>
      <c r="R8" s="1553" t="s">
        <v>8</v>
      </c>
      <c r="S8" s="1554">
        <f t="shared" si="0"/>
        <v>0</v>
      </c>
      <c r="T8" s="1553" t="s">
        <v>8</v>
      </c>
      <c r="U8" s="1554">
        <f t="shared" si="1"/>
        <v>0</v>
      </c>
      <c r="V8" s="1553" t="s">
        <v>8</v>
      </c>
      <c r="W8" s="1554">
        <f t="shared" si="2"/>
        <v>0</v>
      </c>
      <c r="X8" s="1555"/>
      <c r="Y8" s="4047" t="s">
        <v>533</v>
      </c>
      <c r="Z8" s="4048"/>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55" t="s">
        <v>535</v>
      </c>
      <c r="Q9" s="1146" t="str">
        <f t="shared" ref="Q9:Q14" si="6">B9</f>
        <v>用途</v>
      </c>
      <c r="R9" s="1553" t="s">
        <v>8</v>
      </c>
      <c r="S9" s="1554">
        <f t="shared" si="0"/>
        <v>100</v>
      </c>
      <c r="T9" s="1553" t="s">
        <v>8</v>
      </c>
      <c r="U9" s="1554">
        <f t="shared" si="1"/>
        <v>100</v>
      </c>
      <c r="V9" s="1553" t="s">
        <v>8</v>
      </c>
      <c r="W9" s="1554">
        <f t="shared" si="2"/>
        <v>100</v>
      </c>
      <c r="X9" s="1555"/>
      <c r="Y9" s="4012"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55"/>
      <c r="Q11" s="1146">
        <f t="shared" si="6"/>
        <v>111</v>
      </c>
      <c r="R11" s="1553" t="s">
        <v>8</v>
      </c>
      <c r="S11" s="1554">
        <f t="shared" si="0"/>
        <v>100</v>
      </c>
      <c r="T11" s="1553" t="s">
        <v>8</v>
      </c>
      <c r="U11" s="1554">
        <f t="shared" si="1"/>
        <v>100</v>
      </c>
      <c r="V11" s="1553" t="s">
        <v>8</v>
      </c>
      <c r="W11" s="1554">
        <f t="shared" si="2"/>
        <v>100</v>
      </c>
      <c r="X11" s="1555"/>
      <c r="Y11" s="4012"/>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55"/>
      <c r="Q12" s="1146">
        <f t="shared" si="6"/>
        <v>111</v>
      </c>
      <c r="R12" s="1553" t="s">
        <v>8</v>
      </c>
      <c r="S12" s="1554">
        <f t="shared" si="0"/>
        <v>100</v>
      </c>
      <c r="T12" s="1553" t="s">
        <v>8</v>
      </c>
      <c r="U12" s="1554">
        <f t="shared" si="1"/>
        <v>100</v>
      </c>
      <c r="V12" s="1553" t="s">
        <v>8</v>
      </c>
      <c r="W12" s="1554">
        <f t="shared" si="2"/>
        <v>100</v>
      </c>
      <c r="X12" s="1555"/>
      <c r="Y12" s="4012"/>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55"/>
      <c r="Q13" s="1146">
        <f t="shared" si="6"/>
        <v>111</v>
      </c>
      <c r="R13" s="1553" t="s">
        <v>8</v>
      </c>
      <c r="S13" s="1554">
        <f t="shared" si="0"/>
        <v>100</v>
      </c>
      <c r="T13" s="1553" t="s">
        <v>8</v>
      </c>
      <c r="U13" s="1554">
        <f t="shared" si="1"/>
        <v>100</v>
      </c>
      <c r="V13" s="1553" t="s">
        <v>8</v>
      </c>
      <c r="W13" s="1554">
        <f t="shared" si="2"/>
        <v>100</v>
      </c>
      <c r="X13" s="1555"/>
      <c r="Y13" s="4012"/>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57" t="s">
        <v>540</v>
      </c>
      <c r="Q14" s="1557" t="str">
        <f t="shared" si="6"/>
        <v>交通便捷度</v>
      </c>
      <c r="R14" s="1558" t="s">
        <v>8</v>
      </c>
      <c r="S14" s="1559">
        <f t="shared" si="0"/>
        <v>100</v>
      </c>
      <c r="T14" s="1558" t="s">
        <v>8</v>
      </c>
      <c r="U14" s="1559">
        <f t="shared" si="1"/>
        <v>100</v>
      </c>
      <c r="V14" s="1558" t="s">
        <v>8</v>
      </c>
      <c r="W14" s="1559">
        <f t="shared" si="2"/>
        <v>100</v>
      </c>
      <c r="X14" s="1552"/>
      <c r="Y14" s="4057"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58"/>
      <c r="Q15" s="1557"/>
      <c r="R15" s="1558"/>
      <c r="S15" s="1559"/>
      <c r="T15" s="1558"/>
      <c r="U15" s="1559"/>
      <c r="V15" s="1558"/>
      <c r="W15" s="1559"/>
      <c r="X15" s="1552"/>
      <c r="Y15" s="4058"/>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58"/>
      <c r="Q16" s="1557" t="str">
        <f>B16</f>
        <v>公共配套设施</v>
      </c>
      <c r="R16" s="1558" t="s">
        <v>8</v>
      </c>
      <c r="S16" s="1559">
        <f>F16</f>
        <v>100</v>
      </c>
      <c r="T16" s="1558" t="s">
        <v>8</v>
      </c>
      <c r="U16" s="1559">
        <f>H16</f>
        <v>100</v>
      </c>
      <c r="V16" s="1558" t="s">
        <v>8</v>
      </c>
      <c r="W16" s="1559">
        <f>J16</f>
        <v>100</v>
      </c>
      <c r="X16" s="1552"/>
      <c r="Y16" s="4058"/>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58"/>
      <c r="Q17" s="1557"/>
      <c r="R17" s="1558"/>
      <c r="S17" s="1559"/>
      <c r="T17" s="1558"/>
      <c r="U17" s="1559"/>
      <c r="V17" s="1558"/>
      <c r="W17" s="1559"/>
      <c r="X17" s="1552"/>
      <c r="Y17" s="4058"/>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58"/>
      <c r="Q18" s="2542" t="str">
        <f>B18</f>
        <v>基础设施水平</v>
      </c>
      <c r="R18" s="1558" t="s">
        <v>8</v>
      </c>
      <c r="S18" s="1559">
        <f>F18</f>
        <v>100</v>
      </c>
      <c r="T18" s="1558" t="s">
        <v>8</v>
      </c>
      <c r="U18" s="1559">
        <f>H18</f>
        <v>100</v>
      </c>
      <c r="V18" s="1558" t="s">
        <v>8</v>
      </c>
      <c r="W18" s="1559">
        <f>J18</f>
        <v>100</v>
      </c>
      <c r="X18" s="2544"/>
      <c r="Y18" s="4058"/>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58"/>
      <c r="Q19" s="2542"/>
      <c r="R19" s="1558"/>
      <c r="S19" s="1559"/>
      <c r="T19" s="1558"/>
      <c r="U19" s="1559"/>
      <c r="V19" s="1558"/>
      <c r="W19" s="1559"/>
      <c r="X19" s="2544"/>
      <c r="Y19" s="4058"/>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58"/>
      <c r="Q20" s="1557" t="str">
        <f>B20</f>
        <v>自然及人文环境</v>
      </c>
      <c r="R20" s="1558" t="s">
        <v>8</v>
      </c>
      <c r="S20" s="1559">
        <f>F20</f>
        <v>100</v>
      </c>
      <c r="T20" s="1558" t="s">
        <v>8</v>
      </c>
      <c r="U20" s="1559">
        <f>H20</f>
        <v>100</v>
      </c>
      <c r="V20" s="1558" t="s">
        <v>8</v>
      </c>
      <c r="W20" s="1559">
        <f>J20</f>
        <v>100</v>
      </c>
      <c r="X20" s="1552"/>
      <c r="Y20" s="4058"/>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58"/>
      <c r="Q21" s="1557"/>
      <c r="R21" s="1558"/>
      <c r="S21" s="1559"/>
      <c r="T21" s="1558"/>
      <c r="U21" s="1559"/>
      <c r="V21" s="1558"/>
      <c r="W21" s="1559"/>
      <c r="X21" s="1552"/>
      <c r="Y21" s="4058"/>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58"/>
      <c r="Q22" s="1557" t="str">
        <f>B22</f>
        <v>楼层</v>
      </c>
      <c r="R22" s="1558" t="s">
        <v>8</v>
      </c>
      <c r="S22" s="1559">
        <f>F22</f>
        <v>100</v>
      </c>
      <c r="T22" s="1558" t="s">
        <v>8</v>
      </c>
      <c r="U22" s="1559">
        <f>H22</f>
        <v>100</v>
      </c>
      <c r="V22" s="1558" t="s">
        <v>8</v>
      </c>
      <c r="W22" s="1559">
        <f>J22</f>
        <v>100</v>
      </c>
      <c r="X22" s="1552"/>
      <c r="Y22" s="4058"/>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58"/>
      <c r="Q23" s="1557">
        <f>B23</f>
        <v>111</v>
      </c>
      <c r="R23" s="1558" t="s">
        <v>8</v>
      </c>
      <c r="S23" s="1559">
        <f>F23</f>
        <v>100</v>
      </c>
      <c r="T23" s="1558" t="s">
        <v>8</v>
      </c>
      <c r="U23" s="1559">
        <f>H23</f>
        <v>100</v>
      </c>
      <c r="V23" s="1558" t="s">
        <v>8</v>
      </c>
      <c r="W23" s="1559">
        <f>J23</f>
        <v>100</v>
      </c>
      <c r="X23" s="1552"/>
      <c r="Y23" s="4058"/>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58"/>
      <c r="Q24" s="1557">
        <f t="shared" ref="Q24:Q36" si="11">B24</f>
        <v>111</v>
      </c>
      <c r="R24" s="1558" t="s">
        <v>8</v>
      </c>
      <c r="S24" s="1559">
        <f>F24</f>
        <v>100</v>
      </c>
      <c r="T24" s="1558" t="s">
        <v>8</v>
      </c>
      <c r="U24" s="1559">
        <f>H24</f>
        <v>100</v>
      </c>
      <c r="V24" s="1558" t="s">
        <v>8</v>
      </c>
      <c r="W24" s="1559">
        <f>J24</f>
        <v>100</v>
      </c>
      <c r="X24" s="1552"/>
      <c r="Y24" s="4058"/>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58"/>
      <c r="Q25" s="1146">
        <f t="shared" si="11"/>
        <v>111</v>
      </c>
      <c r="R25" s="1553" t="s">
        <v>8</v>
      </c>
      <c r="S25" s="1554">
        <f>F25</f>
        <v>100</v>
      </c>
      <c r="T25" s="1553" t="s">
        <v>8</v>
      </c>
      <c r="U25" s="1554">
        <f>H25</f>
        <v>100</v>
      </c>
      <c r="V25" s="1553" t="s">
        <v>8</v>
      </c>
      <c r="W25" s="1554">
        <f>J25</f>
        <v>100</v>
      </c>
      <c r="X25" s="1555"/>
      <c r="Y25" s="4058"/>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5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60"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60"/>
      <c r="Q27" s="1589" t="str">
        <f t="shared" si="11"/>
        <v>项目停车位配比</v>
      </c>
      <c r="R27" s="1562" t="s">
        <v>8</v>
      </c>
      <c r="S27" s="1563">
        <f t="shared" si="12"/>
        <v>100</v>
      </c>
      <c r="T27" s="1562" t="s">
        <v>8</v>
      </c>
      <c r="U27" s="1563">
        <f t="shared" si="13"/>
        <v>100</v>
      </c>
      <c r="V27" s="1562" t="s">
        <v>8</v>
      </c>
      <c r="W27" s="1563">
        <f t="shared" si="14"/>
        <v>100</v>
      </c>
      <c r="X27" s="1564"/>
      <c r="Y27" s="4060"/>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60"/>
      <c r="Q28" s="1557" t="str">
        <f t="shared" si="11"/>
        <v>公共部分装修</v>
      </c>
      <c r="R28" s="1558" t="s">
        <v>8</v>
      </c>
      <c r="S28" s="1559">
        <f t="shared" si="12"/>
        <v>100</v>
      </c>
      <c r="T28" s="1558" t="s">
        <v>8</v>
      </c>
      <c r="U28" s="1559">
        <f t="shared" si="13"/>
        <v>100</v>
      </c>
      <c r="V28" s="1558" t="s">
        <v>8</v>
      </c>
      <c r="W28" s="1559">
        <f t="shared" si="14"/>
        <v>100</v>
      </c>
      <c r="X28" s="1552"/>
      <c r="Y28" s="4060"/>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60"/>
      <c r="Q29" s="1557" t="str">
        <f t="shared" si="11"/>
        <v>成新率</v>
      </c>
      <c r="R29" s="1558" t="s">
        <v>8</v>
      </c>
      <c r="S29" s="1559" t="e">
        <f t="shared" si="12"/>
        <v>#N/A</v>
      </c>
      <c r="T29" s="1558" t="s">
        <v>8</v>
      </c>
      <c r="U29" s="1559" t="e">
        <f t="shared" si="13"/>
        <v>#N/A</v>
      </c>
      <c r="V29" s="1558" t="s">
        <v>8</v>
      </c>
      <c r="W29" s="1559" t="e">
        <f t="shared" si="14"/>
        <v>#N/A</v>
      </c>
      <c r="X29" s="1552"/>
      <c r="Y29" s="4060"/>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60"/>
      <c r="Q30" s="1557" t="str">
        <f t="shared" si="11"/>
        <v>物业等级</v>
      </c>
      <c r="R30" s="1558" t="s">
        <v>8</v>
      </c>
      <c r="S30" s="1559">
        <f t="shared" si="12"/>
        <v>100</v>
      </c>
      <c r="T30" s="1558" t="s">
        <v>8</v>
      </c>
      <c r="U30" s="1559">
        <f t="shared" si="13"/>
        <v>100</v>
      </c>
      <c r="V30" s="1558" t="s">
        <v>8</v>
      </c>
      <c r="W30" s="1559">
        <f t="shared" si="14"/>
        <v>100</v>
      </c>
      <c r="X30" s="1552"/>
      <c r="Y30" s="4060"/>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60"/>
      <c r="Q31" s="1146" t="str">
        <f t="shared" si="11"/>
        <v>停车位面积</v>
      </c>
      <c r="R31" s="1553" t="s">
        <v>8</v>
      </c>
      <c r="S31" s="1554" t="e">
        <f t="shared" si="12"/>
        <v>#N/A</v>
      </c>
      <c r="T31" s="1553" t="s">
        <v>8</v>
      </c>
      <c r="U31" s="1554" t="e">
        <f t="shared" si="13"/>
        <v>#N/A</v>
      </c>
      <c r="V31" s="1553" t="s">
        <v>8</v>
      </c>
      <c r="W31" s="1554" t="e">
        <f t="shared" si="14"/>
        <v>#N/A</v>
      </c>
      <c r="X31" s="1555"/>
      <c r="Y31" s="4060"/>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60" t="s">
        <v>550</v>
      </c>
      <c r="Q32" s="1557" t="str">
        <f t="shared" si="11"/>
        <v>车位类型</v>
      </c>
      <c r="R32" s="1558" t="s">
        <v>8</v>
      </c>
      <c r="S32" s="1559">
        <f t="shared" si="12"/>
        <v>100</v>
      </c>
      <c r="T32" s="1558" t="s">
        <v>8</v>
      </c>
      <c r="U32" s="1559">
        <f t="shared" si="13"/>
        <v>100</v>
      </c>
      <c r="V32" s="1558" t="s">
        <v>8</v>
      </c>
      <c r="W32" s="1559">
        <f t="shared" si="14"/>
        <v>100</v>
      </c>
      <c r="X32" s="1552"/>
      <c r="Y32" s="4060"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60"/>
      <c r="Q33" s="1557" t="str">
        <f t="shared" si="11"/>
        <v>是否直接入户</v>
      </c>
      <c r="R33" s="1558" t="s">
        <v>8</v>
      </c>
      <c r="S33" s="1559">
        <f t="shared" si="12"/>
        <v>100</v>
      </c>
      <c r="T33" s="1558" t="s">
        <v>8</v>
      </c>
      <c r="U33" s="1559">
        <f t="shared" si="13"/>
        <v>100</v>
      </c>
      <c r="V33" s="1558" t="s">
        <v>8</v>
      </c>
      <c r="W33" s="1559">
        <f t="shared" si="14"/>
        <v>100</v>
      </c>
      <c r="X33" s="1552"/>
      <c r="Y33" s="4060"/>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60"/>
      <c r="Q34" s="1557">
        <f t="shared" si="11"/>
        <v>111</v>
      </c>
      <c r="R34" s="1558" t="s">
        <v>8</v>
      </c>
      <c r="S34" s="1559">
        <f t="shared" si="12"/>
        <v>100</v>
      </c>
      <c r="T34" s="1558" t="s">
        <v>8</v>
      </c>
      <c r="U34" s="1559">
        <f t="shared" si="13"/>
        <v>100</v>
      </c>
      <c r="V34" s="1558" t="s">
        <v>8</v>
      </c>
      <c r="W34" s="1559">
        <f t="shared" si="14"/>
        <v>100</v>
      </c>
      <c r="X34" s="1552"/>
      <c r="Y34" s="4060"/>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60"/>
      <c r="Q35" s="1589">
        <f t="shared" si="11"/>
        <v>111</v>
      </c>
      <c r="R35" s="1562" t="s">
        <v>8</v>
      </c>
      <c r="S35" s="1563">
        <f t="shared" si="12"/>
        <v>100</v>
      </c>
      <c r="T35" s="1562" t="s">
        <v>8</v>
      </c>
      <c r="U35" s="1563">
        <f t="shared" si="13"/>
        <v>100</v>
      </c>
      <c r="V35" s="1562" t="s">
        <v>8</v>
      </c>
      <c r="W35" s="1563">
        <f t="shared" si="14"/>
        <v>100</v>
      </c>
      <c r="X35" s="1564"/>
      <c r="Y35" s="4060"/>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60"/>
      <c r="Q36" s="1557">
        <f t="shared" si="11"/>
        <v>111</v>
      </c>
      <c r="R36" s="1558" t="s">
        <v>8</v>
      </c>
      <c r="S36" s="1559">
        <f t="shared" si="12"/>
        <v>100</v>
      </c>
      <c r="T36" s="1558" t="s">
        <v>8</v>
      </c>
      <c r="U36" s="1559">
        <f t="shared" si="13"/>
        <v>100</v>
      </c>
      <c r="V36" s="1558" t="s">
        <v>8</v>
      </c>
      <c r="W36" s="1559">
        <f t="shared" si="14"/>
        <v>100</v>
      </c>
      <c r="X36" s="1552"/>
      <c r="Y36" s="4060"/>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55" t="str">
        <f>A37</f>
        <v>成交单价</v>
      </c>
      <c r="Q37" s="4055"/>
      <c r="R37" s="4138">
        <f>E37</f>
        <v>0</v>
      </c>
      <c r="S37" s="4138"/>
      <c r="T37" s="4138">
        <f>G37</f>
        <v>0</v>
      </c>
      <c r="U37" s="4138"/>
      <c r="V37" s="4138">
        <f>I37</f>
        <v>0</v>
      </c>
      <c r="W37" s="4138"/>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55" t="str">
        <f>A38</f>
        <v>比较价格（元/平方米）</v>
      </c>
      <c r="Q38" s="4055"/>
      <c r="R38" s="4138" t="e">
        <f>IF(F1="售价",ROUND(PRODUCT(R37,AA7:AA36),0),ROUND(PRODUCT(R37,AA7:AA36),1))</f>
        <v>#DIV/0!</v>
      </c>
      <c r="S38" s="4138"/>
      <c r="T38" s="4138" t="e">
        <f>IF(F1="售价",ROUND(PRODUCT(T37,AB7:AB36),0),ROUND(PRODUCT(T37,AB7:AB36),1))</f>
        <v>#DIV/0!</v>
      </c>
      <c r="U38" s="4138"/>
      <c r="V38" s="4138" t="e">
        <f>IF(F1="售价",ROUND(PRODUCT(V37,AC7:AC36),0),ROUND(PRODUCT(V37,AC7:AC36),1))</f>
        <v>#DIV/0!</v>
      </c>
      <c r="W38" s="4138"/>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76" t="str">
        <f>A39</f>
        <v>估价对象XX用房的比较价格（楼面单价，元/平方米）</v>
      </c>
      <c r="Q39" s="4077"/>
      <c r="R39" s="4137" t="e">
        <f>IF(F1="售价",ROUND(AVERAGE(R38:V38),0),ROUND(AVERAGE(R38:V38),1))</f>
        <v>#DIV/0!</v>
      </c>
      <c r="S39" s="4137"/>
      <c r="T39" s="4137"/>
      <c r="U39" s="4137"/>
      <c r="V39" s="4137"/>
      <c r="W39" s="413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61" t="s">
        <v>798</v>
      </c>
      <c r="D4" s="4062"/>
      <c r="E4" s="4085" t="s">
        <v>799</v>
      </c>
      <c r="F4" s="4086"/>
      <c r="G4" s="4061" t="s">
        <v>800</v>
      </c>
      <c r="H4" s="4062"/>
      <c r="I4" s="4061" t="s">
        <v>801</v>
      </c>
      <c r="J4" s="4062"/>
      <c r="K4" s="513" t="s">
        <v>802</v>
      </c>
      <c r="L4" s="2117"/>
      <c r="M4" s="2118"/>
      <c r="N4" s="2118"/>
      <c r="O4" s="2118"/>
      <c r="P4" s="4063" t="s">
        <v>803</v>
      </c>
      <c r="Q4" s="4064"/>
      <c r="R4" s="4049" t="s">
        <v>799</v>
      </c>
      <c r="S4" s="4050"/>
      <c r="T4" s="4049" t="s">
        <v>800</v>
      </c>
      <c r="U4" s="4050"/>
      <c r="V4" s="4069" t="s">
        <v>801</v>
      </c>
      <c r="W4" s="4069"/>
      <c r="X4" s="1552"/>
      <c r="Y4" s="4049" t="s">
        <v>803</v>
      </c>
      <c r="Z4" s="4050"/>
      <c r="AA4" s="4044" t="s">
        <v>799</v>
      </c>
      <c r="AB4" s="4045" t="s">
        <v>800</v>
      </c>
      <c r="AC4" s="4044" t="s">
        <v>801</v>
      </c>
    </row>
    <row r="5" spans="1:29" ht="15">
      <c r="A5" s="514"/>
      <c r="B5" s="515"/>
      <c r="C5" s="4072" t="s">
        <v>2926</v>
      </c>
      <c r="D5" s="4073"/>
      <c r="E5" s="4087" t="s">
        <v>2927</v>
      </c>
      <c r="F5" s="4088"/>
      <c r="G5" s="4072" t="s">
        <v>2928</v>
      </c>
      <c r="H5" s="4073"/>
      <c r="I5" s="4072" t="s">
        <v>2929</v>
      </c>
      <c r="J5" s="4073"/>
      <c r="K5" s="513"/>
      <c r="L5" s="2117"/>
      <c r="M5" s="2118"/>
      <c r="N5" s="2118"/>
      <c r="O5" s="2118"/>
      <c r="P5" s="4065"/>
      <c r="Q5" s="4066"/>
      <c r="R5" s="4051"/>
      <c r="S5" s="4052"/>
      <c r="T5" s="4051"/>
      <c r="U5" s="4052"/>
      <c r="V5" s="4069"/>
      <c r="W5" s="4069"/>
      <c r="X5" s="1552"/>
      <c r="Y5" s="4051"/>
      <c r="Z5" s="4052"/>
      <c r="AA5" s="4045"/>
      <c r="AB5" s="4045"/>
      <c r="AC5" s="4045"/>
    </row>
    <row r="6" spans="1:29" ht="15.75" thickBot="1">
      <c r="A6" s="516"/>
      <c r="B6" s="517"/>
      <c r="C6" s="4070" t="s">
        <v>2930</v>
      </c>
      <c r="D6" s="4071"/>
      <c r="E6" s="4089" t="s">
        <v>2930</v>
      </c>
      <c r="F6" s="4090"/>
      <c r="G6" s="4070" t="s">
        <v>2930</v>
      </c>
      <c r="H6" s="4071"/>
      <c r="I6" s="4070" t="s">
        <v>2930</v>
      </c>
      <c r="J6" s="4071"/>
      <c r="K6" s="513" t="s">
        <v>528</v>
      </c>
      <c r="L6" s="2117"/>
      <c r="M6" s="2118"/>
      <c r="N6" s="2118"/>
      <c r="O6" s="2118"/>
      <c r="P6" s="4067"/>
      <c r="Q6" s="4068"/>
      <c r="R6" s="4051"/>
      <c r="S6" s="4052"/>
      <c r="T6" s="4053"/>
      <c r="U6" s="4054"/>
      <c r="V6" s="4069"/>
      <c r="W6" s="4069"/>
      <c r="X6" s="1552"/>
      <c r="Y6" s="4053"/>
      <c r="Z6" s="4054"/>
      <c r="AA6" s="4046"/>
      <c r="AB6" s="4046"/>
      <c r="AC6" s="4046"/>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47" t="s">
        <v>530</v>
      </c>
      <c r="Q7" s="4056"/>
      <c r="R7" s="1553" t="s">
        <v>8</v>
      </c>
      <c r="S7" s="1554">
        <f t="shared" ref="S7:S14" si="0">F7</f>
        <v>0</v>
      </c>
      <c r="T7" s="1553" t="s">
        <v>8</v>
      </c>
      <c r="U7" s="1554">
        <f t="shared" ref="U7:U14" si="1">H7</f>
        <v>0</v>
      </c>
      <c r="V7" s="1553" t="s">
        <v>8</v>
      </c>
      <c r="W7" s="1554">
        <f t="shared" ref="W7:W14" si="2">J7</f>
        <v>0</v>
      </c>
      <c r="X7" s="1555"/>
      <c r="Y7" s="4047" t="s">
        <v>530</v>
      </c>
      <c r="Z7" s="4048"/>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47" t="s">
        <v>533</v>
      </c>
      <c r="Q8" s="4048"/>
      <c r="R8" s="1553" t="s">
        <v>8</v>
      </c>
      <c r="S8" s="1554">
        <f t="shared" si="0"/>
        <v>0</v>
      </c>
      <c r="T8" s="1553" t="s">
        <v>8</v>
      </c>
      <c r="U8" s="1554">
        <f t="shared" si="1"/>
        <v>0</v>
      </c>
      <c r="V8" s="1553" t="s">
        <v>8</v>
      </c>
      <c r="W8" s="1554">
        <f t="shared" si="2"/>
        <v>0</v>
      </c>
      <c r="X8" s="1555"/>
      <c r="Y8" s="4047" t="s">
        <v>533</v>
      </c>
      <c r="Z8" s="4048"/>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55" t="s">
        <v>535</v>
      </c>
      <c r="Q9" s="1146" t="str">
        <f t="shared" ref="Q9:Q14" si="6">B9</f>
        <v>用途</v>
      </c>
      <c r="R9" s="1553" t="s">
        <v>8</v>
      </c>
      <c r="S9" s="1554">
        <f t="shared" si="0"/>
        <v>100</v>
      </c>
      <c r="T9" s="1553" t="s">
        <v>8</v>
      </c>
      <c r="U9" s="1554">
        <f t="shared" si="1"/>
        <v>100</v>
      </c>
      <c r="V9" s="1553" t="s">
        <v>8</v>
      </c>
      <c r="W9" s="1554">
        <f t="shared" si="2"/>
        <v>100</v>
      </c>
      <c r="X9" s="1555"/>
      <c r="Y9" s="4012"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55"/>
      <c r="Q10" s="1146" t="str">
        <f t="shared" si="6"/>
        <v>土地使用年限（年）</v>
      </c>
      <c r="R10" s="1553" t="s">
        <v>8</v>
      </c>
      <c r="S10" s="1554">
        <f t="shared" si="0"/>
        <v>100</v>
      </c>
      <c r="T10" s="1553" t="s">
        <v>8</v>
      </c>
      <c r="U10" s="1554">
        <f t="shared" si="1"/>
        <v>100</v>
      </c>
      <c r="V10" s="1553" t="s">
        <v>8</v>
      </c>
      <c r="W10" s="1554">
        <f t="shared" si="2"/>
        <v>100</v>
      </c>
      <c r="X10" s="1555"/>
      <c r="Y10" s="4012"/>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55"/>
      <c r="Q11" s="1146">
        <f t="shared" si="6"/>
        <v>111</v>
      </c>
      <c r="R11" s="1553" t="s">
        <v>8</v>
      </c>
      <c r="S11" s="1554">
        <f t="shared" si="0"/>
        <v>100</v>
      </c>
      <c r="T11" s="1553" t="s">
        <v>8</v>
      </c>
      <c r="U11" s="1554">
        <f t="shared" si="1"/>
        <v>100</v>
      </c>
      <c r="V11" s="1553" t="s">
        <v>8</v>
      </c>
      <c r="W11" s="1554">
        <f t="shared" si="2"/>
        <v>100</v>
      </c>
      <c r="X11" s="1555"/>
      <c r="Y11" s="4012"/>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55"/>
      <c r="Q12" s="1146">
        <f t="shared" si="6"/>
        <v>111</v>
      </c>
      <c r="R12" s="1553" t="s">
        <v>8</v>
      </c>
      <c r="S12" s="1554">
        <f t="shared" si="0"/>
        <v>100</v>
      </c>
      <c r="T12" s="1553" t="s">
        <v>8</v>
      </c>
      <c r="U12" s="1554">
        <f t="shared" si="1"/>
        <v>100</v>
      </c>
      <c r="V12" s="1553" t="s">
        <v>8</v>
      </c>
      <c r="W12" s="1554">
        <f t="shared" si="2"/>
        <v>100</v>
      </c>
      <c r="X12" s="1555"/>
      <c r="Y12" s="4012"/>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55"/>
      <c r="Q13" s="1146">
        <f t="shared" si="6"/>
        <v>111</v>
      </c>
      <c r="R13" s="1553" t="s">
        <v>8</v>
      </c>
      <c r="S13" s="1554">
        <f t="shared" si="0"/>
        <v>100</v>
      </c>
      <c r="T13" s="1553" t="s">
        <v>8</v>
      </c>
      <c r="U13" s="1554">
        <f t="shared" si="1"/>
        <v>100</v>
      </c>
      <c r="V13" s="1553" t="s">
        <v>8</v>
      </c>
      <c r="W13" s="1554">
        <f t="shared" si="2"/>
        <v>100</v>
      </c>
      <c r="X13" s="1555"/>
      <c r="Y13" s="4012"/>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57" t="s">
        <v>540</v>
      </c>
      <c r="Q14" s="1557" t="str">
        <f t="shared" si="6"/>
        <v>交通便捷度</v>
      </c>
      <c r="R14" s="1558" t="s">
        <v>8</v>
      </c>
      <c r="S14" s="1559">
        <f t="shared" si="0"/>
        <v>100</v>
      </c>
      <c r="T14" s="1558" t="s">
        <v>8</v>
      </c>
      <c r="U14" s="1559">
        <f t="shared" si="1"/>
        <v>100</v>
      </c>
      <c r="V14" s="1558" t="s">
        <v>8</v>
      </c>
      <c r="W14" s="1559">
        <f t="shared" si="2"/>
        <v>100</v>
      </c>
      <c r="X14" s="1552"/>
      <c r="Y14" s="4057"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58"/>
      <c r="Q15" s="1557"/>
      <c r="R15" s="1558"/>
      <c r="S15" s="1559"/>
      <c r="T15" s="1558"/>
      <c r="U15" s="1559"/>
      <c r="V15" s="1558"/>
      <c r="W15" s="1559"/>
      <c r="X15" s="1552"/>
      <c r="Y15" s="4058"/>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58"/>
      <c r="Q16" s="1557" t="str">
        <f>B16</f>
        <v>公共配套设施</v>
      </c>
      <c r="R16" s="1558" t="s">
        <v>8</v>
      </c>
      <c r="S16" s="1559">
        <f>F16</f>
        <v>100</v>
      </c>
      <c r="T16" s="1558" t="s">
        <v>8</v>
      </c>
      <c r="U16" s="1559">
        <f>H16</f>
        <v>100</v>
      </c>
      <c r="V16" s="1558" t="s">
        <v>8</v>
      </c>
      <c r="W16" s="1559">
        <f>J16</f>
        <v>100</v>
      </c>
      <c r="X16" s="1552"/>
      <c r="Y16" s="4058"/>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58"/>
      <c r="Q17" s="1557"/>
      <c r="R17" s="1558"/>
      <c r="S17" s="1559"/>
      <c r="T17" s="1558"/>
      <c r="U17" s="1559"/>
      <c r="V17" s="1558"/>
      <c r="W17" s="1559"/>
      <c r="X17" s="1552"/>
      <c r="Y17" s="4058"/>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58"/>
      <c r="Q18" s="2542" t="str">
        <f>B18</f>
        <v>基础设施水平</v>
      </c>
      <c r="R18" s="1558" t="s">
        <v>8</v>
      </c>
      <c r="S18" s="1559">
        <f>F18</f>
        <v>100</v>
      </c>
      <c r="T18" s="1558" t="s">
        <v>8</v>
      </c>
      <c r="U18" s="1559">
        <f>H18</f>
        <v>100</v>
      </c>
      <c r="V18" s="1558" t="s">
        <v>8</v>
      </c>
      <c r="W18" s="1559">
        <f>J18</f>
        <v>100</v>
      </c>
      <c r="X18" s="2544"/>
      <c r="Y18" s="4058"/>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58"/>
      <c r="Q19" s="2542"/>
      <c r="R19" s="1558"/>
      <c r="S19" s="1559"/>
      <c r="T19" s="1558"/>
      <c r="U19" s="1559"/>
      <c r="V19" s="1558"/>
      <c r="W19" s="1559"/>
      <c r="X19" s="2544"/>
      <c r="Y19" s="4058"/>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58"/>
      <c r="Q20" s="1557" t="str">
        <f>B20</f>
        <v>自然及人文环境</v>
      </c>
      <c r="R20" s="1558" t="s">
        <v>8</v>
      </c>
      <c r="S20" s="1559">
        <f>F20</f>
        <v>100</v>
      </c>
      <c r="T20" s="1558" t="s">
        <v>8</v>
      </c>
      <c r="U20" s="1559">
        <f>H20</f>
        <v>100</v>
      </c>
      <c r="V20" s="1558" t="s">
        <v>8</v>
      </c>
      <c r="W20" s="1559">
        <f>J20</f>
        <v>100</v>
      </c>
      <c r="X20" s="1552"/>
      <c r="Y20" s="4058"/>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58"/>
      <c r="Q21" s="1557"/>
      <c r="R21" s="1558"/>
      <c r="S21" s="1559"/>
      <c r="T21" s="1558"/>
      <c r="U21" s="1559"/>
      <c r="V21" s="1558"/>
      <c r="W21" s="1559"/>
      <c r="X21" s="1552"/>
      <c r="Y21" s="4058"/>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58"/>
      <c r="Q22" s="1557" t="str">
        <f>B22</f>
        <v>楼层</v>
      </c>
      <c r="R22" s="1558" t="s">
        <v>8</v>
      </c>
      <c r="S22" s="1559">
        <f>F22</f>
        <v>100</v>
      </c>
      <c r="T22" s="1558" t="s">
        <v>8</v>
      </c>
      <c r="U22" s="1559">
        <f>H22</f>
        <v>100</v>
      </c>
      <c r="V22" s="1558" t="s">
        <v>8</v>
      </c>
      <c r="W22" s="1559">
        <f>J22</f>
        <v>100</v>
      </c>
      <c r="X22" s="1552"/>
      <c r="Y22" s="4058"/>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58"/>
      <c r="Q23" s="1557">
        <f>B23</f>
        <v>111</v>
      </c>
      <c r="R23" s="1558" t="s">
        <v>8</v>
      </c>
      <c r="S23" s="1559">
        <f>F23</f>
        <v>100</v>
      </c>
      <c r="T23" s="1558" t="s">
        <v>8</v>
      </c>
      <c r="U23" s="1559">
        <f>H23</f>
        <v>100</v>
      </c>
      <c r="V23" s="1558" t="s">
        <v>8</v>
      </c>
      <c r="W23" s="1559">
        <f>J23</f>
        <v>100</v>
      </c>
      <c r="X23" s="1552"/>
      <c r="Y23" s="4058"/>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58"/>
      <c r="Q24" s="1557">
        <f t="shared" ref="Q24:Q34" si="11">B24</f>
        <v>111</v>
      </c>
      <c r="R24" s="1558" t="s">
        <v>8</v>
      </c>
      <c r="S24" s="1559">
        <f>F24</f>
        <v>100</v>
      </c>
      <c r="T24" s="1558" t="s">
        <v>8</v>
      </c>
      <c r="U24" s="1559">
        <f>H24</f>
        <v>100</v>
      </c>
      <c r="V24" s="1558" t="s">
        <v>8</v>
      </c>
      <c r="W24" s="1559">
        <f>J24</f>
        <v>100</v>
      </c>
      <c r="X24" s="1552"/>
      <c r="Y24" s="4058"/>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58"/>
      <c r="Q25" s="1146">
        <f t="shared" si="11"/>
        <v>111</v>
      </c>
      <c r="R25" s="1553" t="s">
        <v>8</v>
      </c>
      <c r="S25" s="1554">
        <f>F25</f>
        <v>100</v>
      </c>
      <c r="T25" s="1553" t="s">
        <v>8</v>
      </c>
      <c r="U25" s="1554">
        <f>H25</f>
        <v>100</v>
      </c>
      <c r="V25" s="1553" t="s">
        <v>8</v>
      </c>
      <c r="W25" s="1554">
        <f>J25</f>
        <v>100</v>
      </c>
      <c r="X25" s="1555"/>
      <c r="Y25" s="4058"/>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5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60"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60"/>
      <c r="Q27" s="1589" t="str">
        <f t="shared" si="11"/>
        <v>成新率</v>
      </c>
      <c r="R27" s="1562" t="s">
        <v>8</v>
      </c>
      <c r="S27" s="1563" t="e">
        <f t="shared" si="12"/>
        <v>#N/A</v>
      </c>
      <c r="T27" s="1562" t="s">
        <v>8</v>
      </c>
      <c r="U27" s="1563" t="e">
        <f t="shared" si="13"/>
        <v>#N/A</v>
      </c>
      <c r="V27" s="1562" t="s">
        <v>8</v>
      </c>
      <c r="W27" s="1563" t="e">
        <f t="shared" si="14"/>
        <v>#N/A</v>
      </c>
      <c r="X27" s="1564"/>
      <c r="Y27" s="4060"/>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60"/>
      <c r="Q28" s="1557" t="str">
        <f t="shared" si="11"/>
        <v>物业等级</v>
      </c>
      <c r="R28" s="1558" t="s">
        <v>8</v>
      </c>
      <c r="S28" s="1559">
        <f t="shared" si="12"/>
        <v>100</v>
      </c>
      <c r="T28" s="1558" t="s">
        <v>8</v>
      </c>
      <c r="U28" s="1559">
        <f t="shared" si="13"/>
        <v>100</v>
      </c>
      <c r="V28" s="1558" t="s">
        <v>8</v>
      </c>
      <c r="W28" s="1559">
        <f t="shared" si="14"/>
        <v>100</v>
      </c>
      <c r="X28" s="1552"/>
      <c r="Y28" s="4060"/>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60"/>
      <c r="Q29" s="1557" t="str">
        <f t="shared" si="11"/>
        <v>有无电梯</v>
      </c>
      <c r="R29" s="1558" t="s">
        <v>8</v>
      </c>
      <c r="S29" s="1559">
        <f t="shared" si="12"/>
        <v>100</v>
      </c>
      <c r="T29" s="1558" t="s">
        <v>8</v>
      </c>
      <c r="U29" s="1559">
        <f t="shared" si="13"/>
        <v>100</v>
      </c>
      <c r="V29" s="1558" t="s">
        <v>8</v>
      </c>
      <c r="W29" s="1559">
        <f t="shared" si="14"/>
        <v>100</v>
      </c>
      <c r="X29" s="1552"/>
      <c r="Y29" s="4060"/>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60"/>
      <c r="Q30" s="1557" t="str">
        <f t="shared" si="11"/>
        <v>建筑面积</v>
      </c>
      <c r="R30" s="1558" t="s">
        <v>8</v>
      </c>
      <c r="S30" s="1559" t="e">
        <f t="shared" si="12"/>
        <v>#N/A</v>
      </c>
      <c r="T30" s="1558" t="s">
        <v>8</v>
      </c>
      <c r="U30" s="1559" t="e">
        <f t="shared" si="13"/>
        <v>#N/A</v>
      </c>
      <c r="V30" s="1558" t="s">
        <v>8</v>
      </c>
      <c r="W30" s="1559" t="e">
        <f t="shared" si="14"/>
        <v>#N/A</v>
      </c>
      <c r="X30" s="1552"/>
      <c r="Y30" s="4060"/>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60"/>
      <c r="Q31" s="1146" t="str">
        <f t="shared" si="11"/>
        <v>是否封闭</v>
      </c>
      <c r="R31" s="1553" t="s">
        <v>8</v>
      </c>
      <c r="S31" s="1554">
        <f t="shared" si="12"/>
        <v>100</v>
      </c>
      <c r="T31" s="1553" t="s">
        <v>8</v>
      </c>
      <c r="U31" s="1554">
        <f t="shared" si="13"/>
        <v>100</v>
      </c>
      <c r="V31" s="1553" t="s">
        <v>8</v>
      </c>
      <c r="W31" s="1554">
        <f t="shared" si="14"/>
        <v>100</v>
      </c>
      <c r="X31" s="1555"/>
      <c r="Y31" s="4060"/>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60" t="s">
        <v>550</v>
      </c>
      <c r="Q32" s="1557">
        <f t="shared" si="11"/>
        <v>111</v>
      </c>
      <c r="R32" s="1558" t="s">
        <v>8</v>
      </c>
      <c r="S32" s="1559">
        <f t="shared" si="12"/>
        <v>100</v>
      </c>
      <c r="T32" s="1558" t="s">
        <v>8</v>
      </c>
      <c r="U32" s="1559">
        <f t="shared" si="13"/>
        <v>100</v>
      </c>
      <c r="V32" s="1558" t="s">
        <v>8</v>
      </c>
      <c r="W32" s="1559">
        <f t="shared" si="14"/>
        <v>100</v>
      </c>
      <c r="X32" s="1552"/>
      <c r="Y32" s="4060"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60"/>
      <c r="Q33" s="1557">
        <f t="shared" si="11"/>
        <v>111</v>
      </c>
      <c r="R33" s="1558" t="s">
        <v>8</v>
      </c>
      <c r="S33" s="1559">
        <f t="shared" si="12"/>
        <v>100</v>
      </c>
      <c r="T33" s="1558" t="s">
        <v>8</v>
      </c>
      <c r="U33" s="1559">
        <f t="shared" si="13"/>
        <v>100</v>
      </c>
      <c r="V33" s="1558" t="s">
        <v>8</v>
      </c>
      <c r="W33" s="1559">
        <f t="shared" si="14"/>
        <v>100</v>
      </c>
      <c r="X33" s="1552"/>
      <c r="Y33" s="4060"/>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60"/>
      <c r="Q34" s="1557">
        <f t="shared" si="11"/>
        <v>111</v>
      </c>
      <c r="R34" s="1558" t="s">
        <v>8</v>
      </c>
      <c r="S34" s="1559">
        <f t="shared" si="12"/>
        <v>100</v>
      </c>
      <c r="T34" s="1558" t="s">
        <v>8</v>
      </c>
      <c r="U34" s="1559">
        <f t="shared" si="13"/>
        <v>100</v>
      </c>
      <c r="V34" s="1558" t="s">
        <v>8</v>
      </c>
      <c r="W34" s="1559">
        <f t="shared" si="14"/>
        <v>100</v>
      </c>
      <c r="X34" s="1552"/>
      <c r="Y34" s="4060"/>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55" t="str">
        <f>A35</f>
        <v>成交单价（元/平方米）</v>
      </c>
      <c r="Q35" s="4055"/>
      <c r="R35" s="4138">
        <f>E35</f>
        <v>0</v>
      </c>
      <c r="S35" s="4138"/>
      <c r="T35" s="4138">
        <f>G35</f>
        <v>0</v>
      </c>
      <c r="U35" s="4138"/>
      <c r="V35" s="4138">
        <f>I35</f>
        <v>0</v>
      </c>
      <c r="W35" s="4138"/>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55" t="str">
        <f>A36</f>
        <v>比较价格（元/平方米）</v>
      </c>
      <c r="Q36" s="4055"/>
      <c r="R36" s="4138" t="e">
        <f>IF(F1="售价",ROUND(PRODUCT(R35,AA7:AA34),0),ROUND(PRODUCT(R35,AA7:AA34),1))</f>
        <v>#DIV/0!</v>
      </c>
      <c r="S36" s="4138"/>
      <c r="T36" s="4138" t="e">
        <f>IF(F1="售价",ROUND(PRODUCT(T35,AB7:AB34),0),ROUND(PRODUCT(T35,AB7:AB34),1))</f>
        <v>#DIV/0!</v>
      </c>
      <c r="U36" s="4138"/>
      <c r="V36" s="4138" t="e">
        <f>IF(F1="售价",ROUND(PRODUCT(V35,AC7:AC34),0),ROUND(PRODUCT(V35,AC7:AC34),1))</f>
        <v>#DIV/0!</v>
      </c>
      <c r="W36" s="4138"/>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76" t="str">
        <f>A37</f>
        <v>估价对象XX用房的比较价格（楼面单价，元/平方米）</v>
      </c>
      <c r="Q37" s="4077"/>
      <c r="R37" s="4137" t="e">
        <f>IF(F1="售价",ROUND(AVERAGE(R36:V36),0),ROUND(AVERAGE(R36:V36),1))</f>
        <v>#DIV/0!</v>
      </c>
      <c r="S37" s="4137"/>
      <c r="T37" s="4137"/>
      <c r="U37" s="4137"/>
      <c r="V37" s="4137"/>
      <c r="W37" s="413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70" t="s">
        <v>2304</v>
      </c>
      <c r="D1" s="4171"/>
      <c r="E1" s="4171"/>
      <c r="F1" s="4171"/>
      <c r="G1" s="4171"/>
      <c r="H1" s="4171"/>
      <c r="I1" s="4171"/>
      <c r="J1" s="4171"/>
      <c r="K1" s="4171"/>
      <c r="L1" s="4171"/>
      <c r="M1" s="4171"/>
      <c r="N1" s="4171"/>
      <c r="O1" s="4171"/>
      <c r="P1" s="4171"/>
      <c r="Q1" s="4171"/>
      <c r="R1" s="4171"/>
      <c r="S1" s="4172"/>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67" t="s">
        <v>20</v>
      </c>
      <c r="D22" s="4168"/>
      <c r="E22" s="4168"/>
      <c r="F22" s="4168"/>
      <c r="G22" s="4168"/>
      <c r="H22" s="4168"/>
      <c r="I22" s="4168"/>
      <c r="J22" s="4168"/>
      <c r="K22" s="4168"/>
      <c r="L22" s="4168"/>
      <c r="M22" s="4168"/>
      <c r="N22" s="4168"/>
      <c r="O22" s="4168"/>
      <c r="P22" s="4168"/>
      <c r="Q22" s="4169"/>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31" t="s">
        <v>798</v>
      </c>
      <c r="D4" s="3832"/>
      <c r="E4" s="3833" t="s">
        <v>799</v>
      </c>
      <c r="F4" s="3834"/>
      <c r="G4" s="3831" t="s">
        <v>524</v>
      </c>
      <c r="H4" s="3832"/>
      <c r="I4" s="3831" t="s">
        <v>801</v>
      </c>
      <c r="J4" s="3832"/>
      <c r="K4" s="3365" t="s">
        <v>802</v>
      </c>
      <c r="L4" s="3366"/>
      <c r="M4" s="3367"/>
      <c r="N4" s="3367"/>
      <c r="O4" s="3367"/>
      <c r="P4" s="3835" t="s">
        <v>803</v>
      </c>
      <c r="Q4" s="3836"/>
      <c r="R4" s="3821" t="s">
        <v>799</v>
      </c>
      <c r="S4" s="3822"/>
      <c r="T4" s="3821" t="s">
        <v>524</v>
      </c>
      <c r="U4" s="3822"/>
      <c r="V4" s="3820" t="s">
        <v>801</v>
      </c>
      <c r="W4" s="3820"/>
      <c r="X4" s="3368"/>
      <c r="Y4" s="3821" t="s">
        <v>803</v>
      </c>
      <c r="Z4" s="3822"/>
      <c r="AA4" s="3827" t="s">
        <v>799</v>
      </c>
      <c r="AB4" s="3827" t="s">
        <v>524</v>
      </c>
      <c r="AC4" s="3827" t="s">
        <v>801</v>
      </c>
    </row>
    <row r="5" spans="1:29" ht="15">
      <c r="A5" s="3370"/>
      <c r="B5" s="3371"/>
      <c r="C5" s="3841" t="s">
        <v>2926</v>
      </c>
      <c r="D5" s="3842"/>
      <c r="E5" s="3843" t="s">
        <v>3016</v>
      </c>
      <c r="F5" s="3844"/>
      <c r="G5" s="3845" t="s">
        <v>3321</v>
      </c>
      <c r="H5" s="3842"/>
      <c r="I5" s="3845" t="s">
        <v>3345</v>
      </c>
      <c r="J5" s="3842"/>
      <c r="K5" s="3372"/>
      <c r="L5" s="3366"/>
      <c r="M5" s="3367"/>
      <c r="N5" s="3367"/>
      <c r="O5" s="3367"/>
      <c r="P5" s="3837"/>
      <c r="Q5" s="3838"/>
      <c r="R5" s="3823"/>
      <c r="S5" s="3824"/>
      <c r="T5" s="3823"/>
      <c r="U5" s="3824"/>
      <c r="V5" s="3820"/>
      <c r="W5" s="3820"/>
      <c r="X5" s="3368"/>
      <c r="Y5" s="3823"/>
      <c r="Z5" s="3824"/>
      <c r="AA5" s="3828"/>
      <c r="AB5" s="3828"/>
      <c r="AC5" s="3828"/>
    </row>
    <row r="6" spans="1:29" ht="15.75" thickBot="1">
      <c r="A6" s="3373"/>
      <c r="B6" s="3374"/>
      <c r="C6" s="3846" t="s">
        <v>2930</v>
      </c>
      <c r="D6" s="3847"/>
      <c r="E6" s="3848" t="s">
        <v>2930</v>
      </c>
      <c r="F6" s="3849"/>
      <c r="G6" s="3846" t="s">
        <v>2930</v>
      </c>
      <c r="H6" s="3847"/>
      <c r="I6" s="3846" t="s">
        <v>2930</v>
      </c>
      <c r="J6" s="3847"/>
      <c r="K6" s="3372" t="s">
        <v>528</v>
      </c>
      <c r="L6" s="3366"/>
      <c r="M6" s="3367"/>
      <c r="N6" s="3367"/>
      <c r="O6" s="3367"/>
      <c r="P6" s="3839"/>
      <c r="Q6" s="3840"/>
      <c r="R6" s="3823"/>
      <c r="S6" s="3824"/>
      <c r="T6" s="3825"/>
      <c r="U6" s="3826"/>
      <c r="V6" s="3820"/>
      <c r="W6" s="3820"/>
      <c r="X6" s="3368"/>
      <c r="Y6" s="3825"/>
      <c r="Z6" s="3826"/>
      <c r="AA6" s="3829"/>
      <c r="AB6" s="3829"/>
      <c r="AC6" s="3829"/>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17" t="s">
        <v>530</v>
      </c>
      <c r="Q7" s="3830"/>
      <c r="R7" s="3385" t="s">
        <v>8</v>
      </c>
      <c r="S7" s="3386">
        <f t="shared" ref="S7:S15" si="0">F7</f>
        <v>100</v>
      </c>
      <c r="T7" s="3385" t="s">
        <v>8</v>
      </c>
      <c r="U7" s="3386">
        <f t="shared" ref="U7:U15" si="1">H7</f>
        <v>100</v>
      </c>
      <c r="V7" s="3385" t="s">
        <v>8</v>
      </c>
      <c r="W7" s="3386">
        <f t="shared" ref="W7:W15" si="2">J7</f>
        <v>100</v>
      </c>
      <c r="X7" s="3387"/>
      <c r="Y7" s="3817" t="s">
        <v>530</v>
      </c>
      <c r="Z7" s="3818"/>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17" t="s">
        <v>533</v>
      </c>
      <c r="Q8" s="3818"/>
      <c r="R8" s="3385" t="s">
        <v>8</v>
      </c>
      <c r="S8" s="3386">
        <f t="shared" si="0"/>
        <v>100</v>
      </c>
      <c r="T8" s="3385" t="s">
        <v>8</v>
      </c>
      <c r="U8" s="3386">
        <f t="shared" si="1"/>
        <v>100</v>
      </c>
      <c r="V8" s="3385" t="s">
        <v>8</v>
      </c>
      <c r="W8" s="3386">
        <f t="shared" si="2"/>
        <v>100</v>
      </c>
      <c r="X8" s="3387"/>
      <c r="Y8" s="3817" t="s">
        <v>533</v>
      </c>
      <c r="Z8" s="3818"/>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7" t="s">
        <v>535</v>
      </c>
      <c r="Q9" s="3402" t="str">
        <f t="shared" ref="Q9:Q15" si="6">B9</f>
        <v>用途</v>
      </c>
      <c r="R9" s="3385" t="s">
        <v>8</v>
      </c>
      <c r="S9" s="3386">
        <f t="shared" si="0"/>
        <v>100</v>
      </c>
      <c r="T9" s="3385" t="s">
        <v>8</v>
      </c>
      <c r="U9" s="3386">
        <f t="shared" si="1"/>
        <v>100</v>
      </c>
      <c r="V9" s="3385" t="s">
        <v>8</v>
      </c>
      <c r="W9" s="3386">
        <f t="shared" si="2"/>
        <v>100</v>
      </c>
      <c r="X9" s="3387"/>
      <c r="Y9" s="3819"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7"/>
      <c r="Q10" s="3402" t="str">
        <f t="shared" si="6"/>
        <v>土地使用年限（年）</v>
      </c>
      <c r="R10" s="3385" t="s">
        <v>8</v>
      </c>
      <c r="S10" s="3386">
        <f t="shared" si="0"/>
        <v>100</v>
      </c>
      <c r="T10" s="3385" t="s">
        <v>8</v>
      </c>
      <c r="U10" s="3386">
        <f t="shared" si="1"/>
        <v>100</v>
      </c>
      <c r="V10" s="3385" t="s">
        <v>8</v>
      </c>
      <c r="W10" s="3386">
        <f t="shared" si="2"/>
        <v>100</v>
      </c>
      <c r="X10" s="3387"/>
      <c r="Y10" s="3819"/>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07"/>
      <c r="Q11" s="3402" t="str">
        <f t="shared" si="6"/>
        <v>容积率</v>
      </c>
      <c r="R11" s="3385" t="s">
        <v>8</v>
      </c>
      <c r="S11" s="3386">
        <f t="shared" si="0"/>
        <v>102</v>
      </c>
      <c r="T11" s="3385" t="s">
        <v>8</v>
      </c>
      <c r="U11" s="3386">
        <f t="shared" si="1"/>
        <v>101</v>
      </c>
      <c r="V11" s="3385" t="s">
        <v>8</v>
      </c>
      <c r="W11" s="3386">
        <f t="shared" si="2"/>
        <v>102</v>
      </c>
      <c r="X11" s="3387"/>
      <c r="Y11" s="3819"/>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7"/>
      <c r="Q12" s="3402">
        <f t="shared" si="6"/>
        <v>111</v>
      </c>
      <c r="R12" s="3385" t="s">
        <v>8</v>
      </c>
      <c r="S12" s="3386">
        <f t="shared" si="0"/>
        <v>100</v>
      </c>
      <c r="T12" s="3385" t="s">
        <v>8</v>
      </c>
      <c r="U12" s="3386">
        <f t="shared" si="1"/>
        <v>100</v>
      </c>
      <c r="V12" s="3385" t="s">
        <v>8</v>
      </c>
      <c r="W12" s="3386">
        <f t="shared" si="2"/>
        <v>100</v>
      </c>
      <c r="X12" s="3387"/>
      <c r="Y12" s="3819"/>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7"/>
      <c r="Q13" s="3402">
        <f t="shared" si="6"/>
        <v>111</v>
      </c>
      <c r="R13" s="3385" t="s">
        <v>8</v>
      </c>
      <c r="S13" s="3386">
        <f t="shared" si="0"/>
        <v>100</v>
      </c>
      <c r="T13" s="3385" t="s">
        <v>8</v>
      </c>
      <c r="U13" s="3386">
        <f t="shared" si="1"/>
        <v>100</v>
      </c>
      <c r="V13" s="3385" t="s">
        <v>8</v>
      </c>
      <c r="W13" s="3386">
        <f t="shared" si="2"/>
        <v>100</v>
      </c>
      <c r="X13" s="3387"/>
      <c r="Y13" s="3819"/>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7"/>
      <c r="Q14" s="3402">
        <f t="shared" si="6"/>
        <v>111</v>
      </c>
      <c r="R14" s="3385" t="s">
        <v>8</v>
      </c>
      <c r="S14" s="3386">
        <f t="shared" si="0"/>
        <v>100</v>
      </c>
      <c r="T14" s="3385" t="s">
        <v>8</v>
      </c>
      <c r="U14" s="3386">
        <f t="shared" si="1"/>
        <v>100</v>
      </c>
      <c r="V14" s="3385" t="s">
        <v>8</v>
      </c>
      <c r="W14" s="3386">
        <f t="shared" si="2"/>
        <v>100</v>
      </c>
      <c r="X14" s="3387"/>
      <c r="Y14" s="3819"/>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12" t="s">
        <v>540</v>
      </c>
      <c r="Q15" s="3441" t="str">
        <f t="shared" si="6"/>
        <v>居住社区成熟度</v>
      </c>
      <c r="R15" s="3442" t="s">
        <v>8</v>
      </c>
      <c r="S15" s="3443">
        <f t="shared" si="0"/>
        <v>100</v>
      </c>
      <c r="T15" s="3442" t="s">
        <v>8</v>
      </c>
      <c r="U15" s="3443">
        <f t="shared" si="1"/>
        <v>100</v>
      </c>
      <c r="V15" s="3442" t="s">
        <v>8</v>
      </c>
      <c r="W15" s="3443">
        <f t="shared" si="2"/>
        <v>100</v>
      </c>
      <c r="X15" s="3368"/>
      <c r="Y15" s="3812"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13"/>
      <c r="Q16" s="3441"/>
      <c r="R16" s="3442"/>
      <c r="S16" s="3443"/>
      <c r="T16" s="3442"/>
      <c r="U16" s="3443"/>
      <c r="V16" s="3442"/>
      <c r="W16" s="3443"/>
      <c r="X16" s="3368"/>
      <c r="Y16" s="3813"/>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13"/>
      <c r="Q17" s="3441" t="str">
        <f>B17</f>
        <v>交通便捷度</v>
      </c>
      <c r="R17" s="3442" t="s">
        <v>8</v>
      </c>
      <c r="S17" s="3443">
        <f>F17</f>
        <v>100</v>
      </c>
      <c r="T17" s="3442" t="s">
        <v>8</v>
      </c>
      <c r="U17" s="3443">
        <f>H17</f>
        <v>100</v>
      </c>
      <c r="V17" s="3442" t="s">
        <v>8</v>
      </c>
      <c r="W17" s="3443">
        <f>J17</f>
        <v>100</v>
      </c>
      <c r="X17" s="3368"/>
      <c r="Y17" s="3813"/>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13"/>
      <c r="Q18" s="3441"/>
      <c r="R18" s="3442"/>
      <c r="S18" s="3443"/>
      <c r="T18" s="3442"/>
      <c r="U18" s="3443"/>
      <c r="V18" s="3442"/>
      <c r="W18" s="3443"/>
      <c r="X18" s="3368"/>
      <c r="Y18" s="3813"/>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13"/>
      <c r="Q19" s="3441" t="str">
        <f>B19</f>
        <v>公共配套设施</v>
      </c>
      <c r="R19" s="3442" t="s">
        <v>8</v>
      </c>
      <c r="S19" s="3443">
        <f>F19</f>
        <v>100</v>
      </c>
      <c r="T19" s="3442" t="s">
        <v>8</v>
      </c>
      <c r="U19" s="3443">
        <f>H19</f>
        <v>102</v>
      </c>
      <c r="V19" s="3442" t="s">
        <v>8</v>
      </c>
      <c r="W19" s="3443">
        <f>J19</f>
        <v>102</v>
      </c>
      <c r="X19" s="3368"/>
      <c r="Y19" s="3813"/>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13"/>
      <c r="Q20" s="3441"/>
      <c r="R20" s="3442"/>
      <c r="S20" s="3443"/>
      <c r="T20" s="3442"/>
      <c r="U20" s="3443"/>
      <c r="V20" s="3442"/>
      <c r="W20" s="3443"/>
      <c r="X20" s="3368"/>
      <c r="Y20" s="3813"/>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13"/>
      <c r="Q21" s="3441" t="str">
        <f>B21</f>
        <v>基础设施水平</v>
      </c>
      <c r="R21" s="3442" t="s">
        <v>8</v>
      </c>
      <c r="S21" s="3443">
        <f>F21</f>
        <v>100</v>
      </c>
      <c r="T21" s="3442" t="s">
        <v>8</v>
      </c>
      <c r="U21" s="3443">
        <f>H21</f>
        <v>100</v>
      </c>
      <c r="V21" s="3442" t="s">
        <v>8</v>
      </c>
      <c r="W21" s="3443">
        <f>J21</f>
        <v>100</v>
      </c>
      <c r="X21" s="3368"/>
      <c r="Y21" s="3813"/>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13"/>
      <c r="Q22" s="3441"/>
      <c r="R22" s="3442"/>
      <c r="S22" s="3443"/>
      <c r="T22" s="3442"/>
      <c r="U22" s="3443"/>
      <c r="V22" s="3442"/>
      <c r="W22" s="3443"/>
      <c r="X22" s="3368"/>
      <c r="Y22" s="3813"/>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13"/>
      <c r="Q23" s="3441" t="str">
        <f>B23</f>
        <v>自然及人文环境</v>
      </c>
      <c r="R23" s="3442" t="s">
        <v>8</v>
      </c>
      <c r="S23" s="3443">
        <f>F23</f>
        <v>98</v>
      </c>
      <c r="T23" s="3442" t="s">
        <v>8</v>
      </c>
      <c r="U23" s="3443">
        <f>H23</f>
        <v>100</v>
      </c>
      <c r="V23" s="3442" t="s">
        <v>8</v>
      </c>
      <c r="W23" s="3443">
        <f>J23</f>
        <v>100</v>
      </c>
      <c r="X23" s="3368"/>
      <c r="Y23" s="3813"/>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13"/>
      <c r="Q24" s="3441"/>
      <c r="R24" s="3442"/>
      <c r="S24" s="3443"/>
      <c r="T24" s="3442"/>
      <c r="U24" s="3443"/>
      <c r="V24" s="3442"/>
      <c r="W24" s="3443"/>
      <c r="X24" s="3368"/>
      <c r="Y24" s="3813"/>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13"/>
      <c r="Q25" s="3441" t="str">
        <f t="shared" ref="Q25:Q46" si="11">B25</f>
        <v>楼层-1</v>
      </c>
      <c r="R25" s="3442" t="s">
        <v>8</v>
      </c>
      <c r="S25" s="3443">
        <f>F25</f>
        <v>100</v>
      </c>
      <c r="T25" s="3442" t="s">
        <v>8</v>
      </c>
      <c r="U25" s="3443">
        <f>H25</f>
        <v>100</v>
      </c>
      <c r="V25" s="3442" t="s">
        <v>8</v>
      </c>
      <c r="W25" s="3443">
        <f>J25</f>
        <v>100</v>
      </c>
      <c r="X25" s="3368"/>
      <c r="Y25" s="3813"/>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13"/>
      <c r="Q26" s="3441" t="str">
        <f t="shared" si="11"/>
        <v>朝向</v>
      </c>
      <c r="R26" s="3442" t="s">
        <v>8</v>
      </c>
      <c r="S26" s="3443">
        <f>F26</f>
        <v>100</v>
      </c>
      <c r="T26" s="3442" t="s">
        <v>8</v>
      </c>
      <c r="U26" s="3443">
        <f>H26</f>
        <v>100</v>
      </c>
      <c r="V26" s="3442" t="s">
        <v>8</v>
      </c>
      <c r="W26" s="3443">
        <f>J26</f>
        <v>100</v>
      </c>
      <c r="X26" s="3368"/>
      <c r="Y26" s="3813"/>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13"/>
      <c r="Q27" s="3402" t="str">
        <f t="shared" si="11"/>
        <v>道路级别</v>
      </c>
      <c r="R27" s="3385" t="s">
        <v>8</v>
      </c>
      <c r="S27" s="3386">
        <f>F27</f>
        <v>101</v>
      </c>
      <c r="T27" s="3385" t="s">
        <v>8</v>
      </c>
      <c r="U27" s="3386">
        <f>H27</f>
        <v>101</v>
      </c>
      <c r="V27" s="3385" t="s">
        <v>8</v>
      </c>
      <c r="W27" s="3386">
        <f>J27</f>
        <v>99</v>
      </c>
      <c r="X27" s="3387"/>
      <c r="Y27" s="3813"/>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13"/>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13"/>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13"/>
      <c r="Q29" s="3441">
        <f t="shared" si="11"/>
        <v>111</v>
      </c>
      <c r="R29" s="3442" t="s">
        <v>3480</v>
      </c>
      <c r="S29" s="3443">
        <f t="shared" si="12"/>
        <v>100</v>
      </c>
      <c r="T29" s="3442" t="s">
        <v>3480</v>
      </c>
      <c r="U29" s="3443">
        <f t="shared" si="13"/>
        <v>100</v>
      </c>
      <c r="V29" s="3442" t="s">
        <v>3480</v>
      </c>
      <c r="W29" s="3443">
        <f t="shared" si="14"/>
        <v>100</v>
      </c>
      <c r="X29" s="3368"/>
      <c r="Y29" s="3813"/>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13"/>
      <c r="Q30" s="3441">
        <f t="shared" si="11"/>
        <v>111</v>
      </c>
      <c r="R30" s="3442" t="s">
        <v>3480</v>
      </c>
      <c r="S30" s="3443">
        <f t="shared" si="12"/>
        <v>100</v>
      </c>
      <c r="T30" s="3442" t="s">
        <v>3480</v>
      </c>
      <c r="U30" s="3443">
        <f t="shared" si="13"/>
        <v>100</v>
      </c>
      <c r="V30" s="3442" t="s">
        <v>3480</v>
      </c>
      <c r="W30" s="3443">
        <f t="shared" si="14"/>
        <v>100</v>
      </c>
      <c r="X30" s="3368"/>
      <c r="Y30" s="3813"/>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13"/>
      <c r="Q31" s="3441">
        <f t="shared" si="11"/>
        <v>111</v>
      </c>
      <c r="R31" s="3442" t="s">
        <v>3480</v>
      </c>
      <c r="S31" s="3443">
        <f t="shared" si="12"/>
        <v>100</v>
      </c>
      <c r="T31" s="3442" t="s">
        <v>3480</v>
      </c>
      <c r="U31" s="3443">
        <f t="shared" si="13"/>
        <v>100</v>
      </c>
      <c r="V31" s="3442" t="s">
        <v>3480</v>
      </c>
      <c r="W31" s="3443">
        <f t="shared" si="14"/>
        <v>100</v>
      </c>
      <c r="X31" s="3368"/>
      <c r="Y31" s="3813"/>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14" t="s">
        <v>3482</v>
      </c>
      <c r="Q32" s="3441" t="str">
        <f t="shared" si="11"/>
        <v>建筑类型</v>
      </c>
      <c r="R32" s="3442" t="s">
        <v>3483</v>
      </c>
      <c r="S32" s="3443">
        <f t="shared" si="12"/>
        <v>100</v>
      </c>
      <c r="T32" s="3442" t="s">
        <v>3483</v>
      </c>
      <c r="U32" s="3443">
        <f t="shared" si="13"/>
        <v>100</v>
      </c>
      <c r="V32" s="3442" t="s">
        <v>3483</v>
      </c>
      <c r="W32" s="3443">
        <f t="shared" si="14"/>
        <v>100</v>
      </c>
      <c r="X32" s="3368"/>
      <c r="Y32" s="3815"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15"/>
      <c r="Q33" s="3501" t="str">
        <f t="shared" si="11"/>
        <v>项目建筑规模</v>
      </c>
      <c r="R33" s="3502" t="s">
        <v>3485</v>
      </c>
      <c r="S33" s="3503">
        <f t="shared" si="12"/>
        <v>100</v>
      </c>
      <c r="T33" s="3502" t="s">
        <v>3485</v>
      </c>
      <c r="U33" s="3503">
        <f t="shared" si="13"/>
        <v>100</v>
      </c>
      <c r="V33" s="3502" t="s">
        <v>3485</v>
      </c>
      <c r="W33" s="3503">
        <f t="shared" si="14"/>
        <v>100</v>
      </c>
      <c r="X33" s="3504"/>
      <c r="Y33" s="3815"/>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15"/>
      <c r="Q34" s="3441" t="str">
        <f t="shared" si="11"/>
        <v>建筑结构</v>
      </c>
      <c r="R34" s="3442" t="s">
        <v>3486</v>
      </c>
      <c r="S34" s="3443">
        <f t="shared" si="12"/>
        <v>100</v>
      </c>
      <c r="T34" s="3442" t="s">
        <v>3486</v>
      </c>
      <c r="U34" s="3443">
        <f t="shared" si="13"/>
        <v>100</v>
      </c>
      <c r="V34" s="3442" t="s">
        <v>3486</v>
      </c>
      <c r="W34" s="3443">
        <f t="shared" si="14"/>
        <v>100</v>
      </c>
      <c r="X34" s="3368"/>
      <c r="Y34" s="3815"/>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15"/>
      <c r="Q35" s="3441" t="str">
        <f t="shared" si="11"/>
        <v>建筑品质</v>
      </c>
      <c r="R35" s="3442" t="s">
        <v>3487</v>
      </c>
      <c r="S35" s="3443">
        <f t="shared" si="12"/>
        <v>100</v>
      </c>
      <c r="T35" s="3442" t="s">
        <v>3487</v>
      </c>
      <c r="U35" s="3443">
        <f t="shared" si="13"/>
        <v>100</v>
      </c>
      <c r="V35" s="3442" t="s">
        <v>3487</v>
      </c>
      <c r="W35" s="3443">
        <f t="shared" si="14"/>
        <v>100</v>
      </c>
      <c r="X35" s="3368"/>
      <c r="Y35" s="3815"/>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15"/>
      <c r="Q36" s="3441" t="str">
        <f t="shared" si="11"/>
        <v>公共部分装修</v>
      </c>
      <c r="R36" s="3442" t="s">
        <v>3488</v>
      </c>
      <c r="S36" s="3443">
        <f t="shared" si="12"/>
        <v>100</v>
      </c>
      <c r="T36" s="3442" t="s">
        <v>3488</v>
      </c>
      <c r="U36" s="3443">
        <f t="shared" si="13"/>
        <v>100</v>
      </c>
      <c r="V36" s="3442" t="s">
        <v>3488</v>
      </c>
      <c r="W36" s="3443">
        <f t="shared" si="14"/>
        <v>100</v>
      </c>
      <c r="X36" s="3368"/>
      <c r="Y36" s="3815"/>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15"/>
      <c r="Q37" s="3402" t="str">
        <f t="shared" si="11"/>
        <v>成新度</v>
      </c>
      <c r="R37" s="3385" t="s">
        <v>3489</v>
      </c>
      <c r="S37" s="3386">
        <f t="shared" si="12"/>
        <v>100</v>
      </c>
      <c r="T37" s="3385" t="s">
        <v>3489</v>
      </c>
      <c r="U37" s="3386">
        <f t="shared" si="13"/>
        <v>100</v>
      </c>
      <c r="V37" s="3385" t="s">
        <v>3489</v>
      </c>
      <c r="W37" s="3386">
        <f t="shared" si="14"/>
        <v>100</v>
      </c>
      <c r="X37" s="3387"/>
      <c r="Y37" s="3815"/>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15" t="s">
        <v>3490</v>
      </c>
      <c r="Q38" s="3441" t="str">
        <f t="shared" si="11"/>
        <v>物业管理</v>
      </c>
      <c r="R38" s="3442" t="s">
        <v>3491</v>
      </c>
      <c r="S38" s="3443">
        <f t="shared" si="12"/>
        <v>100</v>
      </c>
      <c r="T38" s="3442" t="s">
        <v>3491</v>
      </c>
      <c r="U38" s="3443">
        <f t="shared" si="13"/>
        <v>100</v>
      </c>
      <c r="V38" s="3442" t="s">
        <v>3491</v>
      </c>
      <c r="W38" s="3443">
        <f t="shared" si="14"/>
        <v>100</v>
      </c>
      <c r="X38" s="3368"/>
      <c r="Y38" s="3815"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15"/>
      <c r="Q39" s="3441" t="str">
        <f t="shared" si="11"/>
        <v>市政基础设施</v>
      </c>
      <c r="R39" s="3442" t="s">
        <v>3494</v>
      </c>
      <c r="S39" s="3443">
        <f t="shared" si="12"/>
        <v>100</v>
      </c>
      <c r="T39" s="3442" t="s">
        <v>3494</v>
      </c>
      <c r="U39" s="3443">
        <f t="shared" si="13"/>
        <v>100</v>
      </c>
      <c r="V39" s="3442" t="s">
        <v>3494</v>
      </c>
      <c r="W39" s="3443">
        <f t="shared" si="14"/>
        <v>100</v>
      </c>
      <c r="X39" s="3368"/>
      <c r="Y39" s="3815"/>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15"/>
      <c r="Q40" s="3441" t="str">
        <f t="shared" si="11"/>
        <v>房型</v>
      </c>
      <c r="R40" s="3442" t="s">
        <v>3488</v>
      </c>
      <c r="S40" s="3443">
        <f t="shared" si="12"/>
        <v>100</v>
      </c>
      <c r="T40" s="3442" t="s">
        <v>3488</v>
      </c>
      <c r="U40" s="3443">
        <f t="shared" si="13"/>
        <v>100</v>
      </c>
      <c r="V40" s="3442" t="s">
        <v>3488</v>
      </c>
      <c r="W40" s="3443">
        <f t="shared" si="14"/>
        <v>100</v>
      </c>
      <c r="X40" s="3368"/>
      <c r="Y40" s="3815"/>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15"/>
      <c r="Q41" s="3501" t="str">
        <f t="shared" si="11"/>
        <v>单套/主力户型建筑面积</v>
      </c>
      <c r="R41" s="3502" t="s">
        <v>8</v>
      </c>
      <c r="S41" s="3503">
        <f t="shared" si="12"/>
        <v>98</v>
      </c>
      <c r="T41" s="3502" t="s">
        <v>8</v>
      </c>
      <c r="U41" s="3503">
        <f t="shared" si="13"/>
        <v>100</v>
      </c>
      <c r="V41" s="3502" t="s">
        <v>8</v>
      </c>
      <c r="W41" s="3503">
        <f t="shared" si="14"/>
        <v>96</v>
      </c>
      <c r="X41" s="3504"/>
      <c r="Y41" s="3815"/>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15"/>
      <c r="Q42" s="3441" t="str">
        <f t="shared" si="11"/>
        <v>内部装修</v>
      </c>
      <c r="R42" s="3442" t="s">
        <v>3488</v>
      </c>
      <c r="S42" s="3443">
        <f t="shared" si="12"/>
        <v>100</v>
      </c>
      <c r="T42" s="3442" t="s">
        <v>3488</v>
      </c>
      <c r="U42" s="3443">
        <f t="shared" si="13"/>
        <v>100</v>
      </c>
      <c r="V42" s="3442" t="s">
        <v>3488</v>
      </c>
      <c r="W42" s="3443">
        <f t="shared" si="14"/>
        <v>100</v>
      </c>
      <c r="X42" s="3368"/>
      <c r="Y42" s="3815"/>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15"/>
      <c r="Q43" s="3441" t="str">
        <f t="shared" si="11"/>
        <v>内部装修维护情况</v>
      </c>
      <c r="R43" s="3442" t="s">
        <v>3483</v>
      </c>
      <c r="S43" s="3443">
        <f t="shared" si="12"/>
        <v>100</v>
      </c>
      <c r="T43" s="3442" t="s">
        <v>3483</v>
      </c>
      <c r="U43" s="3443">
        <f t="shared" si="13"/>
        <v>100</v>
      </c>
      <c r="V43" s="3442" t="s">
        <v>3483</v>
      </c>
      <c r="W43" s="3443">
        <f t="shared" si="14"/>
        <v>100</v>
      </c>
      <c r="X43" s="3368"/>
      <c r="Y43" s="3815"/>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15"/>
      <c r="Q44" s="3402">
        <f t="shared" si="11"/>
        <v>111</v>
      </c>
      <c r="R44" s="3385" t="s">
        <v>3483</v>
      </c>
      <c r="S44" s="3386">
        <f t="shared" si="12"/>
        <v>100</v>
      </c>
      <c r="T44" s="3385" t="s">
        <v>3483</v>
      </c>
      <c r="U44" s="3386">
        <f t="shared" si="13"/>
        <v>100</v>
      </c>
      <c r="V44" s="3385" t="s">
        <v>3483</v>
      </c>
      <c r="W44" s="3386">
        <f t="shared" si="14"/>
        <v>100</v>
      </c>
      <c r="X44" s="3387"/>
      <c r="Y44" s="3815"/>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15"/>
      <c r="Q45" s="3441">
        <f t="shared" si="11"/>
        <v>111</v>
      </c>
      <c r="R45" s="3442" t="s">
        <v>3483</v>
      </c>
      <c r="S45" s="3443">
        <f t="shared" si="12"/>
        <v>100</v>
      </c>
      <c r="T45" s="3442" t="s">
        <v>3483</v>
      </c>
      <c r="U45" s="3443">
        <f t="shared" si="13"/>
        <v>100</v>
      </c>
      <c r="V45" s="3442" t="s">
        <v>3483</v>
      </c>
      <c r="W45" s="3443">
        <f t="shared" si="14"/>
        <v>100</v>
      </c>
      <c r="X45" s="3368"/>
      <c r="Y45" s="3815"/>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16"/>
      <c r="Q46" s="3441">
        <f t="shared" si="11"/>
        <v>111</v>
      </c>
      <c r="R46" s="3442" t="s">
        <v>3483</v>
      </c>
      <c r="S46" s="3443">
        <f t="shared" si="12"/>
        <v>100</v>
      </c>
      <c r="T46" s="3442" t="s">
        <v>3483</v>
      </c>
      <c r="U46" s="3443">
        <f t="shared" si="13"/>
        <v>100</v>
      </c>
      <c r="V46" s="3442" t="s">
        <v>3483</v>
      </c>
      <c r="W46" s="3443">
        <f t="shared" si="14"/>
        <v>100</v>
      </c>
      <c r="X46" s="3368"/>
      <c r="Y46" s="3816"/>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07" t="str">
        <f>A47</f>
        <v>成交单价（元/平方米）</v>
      </c>
      <c r="Q47" s="3807"/>
      <c r="R47" s="3808">
        <f>E47</f>
        <v>13000</v>
      </c>
      <c r="S47" s="3808"/>
      <c r="T47" s="3808">
        <f>G47</f>
        <v>13500</v>
      </c>
      <c r="U47" s="3808"/>
      <c r="V47" s="3808">
        <f>I47</f>
        <v>15000</v>
      </c>
      <c r="W47" s="3808"/>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07" t="str">
        <f>A48</f>
        <v>比较价格（元/平方米）</v>
      </c>
      <c r="Q48" s="3807"/>
      <c r="R48" s="3808">
        <f>IF(F1="售价",ROUND(PRODUCT(R47,AA7:AA46),0),ROUND(PRODUCT(R47,AA7:AA46),1))</f>
        <v>13139</v>
      </c>
      <c r="S48" s="3808"/>
      <c r="T48" s="3808">
        <f>IF(F1="售价",ROUND(PRODUCT(T47,AB7:AB46),0),ROUND(PRODUCT(T47,AB7:AB46),1))</f>
        <v>12975</v>
      </c>
      <c r="U48" s="3808"/>
      <c r="V48" s="3808">
        <f>IF(F1="售价",ROUND(PRODUCT(V47,AC7:AC46),0),ROUND(PRODUCT(V47,AC7:AC46),1))</f>
        <v>15170</v>
      </c>
      <c r="W48" s="3808"/>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09" t="str">
        <f>A49</f>
        <v>估价对象XX用房的比较价格（楼面单价，元/平方米）</v>
      </c>
      <c r="Q49" s="3810"/>
      <c r="R49" s="3811">
        <f>IF(F1="售价",ROUND(AVERAGE(R48:V48),0),ROUND(AVERAGE(R48:V48),1))</f>
        <v>13761</v>
      </c>
      <c r="S49" s="3811"/>
      <c r="T49" s="3811"/>
      <c r="U49" s="3811"/>
      <c r="V49" s="3811"/>
      <c r="W49" s="3811"/>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29" t="s">
        <v>2462</v>
      </c>
      <c r="C6" s="782">
        <f ca="1">ROUND(F6*F8*F7*(1-F9)/10000,0)</f>
        <v>343</v>
      </c>
      <c r="D6" s="2460" t="s">
        <v>2461</v>
      </c>
      <c r="E6" s="783" t="s">
        <v>637</v>
      </c>
      <c r="F6" s="784">
        <f ca="1">INDIRECT("'数据-取费表'!u"&amp;$G$1)</f>
        <v>0.5</v>
      </c>
      <c r="G6" s="1577"/>
      <c r="H6" s="2467" t="s">
        <v>1824</v>
      </c>
      <c r="I6" s="4129" t="s">
        <v>2462</v>
      </c>
      <c r="J6" s="782">
        <f ca="1">ROUND(M6*M8*M7*(1-M9)/10000,0)</f>
        <v>0</v>
      </c>
      <c r="K6" s="340" t="s">
        <v>636</v>
      </c>
      <c r="L6" s="783" t="s">
        <v>637</v>
      </c>
      <c r="M6" s="784">
        <f ca="1">INDIRECT("'数据-取费表'!z"&amp;$G$1)</f>
        <v>0</v>
      </c>
    </row>
    <row r="7" spans="1:33" ht="18" customHeight="1">
      <c r="A7" s="2463"/>
      <c r="B7" s="4130"/>
      <c r="C7" s="787"/>
      <c r="D7" s="788"/>
      <c r="E7" s="783" t="s">
        <v>638</v>
      </c>
      <c r="F7" s="784">
        <f ca="1">IF(INDIRECT("'数据-取费表'!ah"&amp;$G$1)="",INDIRECT("'数据-取费表'!k"&amp;$G$1),INDIRECT("'数据-取费表'!ah"&amp;$G$1))</f>
        <v>19390.11</v>
      </c>
      <c r="G7" s="1577"/>
      <c r="H7" s="2452"/>
      <c r="I7" s="4130"/>
      <c r="J7" s="787"/>
      <c r="K7" s="788"/>
      <c r="L7" s="783" t="s">
        <v>638</v>
      </c>
      <c r="M7" s="784">
        <f ca="1">F7</f>
        <v>19390.11</v>
      </c>
    </row>
    <row r="8" spans="1:33" ht="18" customHeight="1">
      <c r="A8" s="2456"/>
      <c r="B8" s="4131"/>
      <c r="C8" s="787"/>
      <c r="D8" s="788"/>
      <c r="E8" s="783" t="s">
        <v>639</v>
      </c>
      <c r="F8" s="784">
        <f ca="1">INDIRECT("'数据-取费表'!ai"&amp;$G$1)</f>
        <v>365</v>
      </c>
      <c r="G8" s="1577"/>
      <c r="H8" s="2452"/>
      <c r="I8" s="4131"/>
      <c r="J8" s="787"/>
      <c r="K8" s="788"/>
      <c r="L8" s="783" t="s">
        <v>639</v>
      </c>
      <c r="M8" s="784">
        <f ca="1">INDIRECT("'数据-取费表'!ai"&amp;$G$1)</f>
        <v>365</v>
      </c>
    </row>
    <row r="9" spans="1:33" ht="18" customHeight="1">
      <c r="A9" s="785"/>
      <c r="B9" s="4132"/>
      <c r="C9" s="787"/>
      <c r="D9" s="788"/>
      <c r="E9" s="783" t="s">
        <v>640</v>
      </c>
      <c r="F9" s="793">
        <f ca="1">INDIRECT("'数据-取费表'!w"&amp;$G$1)</f>
        <v>0.03</v>
      </c>
      <c r="G9" s="1577"/>
      <c r="H9" s="2468"/>
      <c r="I9" s="4131"/>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3578.18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3578.18</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40" t="s">
        <v>2962</v>
      </c>
      <c r="L53" s="414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3578.18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81" t="s">
        <v>2038</v>
      </c>
      <c r="B1" s="3781"/>
      <c r="C1" s="3781"/>
      <c r="D1" s="3781"/>
      <c r="E1" s="3781"/>
      <c r="F1" s="3781"/>
      <c r="G1" s="3781"/>
      <c r="H1" s="3781"/>
      <c r="I1" s="3781"/>
      <c r="J1" s="3781"/>
      <c r="K1" s="3781"/>
      <c r="L1" s="3781"/>
      <c r="M1" s="3781"/>
      <c r="N1" s="3781"/>
      <c r="O1" s="3781"/>
      <c r="P1" s="3781"/>
      <c r="Q1" s="3781"/>
      <c r="R1" s="3781"/>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82" t="s">
        <v>2029</v>
      </c>
      <c r="B3" s="3782" t="s">
        <v>2730</v>
      </c>
      <c r="C3" s="3783" t="s">
        <v>2030</v>
      </c>
      <c r="D3" s="3782" t="s">
        <v>2734</v>
      </c>
      <c r="E3" s="3785" t="s">
        <v>2031</v>
      </c>
      <c r="F3" s="3785"/>
      <c r="G3" s="3785"/>
      <c r="H3" s="3785" t="s">
        <v>2032</v>
      </c>
      <c r="I3" s="3785"/>
      <c r="J3" s="3785"/>
      <c r="K3" s="3783" t="s">
        <v>2033</v>
      </c>
      <c r="L3" s="3783" t="s">
        <v>2034</v>
      </c>
      <c r="M3" s="3782" t="s">
        <v>2731</v>
      </c>
      <c r="N3" s="3784" t="str">
        <f>"（分摊）"&amp;项目基本情况!B16&amp;"国有建设用地使用权面积/㎡"</f>
        <v>（分摊）出让国有建设用地使用权面积/㎡</v>
      </c>
      <c r="O3" s="3782" t="s">
        <v>2063</v>
      </c>
      <c r="P3" s="3783" t="s">
        <v>2043</v>
      </c>
      <c r="Q3" s="3783" t="s">
        <v>2064</v>
      </c>
      <c r="R3" s="3783" t="s">
        <v>2035</v>
      </c>
    </row>
    <row r="4" spans="1:18" ht="36.75" customHeight="1">
      <c r="A4" s="3782"/>
      <c r="B4" s="3782"/>
      <c r="C4" s="3783"/>
      <c r="D4" s="3782"/>
      <c r="E4" s="2612" t="s">
        <v>2042</v>
      </c>
      <c r="F4" s="2612" t="s">
        <v>2743</v>
      </c>
      <c r="G4" s="2612" t="s">
        <v>2036</v>
      </c>
      <c r="H4" s="2612" t="s">
        <v>2037</v>
      </c>
      <c r="I4" s="2612" t="s">
        <v>2744</v>
      </c>
      <c r="J4" s="2612" t="s">
        <v>2036</v>
      </c>
      <c r="K4" s="3783"/>
      <c r="L4" s="3783"/>
      <c r="M4" s="3782"/>
      <c r="N4" s="3784"/>
      <c r="O4" s="3782"/>
      <c r="P4" s="3783"/>
      <c r="Q4" s="3783"/>
      <c r="R4" s="3783"/>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111184.34000000001</v>
      </c>
      <c r="P5" s="1794">
        <f ca="1">结果表!E42</f>
        <v>7135</v>
      </c>
      <c r="Q5" s="1794">
        <f ca="1">结果表!D42</f>
        <v>1291</v>
      </c>
      <c r="R5" s="1795">
        <f ca="1">结果表!C42</f>
        <v>14357</v>
      </c>
    </row>
    <row r="6" spans="1:18">
      <c r="A6" s="3786" t="str">
        <f>IF(项目基本情况!B9="市场价格","——","抵押价格")</f>
        <v>抵押价格</v>
      </c>
      <c r="B6" s="3787"/>
      <c r="C6" s="3787"/>
      <c r="D6" s="3787"/>
      <c r="E6" s="3787"/>
      <c r="F6" s="3787"/>
      <c r="G6" s="3787"/>
      <c r="H6" s="3787"/>
      <c r="I6" s="3787"/>
      <c r="J6" s="3787"/>
      <c r="K6" s="3787"/>
      <c r="L6" s="3787"/>
      <c r="M6" s="3787"/>
      <c r="N6" s="3787"/>
      <c r="O6" s="3787"/>
      <c r="P6" s="3787"/>
      <c r="Q6" s="3788"/>
      <c r="R6" s="1796">
        <f ca="1">结果表!O39</f>
        <v>14357</v>
      </c>
    </row>
    <row r="7" spans="1:18">
      <c r="A7" s="3786" t="str">
        <f>IF(项目基本情况!B9="市场价格","——",IF(项目基本情况!E8="已注销及未注销","抵押担保权已注销时的抵押价格","——"))</f>
        <v>——</v>
      </c>
      <c r="B7" s="3787"/>
      <c r="C7" s="3787"/>
      <c r="D7" s="3787"/>
      <c r="E7" s="3787"/>
      <c r="F7" s="3787"/>
      <c r="G7" s="3787"/>
      <c r="H7" s="3787"/>
      <c r="I7" s="3787"/>
      <c r="J7" s="3787"/>
      <c r="K7" s="3787"/>
      <c r="L7" s="3787"/>
      <c r="M7" s="3787"/>
      <c r="N7" s="3787"/>
      <c r="O7" s="3787"/>
      <c r="P7" s="3787"/>
      <c r="Q7" s="3788"/>
      <c r="R7" s="1796" t="str">
        <f>结果表!O40</f>
        <v>——</v>
      </c>
    </row>
    <row r="8" spans="1:18">
      <c r="A8" s="3786" t="str">
        <f>IF(项目基本情况!B9="市场价格","——",项目基本情况!E9)</f>
        <v>抵押净值</v>
      </c>
      <c r="B8" s="3787"/>
      <c r="C8" s="3787"/>
      <c r="D8" s="3787"/>
      <c r="E8" s="3787"/>
      <c r="F8" s="3787"/>
      <c r="G8" s="3787"/>
      <c r="H8" s="3787"/>
      <c r="I8" s="3787"/>
      <c r="J8" s="3787"/>
      <c r="K8" s="3787"/>
      <c r="L8" s="3787"/>
      <c r="M8" s="3787"/>
      <c r="N8" s="3787"/>
      <c r="O8" s="3787"/>
      <c r="P8" s="3787"/>
      <c r="Q8" s="3788"/>
      <c r="R8" s="1796">
        <f ca="1">结果表!O41</f>
        <v>10172</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789" t="s">
        <v>2065</v>
      </c>
      <c r="B1" s="3789"/>
      <c r="C1" s="3789"/>
      <c r="D1" s="3789"/>
    </row>
    <row r="2" spans="1:4" ht="47.25" customHeight="1">
      <c r="A2" s="3793" t="str">
        <f>"1.权利限制："&amp;项目基本情况!L24&amp;"未设定租赁等其他他项权利。"</f>
        <v>1.权利限制：根据估价对象《不动产权证书》原件、《国有土地使用权》复印件，截至估价期日，估价对象抵押权未见登记。未设定租赁等其他他项权利。</v>
      </c>
      <c r="B2" s="3793"/>
      <c r="C2" s="3793"/>
      <c r="D2" s="3793"/>
    </row>
    <row r="3" spans="1:4" ht="48" customHeight="1">
      <c r="A3" s="37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9"/>
      <c r="C3" s="3789"/>
      <c r="D3" s="3789"/>
    </row>
    <row r="4" spans="1:4" ht="36.75" customHeight="1">
      <c r="A4" s="3789" t="str">
        <f>"3.估价规划限制条件：详见"&amp;项目基本情况!E21&amp;"。"</f>
        <v>3.估价规划限制条件：详见《建设工程规划许可证》[]、《出让合同》[]。</v>
      </c>
      <c r="B4" s="3789"/>
      <c r="C4" s="3789"/>
      <c r="D4" s="3789"/>
    </row>
    <row r="5" spans="1:4">
      <c r="A5" s="3792" t="s">
        <v>2066</v>
      </c>
      <c r="B5" s="3792"/>
      <c r="C5" s="3792"/>
      <c r="D5" s="3792"/>
    </row>
    <row r="6" spans="1:4">
      <c r="A6" s="3789" t="s">
        <v>2044</v>
      </c>
      <c r="B6" s="3789"/>
      <c r="C6" s="3789"/>
      <c r="D6" s="3789"/>
    </row>
    <row r="7" spans="1:4" ht="33" customHeight="1">
      <c r="A7" s="3789" t="s">
        <v>2574</v>
      </c>
      <c r="B7" s="3789"/>
      <c r="C7" s="3789"/>
      <c r="D7" s="3789"/>
    </row>
    <row r="8" spans="1:4" ht="32.25" customHeight="1">
      <c r="A8" s="37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89"/>
      <c r="C8" s="3789"/>
      <c r="D8" s="3789"/>
    </row>
    <row r="9" spans="1:4" ht="33.75" customHeight="1">
      <c r="A9" s="37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89"/>
      <c r="C9" s="3789"/>
      <c r="D9" s="3789"/>
    </row>
    <row r="10" spans="1:4">
      <c r="A10" s="3789" t="str">
        <f>IF(项目基本情况!B8="抵押","4.估价师所知悉的法定优先受偿款情况为：","——")</f>
        <v>4.估价师所知悉的法定优先受偿款情况为：</v>
      </c>
      <c r="B10" s="3789"/>
      <c r="C10" s="3789"/>
      <c r="D10" s="3789"/>
    </row>
    <row r="11" spans="1:4" ht="37.5" customHeight="1">
      <c r="A11" s="37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91"/>
      <c r="C11" s="3791"/>
      <c r="D11" s="3791"/>
    </row>
    <row r="12" spans="1:4" ht="168" customHeight="1">
      <c r="A12" s="3792" t="s">
        <v>2068</v>
      </c>
      <c r="B12" s="3792"/>
      <c r="C12" s="3792"/>
      <c r="D12" s="3792"/>
    </row>
    <row r="13" spans="1:4">
      <c r="A13" s="3790" t="s">
        <v>2745</v>
      </c>
      <c r="B13" s="3790"/>
      <c r="C13" s="3790"/>
      <c r="D13" s="3790"/>
    </row>
    <row r="14" spans="1:4">
      <c r="A14" s="3791" t="str">
        <f>IF(项目基本情况!B8="抵押","综上，"&amp;结果表!K47,"——")</f>
        <v>综上，本次评估不存在估价师知悉的法定优先受偿款</v>
      </c>
      <c r="B14" s="3791"/>
      <c r="C14" s="3791"/>
      <c r="D14" s="3791"/>
    </row>
    <row r="15" spans="1:4" ht="58.5" customHeight="1">
      <c r="A15" s="37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9"/>
      <c r="C15" s="3789"/>
      <c r="D15" s="3789"/>
    </row>
    <row r="16" spans="1:4" ht="70.5" customHeight="1">
      <c r="A16" s="37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9"/>
      <c r="C16" s="3789"/>
      <c r="D16" s="3789"/>
    </row>
    <row r="17" spans="1:4">
      <c r="A17" s="3789" t="s">
        <v>2701</v>
      </c>
      <c r="B17" s="3789"/>
      <c r="C17" s="3789"/>
      <c r="D17" s="3789"/>
    </row>
    <row r="18" spans="1:4">
      <c r="A18" s="3789" t="s">
        <v>2693</v>
      </c>
      <c r="B18" s="3789"/>
      <c r="C18" s="3789"/>
      <c r="D18" s="3789"/>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789" t="s">
        <v>2698</v>
      </c>
      <c r="B23" s="3789"/>
      <c r="C23" s="3789"/>
      <c r="D23" s="3789"/>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01" t="s">
        <v>53</v>
      </c>
      <c r="B15" s="3802" t="s">
        <v>846</v>
      </c>
      <c r="C15" s="3798"/>
    </row>
    <row r="16" spans="1:7" ht="14.25">
      <c r="A16" s="3801"/>
      <c r="B16" s="3799" t="s">
        <v>54</v>
      </c>
      <c r="C16" s="1167" t="s">
        <v>53</v>
      </c>
    </row>
    <row r="17" spans="1:3" ht="14.25">
      <c r="A17" s="3801"/>
      <c r="B17" s="3799"/>
      <c r="C17" s="1167" t="s">
        <v>55</v>
      </c>
    </row>
    <row r="18" spans="1:3" ht="14.25">
      <c r="A18" s="3801"/>
      <c r="B18" s="3799"/>
      <c r="C18" s="1167" t="s">
        <v>56</v>
      </c>
    </row>
    <row r="19" spans="1:3" ht="14.25">
      <c r="A19" s="3801"/>
      <c r="B19" s="3797" t="s">
        <v>57</v>
      </c>
      <c r="C19" s="3798"/>
    </row>
    <row r="20" spans="1:3" ht="14.25">
      <c r="A20" s="1168" t="s">
        <v>58</v>
      </c>
      <c r="B20" s="1169"/>
      <c r="C20" s="1170"/>
    </row>
    <row r="21" spans="1:3" ht="14.25">
      <c r="A21" s="3800" t="s">
        <v>59</v>
      </c>
      <c r="B21" s="3797" t="s">
        <v>60</v>
      </c>
      <c r="C21" s="3798"/>
    </row>
    <row r="22" spans="1:3" ht="14.25">
      <c r="A22" s="3800"/>
      <c r="B22" s="3797" t="s">
        <v>61</v>
      </c>
      <c r="C22" s="3798"/>
    </row>
    <row r="23" spans="1:3" ht="14.25">
      <c r="A23" s="3800"/>
      <c r="B23" s="3797" t="s">
        <v>62</v>
      </c>
      <c r="C23" s="3798"/>
    </row>
    <row r="24" spans="1:3" ht="14.25">
      <c r="A24" s="3800"/>
      <c r="B24" s="3803" t="s">
        <v>63</v>
      </c>
      <c r="C24" s="1171" t="s">
        <v>837</v>
      </c>
    </row>
    <row r="25" spans="1:3" ht="14.25">
      <c r="A25" s="3800"/>
      <c r="B25" s="3804"/>
      <c r="C25" s="1171" t="s">
        <v>838</v>
      </c>
    </row>
    <row r="26" spans="1:3" ht="14.25">
      <c r="A26" s="3800"/>
      <c r="B26" s="3804"/>
      <c r="C26" s="1171" t="s">
        <v>839</v>
      </c>
    </row>
    <row r="27" spans="1:3" ht="14.25">
      <c r="A27" s="3800"/>
      <c r="B27" s="3804"/>
      <c r="C27" s="1171" t="s">
        <v>840</v>
      </c>
    </row>
    <row r="28" spans="1:3" ht="14.25">
      <c r="A28" s="3800"/>
      <c r="B28" s="3804"/>
      <c r="C28" s="1171" t="s">
        <v>841</v>
      </c>
    </row>
    <row r="29" spans="1:3" ht="14.25">
      <c r="A29" s="3800"/>
      <c r="B29" s="3804"/>
      <c r="C29" s="1171" t="s">
        <v>842</v>
      </c>
    </row>
    <row r="30" spans="1:3" ht="14.25">
      <c r="A30" s="3800"/>
      <c r="B30" s="3804"/>
      <c r="C30" s="1171" t="s">
        <v>843</v>
      </c>
    </row>
    <row r="31" spans="1:3" ht="14.25">
      <c r="A31" s="3800"/>
      <c r="B31" s="3804"/>
      <c r="C31" s="1171" t="s">
        <v>844</v>
      </c>
    </row>
    <row r="32" spans="1:3" ht="14.25">
      <c r="A32" s="3800"/>
      <c r="B32" s="3804"/>
      <c r="C32" s="1171" t="s">
        <v>1646</v>
      </c>
    </row>
    <row r="33" spans="1:3" ht="14.25">
      <c r="A33" s="3800"/>
      <c r="B33" s="3794" t="s">
        <v>1652</v>
      </c>
      <c r="C33" s="1171" t="s">
        <v>1647</v>
      </c>
    </row>
    <row r="34" spans="1:3" ht="14.25">
      <c r="A34" s="3800"/>
      <c r="B34" s="3795"/>
      <c r="C34" s="1176" t="s">
        <v>1648</v>
      </c>
    </row>
    <row r="35" spans="1:3" ht="14.25">
      <c r="A35" s="3800"/>
      <c r="B35" s="3795"/>
      <c r="C35" s="1177" t="s">
        <v>1649</v>
      </c>
    </row>
    <row r="36" spans="1:3" ht="14.25">
      <c r="A36" s="3800"/>
      <c r="B36" s="3795"/>
      <c r="C36" s="1177" t="s">
        <v>1650</v>
      </c>
    </row>
    <row r="37" spans="1:3" ht="14.25">
      <c r="A37" s="3800"/>
      <c r="B37" s="379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43675</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05" t="s">
        <v>1926</v>
      </c>
      <c r="B25" s="3805"/>
      <c r="C25" s="3805"/>
      <c r="D25" s="3805"/>
      <c r="E25" s="3805"/>
      <c r="F25" s="3805"/>
      <c r="G25" s="3805"/>
    </row>
    <row r="26" spans="1:7" ht="20.25" customHeight="1">
      <c r="A26" s="3806" t="s">
        <v>1927</v>
      </c>
      <c r="B26" s="3806"/>
      <c r="C26" s="3806"/>
      <c r="D26" s="3806" t="s">
        <v>1928</v>
      </c>
      <c r="E26" s="3806"/>
      <c r="F26" s="3806"/>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31" t="s">
        <v>3333</v>
      </c>
      <c r="D4" s="3832"/>
      <c r="E4" s="3833" t="s">
        <v>3334</v>
      </c>
      <c r="F4" s="3834"/>
      <c r="G4" s="3831" t="s">
        <v>3335</v>
      </c>
      <c r="H4" s="3832"/>
      <c r="I4" s="3831" t="s">
        <v>3336</v>
      </c>
      <c r="J4" s="3832"/>
      <c r="K4" s="3365" t="s">
        <v>3337</v>
      </c>
      <c r="L4" s="3366"/>
      <c r="M4" s="3367"/>
      <c r="N4" s="3367"/>
      <c r="O4" s="3367"/>
      <c r="P4" s="3835" t="s">
        <v>3338</v>
      </c>
      <c r="Q4" s="3836"/>
      <c r="R4" s="3821" t="s">
        <v>3339</v>
      </c>
      <c r="S4" s="3822"/>
      <c r="T4" s="3821" t="s">
        <v>3340</v>
      </c>
      <c r="U4" s="3822"/>
      <c r="V4" s="3820" t="s">
        <v>3341</v>
      </c>
      <c r="W4" s="3820"/>
      <c r="X4" s="3368"/>
      <c r="Y4" s="3821" t="s">
        <v>3338</v>
      </c>
      <c r="Z4" s="3822"/>
      <c r="AA4" s="3827" t="s">
        <v>3339</v>
      </c>
      <c r="AB4" s="3827" t="s">
        <v>3340</v>
      </c>
      <c r="AC4" s="3827" t="s">
        <v>3341</v>
      </c>
    </row>
    <row r="5" spans="1:29" ht="15">
      <c r="A5" s="3370"/>
      <c r="B5" s="3371"/>
      <c r="C5" s="3841" t="s">
        <v>3342</v>
      </c>
      <c r="D5" s="3842"/>
      <c r="E5" s="3843" t="s">
        <v>3343</v>
      </c>
      <c r="F5" s="3844"/>
      <c r="G5" s="3845" t="s">
        <v>3344</v>
      </c>
      <c r="H5" s="3842"/>
      <c r="I5" s="3845" t="s">
        <v>3346</v>
      </c>
      <c r="J5" s="3842"/>
      <c r="K5" s="3372"/>
      <c r="L5" s="3366"/>
      <c r="M5" s="3367"/>
      <c r="N5" s="3367"/>
      <c r="O5" s="3367"/>
      <c r="P5" s="3837"/>
      <c r="Q5" s="3838"/>
      <c r="R5" s="3823"/>
      <c r="S5" s="3824"/>
      <c r="T5" s="3823"/>
      <c r="U5" s="3824"/>
      <c r="V5" s="3820"/>
      <c r="W5" s="3820"/>
      <c r="X5" s="3368"/>
      <c r="Y5" s="3823"/>
      <c r="Z5" s="3824"/>
      <c r="AA5" s="3828"/>
      <c r="AB5" s="3828"/>
      <c r="AC5" s="3828"/>
    </row>
    <row r="6" spans="1:29" ht="15.75" thickBot="1">
      <c r="A6" s="3373"/>
      <c r="B6" s="3374"/>
      <c r="C6" s="3846" t="s">
        <v>3347</v>
      </c>
      <c r="D6" s="3847"/>
      <c r="E6" s="3848" t="s">
        <v>3347</v>
      </c>
      <c r="F6" s="3849"/>
      <c r="G6" s="3846" t="s">
        <v>3347</v>
      </c>
      <c r="H6" s="3847"/>
      <c r="I6" s="3846" t="s">
        <v>3347</v>
      </c>
      <c r="J6" s="3847"/>
      <c r="K6" s="3372" t="s">
        <v>3348</v>
      </c>
      <c r="L6" s="3366"/>
      <c r="M6" s="3367"/>
      <c r="N6" s="3367"/>
      <c r="O6" s="3367"/>
      <c r="P6" s="3839"/>
      <c r="Q6" s="3840"/>
      <c r="R6" s="3823"/>
      <c r="S6" s="3824"/>
      <c r="T6" s="3825"/>
      <c r="U6" s="3826"/>
      <c r="V6" s="3820"/>
      <c r="W6" s="3820"/>
      <c r="X6" s="3368"/>
      <c r="Y6" s="3825"/>
      <c r="Z6" s="3826"/>
      <c r="AA6" s="3829"/>
      <c r="AB6" s="3829"/>
      <c r="AC6" s="3829"/>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17" t="s">
        <v>3350</v>
      </c>
      <c r="Q7" s="3830"/>
      <c r="R7" s="3385" t="s">
        <v>3351</v>
      </c>
      <c r="S7" s="3386">
        <f t="shared" ref="S7:S15" si="0">F7</f>
        <v>100</v>
      </c>
      <c r="T7" s="3385" t="s">
        <v>3351</v>
      </c>
      <c r="U7" s="3386">
        <f t="shared" ref="U7:U15" si="1">H7</f>
        <v>100</v>
      </c>
      <c r="V7" s="3385" t="s">
        <v>3351</v>
      </c>
      <c r="W7" s="3386">
        <f t="shared" ref="W7:W15" si="2">J7</f>
        <v>100</v>
      </c>
      <c r="X7" s="3387"/>
      <c r="Y7" s="3817" t="s">
        <v>3350</v>
      </c>
      <c r="Z7" s="3818"/>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17" t="s">
        <v>3354</v>
      </c>
      <c r="Q8" s="3818"/>
      <c r="R8" s="3385" t="s">
        <v>3355</v>
      </c>
      <c r="S8" s="3386">
        <f t="shared" si="0"/>
        <v>100</v>
      </c>
      <c r="T8" s="3385" t="s">
        <v>3355</v>
      </c>
      <c r="U8" s="3386">
        <f t="shared" si="1"/>
        <v>100</v>
      </c>
      <c r="V8" s="3385" t="s">
        <v>3355</v>
      </c>
      <c r="W8" s="3386">
        <f t="shared" si="2"/>
        <v>100</v>
      </c>
      <c r="X8" s="3387"/>
      <c r="Y8" s="3817" t="s">
        <v>3354</v>
      </c>
      <c r="Z8" s="3818"/>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7" t="s">
        <v>535</v>
      </c>
      <c r="Q9" s="3402" t="str">
        <f t="shared" ref="Q9:Q15" si="6">B9</f>
        <v>用途</v>
      </c>
      <c r="R9" s="3385" t="s">
        <v>3355</v>
      </c>
      <c r="S9" s="3386">
        <f t="shared" si="0"/>
        <v>100</v>
      </c>
      <c r="T9" s="3385" t="s">
        <v>3355</v>
      </c>
      <c r="U9" s="3386">
        <f t="shared" si="1"/>
        <v>100</v>
      </c>
      <c r="V9" s="3385" t="s">
        <v>3355</v>
      </c>
      <c r="W9" s="3386">
        <f t="shared" si="2"/>
        <v>100</v>
      </c>
      <c r="X9" s="3387"/>
      <c r="Y9" s="3819"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7"/>
      <c r="Q10" s="3402" t="str">
        <f t="shared" si="6"/>
        <v>土地使用年限（年）</v>
      </c>
      <c r="R10" s="3385" t="s">
        <v>8</v>
      </c>
      <c r="S10" s="3386">
        <f t="shared" si="0"/>
        <v>100</v>
      </c>
      <c r="T10" s="3385" t="s">
        <v>8</v>
      </c>
      <c r="U10" s="3386">
        <f t="shared" si="1"/>
        <v>100</v>
      </c>
      <c r="V10" s="3385" t="s">
        <v>8</v>
      </c>
      <c r="W10" s="3386">
        <f t="shared" si="2"/>
        <v>100</v>
      </c>
      <c r="X10" s="3387"/>
      <c r="Y10" s="3819"/>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07"/>
      <c r="Q11" s="3402" t="str">
        <f t="shared" si="6"/>
        <v>容积率</v>
      </c>
      <c r="R11" s="3385" t="s">
        <v>3351</v>
      </c>
      <c r="S11" s="3386" t="e">
        <f t="shared" si="0"/>
        <v>#REF!</v>
      </c>
      <c r="T11" s="3385" t="s">
        <v>3351</v>
      </c>
      <c r="U11" s="3386" t="e">
        <f t="shared" si="1"/>
        <v>#REF!</v>
      </c>
      <c r="V11" s="3385" t="s">
        <v>3351</v>
      </c>
      <c r="W11" s="3386" t="e">
        <f t="shared" si="2"/>
        <v>#REF!</v>
      </c>
      <c r="X11" s="3387"/>
      <c r="Y11" s="3819"/>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7"/>
      <c r="Q12" s="3402">
        <f t="shared" si="6"/>
        <v>111</v>
      </c>
      <c r="R12" s="3385" t="s">
        <v>3351</v>
      </c>
      <c r="S12" s="3386">
        <f t="shared" si="0"/>
        <v>100</v>
      </c>
      <c r="T12" s="3385" t="s">
        <v>3351</v>
      </c>
      <c r="U12" s="3386">
        <f t="shared" si="1"/>
        <v>100</v>
      </c>
      <c r="V12" s="3385" t="s">
        <v>3351</v>
      </c>
      <c r="W12" s="3386">
        <f t="shared" si="2"/>
        <v>100</v>
      </c>
      <c r="X12" s="3387"/>
      <c r="Y12" s="3819"/>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7"/>
      <c r="Q13" s="3402">
        <f t="shared" si="6"/>
        <v>111</v>
      </c>
      <c r="R13" s="3385" t="s">
        <v>3351</v>
      </c>
      <c r="S13" s="3386">
        <f t="shared" si="0"/>
        <v>100</v>
      </c>
      <c r="T13" s="3385" t="s">
        <v>3351</v>
      </c>
      <c r="U13" s="3386">
        <f t="shared" si="1"/>
        <v>100</v>
      </c>
      <c r="V13" s="3385" t="s">
        <v>3351</v>
      </c>
      <c r="W13" s="3386">
        <f t="shared" si="2"/>
        <v>100</v>
      </c>
      <c r="X13" s="3387"/>
      <c r="Y13" s="3819"/>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7"/>
      <c r="Q14" s="3402">
        <f t="shared" si="6"/>
        <v>111</v>
      </c>
      <c r="R14" s="3385" t="s">
        <v>3351</v>
      </c>
      <c r="S14" s="3386">
        <f t="shared" si="0"/>
        <v>100</v>
      </c>
      <c r="T14" s="3385" t="s">
        <v>3351</v>
      </c>
      <c r="U14" s="3386">
        <f t="shared" si="1"/>
        <v>100</v>
      </c>
      <c r="V14" s="3385" t="s">
        <v>3351</v>
      </c>
      <c r="W14" s="3386">
        <f t="shared" si="2"/>
        <v>100</v>
      </c>
      <c r="X14" s="3387"/>
      <c r="Y14" s="3819"/>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12" t="s">
        <v>3363</v>
      </c>
      <c r="Q15" s="3441" t="str">
        <f t="shared" si="6"/>
        <v>居住社区成熟度</v>
      </c>
      <c r="R15" s="3442" t="s">
        <v>3351</v>
      </c>
      <c r="S15" s="3443">
        <f t="shared" si="0"/>
        <v>100</v>
      </c>
      <c r="T15" s="3442" t="s">
        <v>3351</v>
      </c>
      <c r="U15" s="3443">
        <f t="shared" si="1"/>
        <v>100</v>
      </c>
      <c r="V15" s="3442" t="s">
        <v>3351</v>
      </c>
      <c r="W15" s="3443">
        <f t="shared" si="2"/>
        <v>100</v>
      </c>
      <c r="X15" s="3368"/>
      <c r="Y15" s="3812"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13"/>
      <c r="Q16" s="3441"/>
      <c r="R16" s="3442"/>
      <c r="S16" s="3443"/>
      <c r="T16" s="3442"/>
      <c r="U16" s="3443"/>
      <c r="V16" s="3442"/>
      <c r="W16" s="3443"/>
      <c r="X16" s="3368"/>
      <c r="Y16" s="3813"/>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13"/>
      <c r="Q17" s="3441" t="str">
        <f>B17</f>
        <v>交通便捷度</v>
      </c>
      <c r="R17" s="3442" t="s">
        <v>3367</v>
      </c>
      <c r="S17" s="3443">
        <f>F17</f>
        <v>100</v>
      </c>
      <c r="T17" s="3442" t="s">
        <v>3351</v>
      </c>
      <c r="U17" s="3443">
        <f>H17</f>
        <v>100</v>
      </c>
      <c r="V17" s="3442" t="s">
        <v>3351</v>
      </c>
      <c r="W17" s="3443">
        <f>J17</f>
        <v>100</v>
      </c>
      <c r="X17" s="3368"/>
      <c r="Y17" s="3813"/>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13"/>
      <c r="Q18" s="3441"/>
      <c r="R18" s="3442"/>
      <c r="S18" s="3443"/>
      <c r="T18" s="3442"/>
      <c r="U18" s="3443"/>
      <c r="V18" s="3442"/>
      <c r="W18" s="3443"/>
      <c r="X18" s="3368"/>
      <c r="Y18" s="3813"/>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13"/>
      <c r="Q19" s="3441" t="str">
        <f>B19</f>
        <v>公共配套设施</v>
      </c>
      <c r="R19" s="3442" t="s">
        <v>3351</v>
      </c>
      <c r="S19" s="3443">
        <f>F19</f>
        <v>100</v>
      </c>
      <c r="T19" s="3442" t="s">
        <v>3351</v>
      </c>
      <c r="U19" s="3443">
        <f>H19</f>
        <v>102</v>
      </c>
      <c r="V19" s="3442" t="s">
        <v>3351</v>
      </c>
      <c r="W19" s="3443">
        <f>J19</f>
        <v>102</v>
      </c>
      <c r="X19" s="3368"/>
      <c r="Y19" s="3813"/>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13"/>
      <c r="Q20" s="3441"/>
      <c r="R20" s="3442"/>
      <c r="S20" s="3443"/>
      <c r="T20" s="3442"/>
      <c r="U20" s="3443"/>
      <c r="V20" s="3442"/>
      <c r="W20" s="3443"/>
      <c r="X20" s="3368"/>
      <c r="Y20" s="3813"/>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13"/>
      <c r="Q21" s="3441" t="str">
        <f>B21</f>
        <v>基础设施水平</v>
      </c>
      <c r="R21" s="3442" t="s">
        <v>3351</v>
      </c>
      <c r="S21" s="3443">
        <f>F21</f>
        <v>100</v>
      </c>
      <c r="T21" s="3442" t="s">
        <v>3351</v>
      </c>
      <c r="U21" s="3443">
        <f>H21</f>
        <v>100</v>
      </c>
      <c r="V21" s="3442" t="s">
        <v>3351</v>
      </c>
      <c r="W21" s="3443">
        <f>J21</f>
        <v>100</v>
      </c>
      <c r="X21" s="3368"/>
      <c r="Y21" s="3813"/>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13"/>
      <c r="Q22" s="3441"/>
      <c r="R22" s="3442"/>
      <c r="S22" s="3443"/>
      <c r="T22" s="3442"/>
      <c r="U22" s="3443"/>
      <c r="V22" s="3442"/>
      <c r="W22" s="3443"/>
      <c r="X22" s="3368"/>
      <c r="Y22" s="3813"/>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13"/>
      <c r="Q23" s="3441" t="str">
        <f>B23</f>
        <v>自然及人文环境</v>
      </c>
      <c r="R23" s="3442" t="s">
        <v>3351</v>
      </c>
      <c r="S23" s="3443">
        <f>F23</f>
        <v>98</v>
      </c>
      <c r="T23" s="3442" t="s">
        <v>3351</v>
      </c>
      <c r="U23" s="3443">
        <f>H23</f>
        <v>100</v>
      </c>
      <c r="V23" s="3442" t="s">
        <v>3351</v>
      </c>
      <c r="W23" s="3443">
        <f>J23</f>
        <v>100</v>
      </c>
      <c r="X23" s="3368"/>
      <c r="Y23" s="3813"/>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13"/>
      <c r="Q24" s="3441"/>
      <c r="R24" s="3442"/>
      <c r="S24" s="3443"/>
      <c r="T24" s="3442"/>
      <c r="U24" s="3443"/>
      <c r="V24" s="3442"/>
      <c r="W24" s="3443"/>
      <c r="X24" s="3368"/>
      <c r="Y24" s="3813"/>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13"/>
      <c r="Q25" s="3441" t="str">
        <f t="shared" ref="Q25:Q46" si="11">B25</f>
        <v>楼层-1</v>
      </c>
      <c r="R25" s="3442" t="s">
        <v>3351</v>
      </c>
      <c r="S25" s="3443">
        <f>F25</f>
        <v>100</v>
      </c>
      <c r="T25" s="3442" t="s">
        <v>3351</v>
      </c>
      <c r="U25" s="3443">
        <f>H25</f>
        <v>100</v>
      </c>
      <c r="V25" s="3442" t="s">
        <v>3351</v>
      </c>
      <c r="W25" s="3443">
        <f>J25</f>
        <v>100</v>
      </c>
      <c r="X25" s="3368"/>
      <c r="Y25" s="3813"/>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13"/>
      <c r="Q26" s="3441" t="str">
        <f t="shared" si="11"/>
        <v>朝向</v>
      </c>
      <c r="R26" s="3442" t="s">
        <v>3351</v>
      </c>
      <c r="S26" s="3443">
        <f>F26</f>
        <v>100</v>
      </c>
      <c r="T26" s="3442" t="s">
        <v>3351</v>
      </c>
      <c r="U26" s="3443">
        <f>H26</f>
        <v>100</v>
      </c>
      <c r="V26" s="3442" t="s">
        <v>3351</v>
      </c>
      <c r="W26" s="3443">
        <f>J26</f>
        <v>100</v>
      </c>
      <c r="X26" s="3368"/>
      <c r="Y26" s="3813"/>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13"/>
      <c r="Q27" s="3402" t="str">
        <f t="shared" si="11"/>
        <v>道路级别</v>
      </c>
      <c r="R27" s="3385" t="s">
        <v>3351</v>
      </c>
      <c r="S27" s="3386">
        <f>F27</f>
        <v>101</v>
      </c>
      <c r="T27" s="3385" t="s">
        <v>3351</v>
      </c>
      <c r="U27" s="3386">
        <f>H27</f>
        <v>101</v>
      </c>
      <c r="V27" s="3385" t="s">
        <v>3351</v>
      </c>
      <c r="W27" s="3386">
        <f>J27</f>
        <v>99</v>
      </c>
      <c r="X27" s="3387"/>
      <c r="Y27" s="3813"/>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13"/>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13"/>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13"/>
      <c r="Q29" s="3441">
        <f t="shared" si="11"/>
        <v>111</v>
      </c>
      <c r="R29" s="3442" t="s">
        <v>3351</v>
      </c>
      <c r="S29" s="3443">
        <f t="shared" si="12"/>
        <v>100</v>
      </c>
      <c r="T29" s="3442" t="s">
        <v>3351</v>
      </c>
      <c r="U29" s="3443">
        <f t="shared" si="13"/>
        <v>100</v>
      </c>
      <c r="V29" s="3442" t="s">
        <v>3351</v>
      </c>
      <c r="W29" s="3443">
        <f t="shared" si="14"/>
        <v>100</v>
      </c>
      <c r="X29" s="3368"/>
      <c r="Y29" s="3813"/>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13"/>
      <c r="Q30" s="3441">
        <f t="shared" si="11"/>
        <v>111</v>
      </c>
      <c r="R30" s="3442" t="s">
        <v>3351</v>
      </c>
      <c r="S30" s="3443">
        <f t="shared" si="12"/>
        <v>100</v>
      </c>
      <c r="T30" s="3442" t="s">
        <v>3351</v>
      </c>
      <c r="U30" s="3443">
        <f t="shared" si="13"/>
        <v>100</v>
      </c>
      <c r="V30" s="3442" t="s">
        <v>3351</v>
      </c>
      <c r="W30" s="3443">
        <f t="shared" si="14"/>
        <v>100</v>
      </c>
      <c r="X30" s="3368"/>
      <c r="Y30" s="3813"/>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13"/>
      <c r="Q31" s="3441">
        <f t="shared" si="11"/>
        <v>111</v>
      </c>
      <c r="R31" s="3442" t="s">
        <v>3351</v>
      </c>
      <c r="S31" s="3443">
        <f t="shared" si="12"/>
        <v>100</v>
      </c>
      <c r="T31" s="3442" t="s">
        <v>3351</v>
      </c>
      <c r="U31" s="3443">
        <f t="shared" si="13"/>
        <v>100</v>
      </c>
      <c r="V31" s="3442" t="s">
        <v>3351</v>
      </c>
      <c r="W31" s="3443">
        <f t="shared" si="14"/>
        <v>100</v>
      </c>
      <c r="X31" s="3368"/>
      <c r="Y31" s="3813"/>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14" t="s">
        <v>3386</v>
      </c>
      <c r="Q32" s="3441" t="str">
        <f t="shared" si="11"/>
        <v>建筑类型</v>
      </c>
      <c r="R32" s="3442" t="s">
        <v>3351</v>
      </c>
      <c r="S32" s="3443">
        <f t="shared" si="12"/>
        <v>100</v>
      </c>
      <c r="T32" s="3442" t="s">
        <v>3351</v>
      </c>
      <c r="U32" s="3443">
        <f t="shared" si="13"/>
        <v>100</v>
      </c>
      <c r="V32" s="3442" t="s">
        <v>3351</v>
      </c>
      <c r="W32" s="3443">
        <f t="shared" si="14"/>
        <v>100</v>
      </c>
      <c r="X32" s="3368"/>
      <c r="Y32" s="3815"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15"/>
      <c r="Q33" s="3501" t="str">
        <f t="shared" si="11"/>
        <v>项目建筑规模</v>
      </c>
      <c r="R33" s="3502" t="s">
        <v>3351</v>
      </c>
      <c r="S33" s="3503">
        <f t="shared" si="12"/>
        <v>100</v>
      </c>
      <c r="T33" s="3502" t="s">
        <v>3351</v>
      </c>
      <c r="U33" s="3503">
        <f t="shared" si="13"/>
        <v>100</v>
      </c>
      <c r="V33" s="3502" t="s">
        <v>3351</v>
      </c>
      <c r="W33" s="3503">
        <f t="shared" si="14"/>
        <v>100</v>
      </c>
      <c r="X33" s="3504"/>
      <c r="Y33" s="3815"/>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15"/>
      <c r="Q34" s="3441" t="str">
        <f t="shared" si="11"/>
        <v>建筑结构</v>
      </c>
      <c r="R34" s="3442" t="s">
        <v>3351</v>
      </c>
      <c r="S34" s="3443">
        <f t="shared" si="12"/>
        <v>100</v>
      </c>
      <c r="T34" s="3442" t="s">
        <v>3351</v>
      </c>
      <c r="U34" s="3443">
        <f t="shared" si="13"/>
        <v>100</v>
      </c>
      <c r="V34" s="3442" t="s">
        <v>3351</v>
      </c>
      <c r="W34" s="3443">
        <f t="shared" si="14"/>
        <v>100</v>
      </c>
      <c r="X34" s="3368"/>
      <c r="Y34" s="3815"/>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15"/>
      <c r="Q35" s="3441" t="str">
        <f t="shared" si="11"/>
        <v>建筑品质</v>
      </c>
      <c r="R35" s="3442" t="s">
        <v>3351</v>
      </c>
      <c r="S35" s="3443">
        <f t="shared" si="12"/>
        <v>100</v>
      </c>
      <c r="T35" s="3442" t="s">
        <v>3351</v>
      </c>
      <c r="U35" s="3443">
        <f t="shared" si="13"/>
        <v>100</v>
      </c>
      <c r="V35" s="3442" t="s">
        <v>3351</v>
      </c>
      <c r="W35" s="3443">
        <f t="shared" si="14"/>
        <v>100</v>
      </c>
      <c r="X35" s="3368"/>
      <c r="Y35" s="3815"/>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15"/>
      <c r="Q36" s="3441" t="str">
        <f t="shared" si="11"/>
        <v>公共部分装修</v>
      </c>
      <c r="R36" s="3442" t="s">
        <v>3351</v>
      </c>
      <c r="S36" s="3443">
        <f t="shared" si="12"/>
        <v>100</v>
      </c>
      <c r="T36" s="3442" t="s">
        <v>3351</v>
      </c>
      <c r="U36" s="3443">
        <f t="shared" si="13"/>
        <v>100</v>
      </c>
      <c r="V36" s="3442" t="s">
        <v>3351</v>
      </c>
      <c r="W36" s="3443">
        <f t="shared" si="14"/>
        <v>100</v>
      </c>
      <c r="X36" s="3368"/>
      <c r="Y36" s="3815"/>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15"/>
      <c r="Q37" s="3402" t="str">
        <f t="shared" si="11"/>
        <v>成新度</v>
      </c>
      <c r="R37" s="3385" t="s">
        <v>3351</v>
      </c>
      <c r="S37" s="3386">
        <f t="shared" si="12"/>
        <v>100</v>
      </c>
      <c r="T37" s="3385" t="s">
        <v>3351</v>
      </c>
      <c r="U37" s="3386">
        <f t="shared" si="13"/>
        <v>100</v>
      </c>
      <c r="V37" s="3385" t="s">
        <v>3351</v>
      </c>
      <c r="W37" s="3386">
        <f t="shared" si="14"/>
        <v>100</v>
      </c>
      <c r="X37" s="3387"/>
      <c r="Y37" s="3815"/>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15" t="s">
        <v>3386</v>
      </c>
      <c r="Q38" s="3441" t="str">
        <f t="shared" si="11"/>
        <v>物业管理</v>
      </c>
      <c r="R38" s="3442" t="s">
        <v>3351</v>
      </c>
      <c r="S38" s="3443">
        <f t="shared" si="12"/>
        <v>100</v>
      </c>
      <c r="T38" s="3442" t="s">
        <v>3351</v>
      </c>
      <c r="U38" s="3443">
        <f t="shared" si="13"/>
        <v>100</v>
      </c>
      <c r="V38" s="3442" t="s">
        <v>3351</v>
      </c>
      <c r="W38" s="3443">
        <f t="shared" si="14"/>
        <v>100</v>
      </c>
      <c r="X38" s="3368"/>
      <c r="Y38" s="3815"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15"/>
      <c r="Q39" s="3441" t="str">
        <f t="shared" si="11"/>
        <v>市政基础设施</v>
      </c>
      <c r="R39" s="3442" t="s">
        <v>3351</v>
      </c>
      <c r="S39" s="3443">
        <f t="shared" si="12"/>
        <v>100</v>
      </c>
      <c r="T39" s="3442" t="s">
        <v>3351</v>
      </c>
      <c r="U39" s="3443">
        <f t="shared" si="13"/>
        <v>100</v>
      </c>
      <c r="V39" s="3442" t="s">
        <v>3351</v>
      </c>
      <c r="W39" s="3443">
        <f t="shared" si="14"/>
        <v>100</v>
      </c>
      <c r="X39" s="3368"/>
      <c r="Y39" s="3815"/>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15"/>
      <c r="Q40" s="3441" t="str">
        <f t="shared" si="11"/>
        <v>房型</v>
      </c>
      <c r="R40" s="3442" t="s">
        <v>3351</v>
      </c>
      <c r="S40" s="3443">
        <f t="shared" si="12"/>
        <v>100</v>
      </c>
      <c r="T40" s="3442" t="s">
        <v>3351</v>
      </c>
      <c r="U40" s="3443">
        <f t="shared" si="13"/>
        <v>100</v>
      </c>
      <c r="V40" s="3442" t="s">
        <v>3351</v>
      </c>
      <c r="W40" s="3443">
        <f t="shared" si="14"/>
        <v>100</v>
      </c>
      <c r="X40" s="3368"/>
      <c r="Y40" s="3815"/>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15"/>
      <c r="Q41" s="3501" t="str">
        <f t="shared" si="11"/>
        <v>单套/主力户型建筑面积</v>
      </c>
      <c r="R41" s="3502" t="s">
        <v>8</v>
      </c>
      <c r="S41" s="3503">
        <f t="shared" si="12"/>
        <v>98</v>
      </c>
      <c r="T41" s="3502" t="s">
        <v>8</v>
      </c>
      <c r="U41" s="3503">
        <f t="shared" si="13"/>
        <v>100</v>
      </c>
      <c r="V41" s="3502" t="s">
        <v>8</v>
      </c>
      <c r="W41" s="3503">
        <f t="shared" si="14"/>
        <v>96</v>
      </c>
      <c r="X41" s="3504"/>
      <c r="Y41" s="3815"/>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15"/>
      <c r="Q42" s="3441" t="str">
        <f t="shared" si="11"/>
        <v>内部装修</v>
      </c>
      <c r="R42" s="3442" t="s">
        <v>3351</v>
      </c>
      <c r="S42" s="3443">
        <f t="shared" si="12"/>
        <v>100</v>
      </c>
      <c r="T42" s="3442" t="s">
        <v>3351</v>
      </c>
      <c r="U42" s="3443">
        <f t="shared" si="13"/>
        <v>100</v>
      </c>
      <c r="V42" s="3442" t="s">
        <v>3351</v>
      </c>
      <c r="W42" s="3443">
        <f t="shared" si="14"/>
        <v>100</v>
      </c>
      <c r="X42" s="3368"/>
      <c r="Y42" s="3815"/>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15"/>
      <c r="Q43" s="3441" t="str">
        <f t="shared" si="11"/>
        <v>内部装修维护情况</v>
      </c>
      <c r="R43" s="3442" t="s">
        <v>3351</v>
      </c>
      <c r="S43" s="3443">
        <f t="shared" si="12"/>
        <v>100</v>
      </c>
      <c r="T43" s="3442" t="s">
        <v>3351</v>
      </c>
      <c r="U43" s="3443">
        <f t="shared" si="13"/>
        <v>100</v>
      </c>
      <c r="V43" s="3442" t="s">
        <v>3351</v>
      </c>
      <c r="W43" s="3443">
        <f t="shared" si="14"/>
        <v>100</v>
      </c>
      <c r="X43" s="3368"/>
      <c r="Y43" s="3815"/>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15"/>
      <c r="Q44" s="3402">
        <f t="shared" si="11"/>
        <v>111</v>
      </c>
      <c r="R44" s="3385" t="s">
        <v>3351</v>
      </c>
      <c r="S44" s="3386">
        <f t="shared" si="12"/>
        <v>100</v>
      </c>
      <c r="T44" s="3385" t="s">
        <v>3351</v>
      </c>
      <c r="U44" s="3386">
        <f t="shared" si="13"/>
        <v>100</v>
      </c>
      <c r="V44" s="3385" t="s">
        <v>3351</v>
      </c>
      <c r="W44" s="3386">
        <f t="shared" si="14"/>
        <v>100</v>
      </c>
      <c r="X44" s="3387"/>
      <c r="Y44" s="3815"/>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15"/>
      <c r="Q45" s="3441">
        <f t="shared" si="11"/>
        <v>111</v>
      </c>
      <c r="R45" s="3442" t="s">
        <v>3351</v>
      </c>
      <c r="S45" s="3443">
        <f t="shared" si="12"/>
        <v>100</v>
      </c>
      <c r="T45" s="3442" t="s">
        <v>3351</v>
      </c>
      <c r="U45" s="3443">
        <f t="shared" si="13"/>
        <v>100</v>
      </c>
      <c r="V45" s="3442" t="s">
        <v>3351</v>
      </c>
      <c r="W45" s="3443">
        <f t="shared" si="14"/>
        <v>100</v>
      </c>
      <c r="X45" s="3368"/>
      <c r="Y45" s="3815"/>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16"/>
      <c r="Q46" s="3441">
        <f t="shared" si="11"/>
        <v>111</v>
      </c>
      <c r="R46" s="3442" t="s">
        <v>3351</v>
      </c>
      <c r="S46" s="3443">
        <f t="shared" si="12"/>
        <v>100</v>
      </c>
      <c r="T46" s="3442" t="s">
        <v>3351</v>
      </c>
      <c r="U46" s="3443">
        <f t="shared" si="13"/>
        <v>100</v>
      </c>
      <c r="V46" s="3442" t="s">
        <v>3351</v>
      </c>
      <c r="W46" s="3443">
        <f t="shared" si="14"/>
        <v>100</v>
      </c>
      <c r="X46" s="3368"/>
      <c r="Y46" s="3816"/>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07" t="str">
        <f>A47</f>
        <v>成交单价（元/平方米）</v>
      </c>
      <c r="Q47" s="3807"/>
      <c r="R47" s="3808">
        <f>E47</f>
        <v>13000</v>
      </c>
      <c r="S47" s="3808"/>
      <c r="T47" s="3808">
        <f>G47</f>
        <v>13500</v>
      </c>
      <c r="U47" s="3808"/>
      <c r="V47" s="3808">
        <f>I47</f>
        <v>15000</v>
      </c>
      <c r="W47" s="3808"/>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07" t="str">
        <f>A48</f>
        <v>比较价格（元/平方米）</v>
      </c>
      <c r="Q48" s="3807"/>
      <c r="R48" s="3808" t="e">
        <f>IF(F1="售价",ROUND(PRODUCT(R47,AA7:AA46),0),ROUND(PRODUCT(R47,AA7:AA46),1))</f>
        <v>#REF!</v>
      </c>
      <c r="S48" s="3808"/>
      <c r="T48" s="3808" t="e">
        <f>IF(F1="售价",ROUND(PRODUCT(T47,AB7:AB46),0),ROUND(PRODUCT(T47,AB7:AB46),1))</f>
        <v>#REF!</v>
      </c>
      <c r="U48" s="3808"/>
      <c r="V48" s="3808" t="e">
        <f>IF(F1="售价",ROUND(PRODUCT(V47,AC7:AC46),0),ROUND(PRODUCT(V47,AC7:AC46),1))</f>
        <v>#REF!</v>
      </c>
      <c r="W48" s="3808"/>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09" t="str">
        <f>A49</f>
        <v>估价对象XX用房的比较价格（楼面单价，元/平方米）</v>
      </c>
      <c r="Q49" s="3810"/>
      <c r="R49" s="3811" t="e">
        <f>IF(F1="售价",ROUND(AVERAGE(R48:V48),0),ROUND(AVERAGE(R48:V48),1))</f>
        <v>#REF!</v>
      </c>
      <c r="S49" s="3811"/>
      <c r="T49" s="3811"/>
      <c r="U49" s="3811"/>
      <c r="V49" s="3811"/>
      <c r="W49" s="3811"/>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2019-07-29T05:27:35Z</dcterms:modified>
</cp:coreProperties>
</file>