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firstSheet="9"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s>
  <externalReferences>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E13" i="76" l="1"/>
  <c r="E18" i="76"/>
  <c r="E16" i="76"/>
  <c r="E15" i="76"/>
  <c r="C11" i="76"/>
  <c r="M10" i="76"/>
  <c r="C5" i="76"/>
  <c r="C4" i="76"/>
  <c r="E14" i="76"/>
  <c r="D4" i="76"/>
  <c r="D5" i="76"/>
  <c r="E6" i="76"/>
  <c r="D15" i="66" l="1"/>
  <c r="B15" i="66" l="1"/>
  <c r="C15" i="66"/>
  <c r="A3" i="3" l="1"/>
  <c r="B11" i="76"/>
  <c r="O10" i="76"/>
  <c r="N10" i="76"/>
  <c r="L10" i="76"/>
  <c r="K10" i="76"/>
  <c r="J10" i="76"/>
  <c r="I10" i="76"/>
  <c r="H10" i="76"/>
  <c r="G10" i="76"/>
  <c r="F10" i="76"/>
  <c r="E10" i="76"/>
  <c r="O9" i="76"/>
  <c r="N9" i="76"/>
  <c r="M9" i="76"/>
  <c r="L9" i="76"/>
  <c r="K9" i="76"/>
  <c r="J9" i="76"/>
  <c r="I9" i="76"/>
  <c r="H9" i="76"/>
  <c r="G9" i="76"/>
  <c r="F9" i="76"/>
  <c r="E9" i="76"/>
  <c r="O8" i="76"/>
  <c r="N8" i="76"/>
  <c r="M8" i="76"/>
  <c r="L8" i="76"/>
  <c r="K8" i="76"/>
  <c r="J8" i="76"/>
  <c r="I8" i="76"/>
  <c r="H8" i="76"/>
  <c r="G8" i="76"/>
  <c r="F8" i="76"/>
  <c r="E8" i="76"/>
  <c r="C8" i="76"/>
  <c r="D8" i="76" s="1"/>
  <c r="O7" i="76"/>
  <c r="N7" i="76"/>
  <c r="M7" i="76"/>
  <c r="L7" i="76"/>
  <c r="K7" i="76"/>
  <c r="J7" i="76"/>
  <c r="I7" i="76"/>
  <c r="H7" i="76"/>
  <c r="G7" i="76"/>
  <c r="F7" i="76"/>
  <c r="E7" i="76"/>
  <c r="O6" i="76"/>
  <c r="N6" i="76"/>
  <c r="M6" i="76"/>
  <c r="L6" i="76"/>
  <c r="K6" i="76"/>
  <c r="J6" i="76"/>
  <c r="I6" i="76"/>
  <c r="H6" i="76"/>
  <c r="G6" i="76"/>
  <c r="F6" i="76"/>
  <c r="O5" i="76"/>
  <c r="N5" i="76"/>
  <c r="M5" i="76"/>
  <c r="L5" i="76"/>
  <c r="K5" i="76"/>
  <c r="J5" i="76"/>
  <c r="I5" i="76"/>
  <c r="H5" i="76"/>
  <c r="G5" i="76"/>
  <c r="F5" i="76"/>
  <c r="E5" i="76"/>
  <c r="O4" i="76"/>
  <c r="O11" i="76" s="1"/>
  <c r="N4" i="76"/>
  <c r="M4" i="76"/>
  <c r="M11" i="76" s="1"/>
  <c r="L4" i="76"/>
  <c r="K4" i="76"/>
  <c r="K11" i="76" s="1"/>
  <c r="J4" i="76"/>
  <c r="I4" i="76"/>
  <c r="I11" i="76" s="1"/>
  <c r="H4" i="76"/>
  <c r="G4" i="76"/>
  <c r="G11" i="76" s="1"/>
  <c r="F4" i="76"/>
  <c r="E4" i="76"/>
  <c r="E11" i="76" s="1"/>
  <c r="N3" i="76"/>
  <c r="M3" i="76"/>
  <c r="L3" i="76"/>
  <c r="K3" i="76"/>
  <c r="J3" i="76"/>
  <c r="I3" i="76"/>
  <c r="H3" i="76"/>
  <c r="G3" i="76"/>
  <c r="F3" i="76"/>
  <c r="E3" i="76"/>
  <c r="F11" i="76" l="1"/>
  <c r="K13" i="3" s="1"/>
  <c r="H11" i="76"/>
  <c r="I13" i="3" s="1"/>
  <c r="J11" i="76"/>
  <c r="AL13" i="3" s="1"/>
  <c r="L11" i="76"/>
  <c r="AD13" i="3" s="1"/>
  <c r="N11" i="76"/>
  <c r="C10" i="76"/>
  <c r="D10" i="76" s="1"/>
  <c r="C6" i="76"/>
  <c r="C9" i="76"/>
  <c r="D9" i="76" s="1"/>
  <c r="C7" i="76"/>
  <c r="D7" i="76" s="1"/>
  <c r="D6" i="76" l="1"/>
  <c r="D11" i="76"/>
  <c r="E21" i="76" l="1"/>
  <c r="I7" i="6" s="1"/>
  <c r="C11" i="33" s="1"/>
  <c r="E19" i="76"/>
  <c r="C40" i="39"/>
  <c r="M13" i="3" l="1"/>
  <c r="D3" i="75"/>
  <c r="C145" i="75" l="1"/>
  <c r="J142" i="75"/>
  <c r="J140" i="75"/>
  <c r="K139" i="75"/>
  <c r="K143" i="75" s="1"/>
  <c r="B130" i="75"/>
  <c r="B128" i="75"/>
  <c r="J45" i="75" s="1"/>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J30" i="75" s="1"/>
  <c r="AC30" i="75" s="1"/>
  <c r="B94" i="75"/>
  <c r="B92" i="75"/>
  <c r="J28" i="75" s="1"/>
  <c r="AC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J14" i="75" s="1"/>
  <c r="AC14" i="75" s="1"/>
  <c r="B72" i="75"/>
  <c r="B70" i="75"/>
  <c r="J12" i="75" s="1"/>
  <c r="AC12" i="75" s="1"/>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H45" i="75"/>
  <c r="AB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H37" i="75"/>
  <c r="AB37" i="75" s="1"/>
  <c r="Q36" i="75"/>
  <c r="Z36" i="75" s="1"/>
  <c r="J36" i="75"/>
  <c r="AC36" i="75" s="1"/>
  <c r="H36" i="75"/>
  <c r="AB36" i="75" s="1"/>
  <c r="F36" i="75"/>
  <c r="AA36" i="75" s="1"/>
  <c r="Q35" i="75"/>
  <c r="Z35" i="75" s="1"/>
  <c r="H35" i="75"/>
  <c r="AB35" i="75" s="1"/>
  <c r="Q34" i="75"/>
  <c r="Z34" i="75" s="1"/>
  <c r="J34" i="75"/>
  <c r="AC34" i="75" s="1"/>
  <c r="H34" i="75"/>
  <c r="AB34" i="75" s="1"/>
  <c r="F34" i="75"/>
  <c r="AA34" i="75" s="1"/>
  <c r="Q33" i="75"/>
  <c r="Z33" i="75" s="1"/>
  <c r="J33" i="75"/>
  <c r="AC33" i="75" s="1"/>
  <c r="H33" i="75"/>
  <c r="AB33" i="75" s="1"/>
  <c r="F33" i="75"/>
  <c r="AA33" i="75" s="1"/>
  <c r="Q32" i="75"/>
  <c r="Z32" i="75" s="1"/>
  <c r="H32" i="75"/>
  <c r="AB32" i="75" s="1"/>
  <c r="Q31" i="75"/>
  <c r="Z31" i="75" s="1"/>
  <c r="J31" i="75"/>
  <c r="AC31" i="75" s="1"/>
  <c r="H31" i="75"/>
  <c r="AB31" i="75" s="1"/>
  <c r="F31" i="75"/>
  <c r="AA31" i="75" s="1"/>
  <c r="Q30" i="75"/>
  <c r="Z30" i="75" s="1"/>
  <c r="H30" i="75"/>
  <c r="AB30" i="75" s="1"/>
  <c r="Q29" i="75"/>
  <c r="Z29" i="75" s="1"/>
  <c r="J29" i="75"/>
  <c r="AC29" i="75" s="1"/>
  <c r="H29" i="75"/>
  <c r="AB29" i="75" s="1"/>
  <c r="F29" i="75"/>
  <c r="AA29" i="75" s="1"/>
  <c r="Q28" i="75"/>
  <c r="Z28" i="75" s="1"/>
  <c r="H28" i="75"/>
  <c r="AB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Q23" i="75"/>
  <c r="Z23" i="75" s="1"/>
  <c r="J23" i="75"/>
  <c r="W23" i="75" s="1"/>
  <c r="H23" i="75"/>
  <c r="AB23" i="75" s="1"/>
  <c r="F23" i="75"/>
  <c r="AA23" i="75" s="1"/>
  <c r="C23" i="75"/>
  <c r="Q21" i="75"/>
  <c r="Z21" i="75" s="1"/>
  <c r="J21" i="75"/>
  <c r="AC21" i="75" s="1"/>
  <c r="F21" i="75"/>
  <c r="AA21" i="75" s="1"/>
  <c r="C21" i="75"/>
  <c r="AC19" i="75"/>
  <c r="Q19" i="75"/>
  <c r="Z19" i="75" s="1"/>
  <c r="J19" i="75"/>
  <c r="W19" i="75" s="1"/>
  <c r="H19" i="75"/>
  <c r="AB19" i="75" s="1"/>
  <c r="F19" i="75"/>
  <c r="AA19" i="75" s="1"/>
  <c r="C19" i="75"/>
  <c r="Q17" i="75"/>
  <c r="Z17" i="75" s="1"/>
  <c r="J17" i="75"/>
  <c r="AC17" i="75" s="1"/>
  <c r="F17" i="75"/>
  <c r="AA17" i="75" s="1"/>
  <c r="C17" i="75"/>
  <c r="Q15" i="75"/>
  <c r="Z15" i="75" s="1"/>
  <c r="J15" i="75"/>
  <c r="W15" i="75" s="1"/>
  <c r="H15" i="75"/>
  <c r="AB15" i="75" s="1"/>
  <c r="F15" i="75"/>
  <c r="AA15" i="75" s="1"/>
  <c r="C15" i="75"/>
  <c r="Q14" i="75"/>
  <c r="Z14" i="75" s="1"/>
  <c r="H14" i="75"/>
  <c r="AB14" i="75" s="1"/>
  <c r="Q13" i="75"/>
  <c r="Z13" i="75" s="1"/>
  <c r="J13" i="75"/>
  <c r="AC13" i="75" s="1"/>
  <c r="H13" i="75"/>
  <c r="AB13" i="75" s="1"/>
  <c r="F13" i="75"/>
  <c r="AA13" i="75" s="1"/>
  <c r="Q12" i="75"/>
  <c r="Z12" i="75" s="1"/>
  <c r="H12" i="75"/>
  <c r="AB12" i="75" s="1"/>
  <c r="Q11" i="75"/>
  <c r="Z11" i="75" s="1"/>
  <c r="Q10" i="75"/>
  <c r="Z10" i="75" s="1"/>
  <c r="J10" i="75"/>
  <c r="AC10" i="75" s="1"/>
  <c r="F10" i="75"/>
  <c r="AA10" i="75" s="1"/>
  <c r="Q9" i="75"/>
  <c r="Z9" i="75" s="1"/>
  <c r="J9" i="75"/>
  <c r="AC9" i="75" s="1"/>
  <c r="H9" i="75"/>
  <c r="AB9" i="75" s="1"/>
  <c r="F9" i="75"/>
  <c r="AA9" i="75" s="1"/>
  <c r="J8" i="75"/>
  <c r="AC8" i="75" s="1"/>
  <c r="H8" i="75"/>
  <c r="AB8" i="75" s="1"/>
  <c r="F8" i="75"/>
  <c r="AA8" i="75" s="1"/>
  <c r="C145" i="74"/>
  <c r="J142" i="74"/>
  <c r="J140" i="74"/>
  <c r="K139" i="74"/>
  <c r="K143" i="74" s="1"/>
  <c r="B130" i="74"/>
  <c r="B128" i="74"/>
  <c r="J45" i="74" s="1"/>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J31" i="74" s="1"/>
  <c r="AC31" i="74" s="1"/>
  <c r="B96" i="74"/>
  <c r="B94" i="74"/>
  <c r="J29" i="74" s="1"/>
  <c r="AC29" i="74" s="1"/>
  <c r="B92" i="74"/>
  <c r="B90" i="74"/>
  <c r="J27" i="74" s="1"/>
  <c r="AC27" i="74" s="1"/>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J13" i="74" s="1"/>
  <c r="AC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H45" i="74"/>
  <c r="AB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H37" i="74"/>
  <c r="AB37" i="74" s="1"/>
  <c r="Q36" i="74"/>
  <c r="Z36" i="74" s="1"/>
  <c r="J36" i="74"/>
  <c r="AC36" i="74" s="1"/>
  <c r="H36" i="74"/>
  <c r="AB36" i="74" s="1"/>
  <c r="F36" i="74"/>
  <c r="AA36" i="74" s="1"/>
  <c r="Q35" i="74"/>
  <c r="Z35" i="74" s="1"/>
  <c r="H35" i="74"/>
  <c r="AB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H31" i="74"/>
  <c r="AB31" i="74" s="1"/>
  <c r="Q30" i="74"/>
  <c r="Z30" i="74" s="1"/>
  <c r="J30" i="74"/>
  <c r="AC30" i="74" s="1"/>
  <c r="H30" i="74"/>
  <c r="AB30" i="74" s="1"/>
  <c r="F30" i="74"/>
  <c r="AA30" i="74" s="1"/>
  <c r="Q29" i="74"/>
  <c r="Z29" i="74" s="1"/>
  <c r="H29" i="74"/>
  <c r="AB29" i="74" s="1"/>
  <c r="Q28" i="74"/>
  <c r="Z28" i="74" s="1"/>
  <c r="J28" i="74"/>
  <c r="AC28" i="74" s="1"/>
  <c r="H28" i="74"/>
  <c r="AB28" i="74" s="1"/>
  <c r="F28" i="74"/>
  <c r="AA28" i="74" s="1"/>
  <c r="Q27" i="74"/>
  <c r="Z27" i="74" s="1"/>
  <c r="H27" i="74"/>
  <c r="AB27" i="74" s="1"/>
  <c r="Q26" i="74"/>
  <c r="Z26" i="74" s="1"/>
  <c r="J26" i="74"/>
  <c r="AC26" i="74" s="1"/>
  <c r="H26" i="74"/>
  <c r="AB26" i="74" s="1"/>
  <c r="F26" i="74"/>
  <c r="AA26" i="74" s="1"/>
  <c r="Q25" i="74"/>
  <c r="Z25" i="74" s="1"/>
  <c r="J25" i="74"/>
  <c r="AC25" i="74" s="1"/>
  <c r="H25" i="74"/>
  <c r="AB25" i="74" s="1"/>
  <c r="F25" i="74"/>
  <c r="AA25" i="74" s="1"/>
  <c r="Q23" i="74"/>
  <c r="Z23" i="74" s="1"/>
  <c r="H23" i="74"/>
  <c r="AB23" i="74" s="1"/>
  <c r="C23" i="74"/>
  <c r="Q21" i="74"/>
  <c r="Z21" i="74" s="1"/>
  <c r="J21" i="74"/>
  <c r="AC21" i="74" s="1"/>
  <c r="H21" i="74"/>
  <c r="AB21" i="74" s="1"/>
  <c r="F21" i="74"/>
  <c r="AA21" i="74" s="1"/>
  <c r="C21" i="74"/>
  <c r="Q19" i="74"/>
  <c r="Z19" i="74" s="1"/>
  <c r="H19" i="74"/>
  <c r="AB19" i="74" s="1"/>
  <c r="C19" i="74"/>
  <c r="Q17" i="74"/>
  <c r="Z17" i="74" s="1"/>
  <c r="J17" i="74"/>
  <c r="AC17" i="74" s="1"/>
  <c r="H17" i="74"/>
  <c r="AB17" i="74" s="1"/>
  <c r="F17" i="74"/>
  <c r="AA17" i="74" s="1"/>
  <c r="C17" i="74"/>
  <c r="Q15" i="74"/>
  <c r="Z15" i="74" s="1"/>
  <c r="J15" i="74"/>
  <c r="W15" i="74" s="1"/>
  <c r="F15" i="74"/>
  <c r="AA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C11" i="74"/>
  <c r="Q10" i="74"/>
  <c r="Z10" i="74" s="1"/>
  <c r="H10" i="74"/>
  <c r="AB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AC15" i="74" l="1"/>
  <c r="AC15" i="75"/>
  <c r="F10" i="74"/>
  <c r="AA10" i="74" s="1"/>
  <c r="J10" i="74"/>
  <c r="AC10" i="74" s="1"/>
  <c r="H11" i="74"/>
  <c r="F13" i="74"/>
  <c r="AA13" i="74" s="1"/>
  <c r="H15" i="74"/>
  <c r="AB15" i="74" s="1"/>
  <c r="F19" i="74"/>
  <c r="S19" i="74" s="1"/>
  <c r="J19" i="74"/>
  <c r="AC19" i="74" s="1"/>
  <c r="F23" i="74"/>
  <c r="AA23" i="74" s="1"/>
  <c r="J23" i="74"/>
  <c r="AC23" i="74" s="1"/>
  <c r="F27" i="74"/>
  <c r="AA27" i="74" s="1"/>
  <c r="F29" i="74"/>
  <c r="AA29" i="74" s="1"/>
  <c r="F31" i="74"/>
  <c r="AA31" i="74" s="1"/>
  <c r="F35" i="74"/>
  <c r="AA35" i="74" s="1"/>
  <c r="J35" i="74"/>
  <c r="AC35" i="74" s="1"/>
  <c r="F37" i="74"/>
  <c r="AA37" i="74" s="1"/>
  <c r="J37" i="74"/>
  <c r="AC37" i="74" s="1"/>
  <c r="F45" i="74"/>
  <c r="AA45" i="74" s="1"/>
  <c r="K145" i="74"/>
  <c r="U8" i="75"/>
  <c r="H10" i="75"/>
  <c r="AB10" i="75" s="1"/>
  <c r="F12" i="75"/>
  <c r="AA12" i="75" s="1"/>
  <c r="F14" i="75"/>
  <c r="AA14" i="75" s="1"/>
  <c r="H17" i="75"/>
  <c r="AB17" i="75" s="1"/>
  <c r="H21" i="75"/>
  <c r="AB21" i="75" s="1"/>
  <c r="F28" i="75"/>
  <c r="AA28" i="75" s="1"/>
  <c r="F30" i="75"/>
  <c r="AA30" i="75" s="1"/>
  <c r="F32" i="75"/>
  <c r="AA32" i="75" s="1"/>
  <c r="J32" i="75"/>
  <c r="AC32" i="75" s="1"/>
  <c r="F35" i="75"/>
  <c r="AA35" i="75" s="1"/>
  <c r="J35" i="75"/>
  <c r="AC35" i="75" s="1"/>
  <c r="F37" i="75"/>
  <c r="AA37" i="75" s="1"/>
  <c r="J37" i="75"/>
  <c r="AC37" i="75" s="1"/>
  <c r="F45" i="75"/>
  <c r="AA45" i="75" s="1"/>
  <c r="K145" i="75"/>
  <c r="I7" i="74"/>
  <c r="J7" i="74" s="1"/>
  <c r="E7" i="74"/>
  <c r="F7" i="74" s="1"/>
  <c r="S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AC7" i="74"/>
  <c r="W7" i="74"/>
  <c r="AB11" i="74"/>
  <c r="T48" i="74" s="1"/>
  <c r="G48" i="74" s="1"/>
  <c r="U11" i="74"/>
  <c r="U8" i="74"/>
  <c r="AA8" i="74"/>
  <c r="AC8" i="74"/>
  <c r="U9" i="74"/>
  <c r="S10" i="74"/>
  <c r="F11" i="74"/>
  <c r="J11" i="74"/>
  <c r="U12" i="74"/>
  <c r="W13" i="74"/>
  <c r="U14" i="74"/>
  <c r="U15" i="74"/>
  <c r="S17" i="74"/>
  <c r="S9" i="74"/>
  <c r="W9" i="74"/>
  <c r="U10" i="74"/>
  <c r="S12" i="74"/>
  <c r="W12" i="74"/>
  <c r="U13" i="74"/>
  <c r="S14" i="74"/>
  <c r="W14" i="74"/>
  <c r="S15" i="74"/>
  <c r="W17" i="74"/>
  <c r="AA19" i="74"/>
  <c r="U17" i="74"/>
  <c r="U19" i="74"/>
  <c r="U21" i="74"/>
  <c r="U23" i="74"/>
  <c r="S25" i="74"/>
  <c r="W25" i="74"/>
  <c r="U26" i="74"/>
  <c r="W27" i="74"/>
  <c r="U28" i="74"/>
  <c r="S29" i="74"/>
  <c r="W29" i="74"/>
  <c r="U30" i="74"/>
  <c r="W31" i="74"/>
  <c r="U32" i="74"/>
  <c r="S33" i="74"/>
  <c r="W33" i="74"/>
  <c r="U34" i="74"/>
  <c r="S35" i="74"/>
  <c r="W35" i="74"/>
  <c r="U36" i="74"/>
  <c r="S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W37" i="74" l="1"/>
  <c r="S31" i="74"/>
  <c r="S27" i="74"/>
  <c r="S13" i="74"/>
  <c r="W10" i="74"/>
  <c r="W37" i="75"/>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I159" i="70"/>
  <c r="R160" i="70" s="1"/>
  <c r="H159" i="70"/>
  <c r="J159" i="70" s="1"/>
  <c r="F158" i="70"/>
  <c r="I157" i="70"/>
  <c r="H157" i="70"/>
  <c r="J157" i="70" s="1"/>
  <c r="N156" i="70"/>
  <c r="N158" i="70" s="1"/>
  <c r="I156" i="70"/>
  <c r="H156" i="70"/>
  <c r="J156" i="70" s="1"/>
  <c r="I155" i="70"/>
  <c r="H155" i="70"/>
  <c r="J155" i="70" s="1"/>
  <c r="I154" i="70"/>
  <c r="H154" i="70"/>
  <c r="J154" i="70" s="1"/>
  <c r="I153" i="70"/>
  <c r="H153" i="70"/>
  <c r="J153" i="70" s="1"/>
  <c r="F152" i="70"/>
  <c r="I151" i="70"/>
  <c r="H151" i="70"/>
  <c r="J151" i="70" s="1"/>
  <c r="N150" i="70"/>
  <c r="N152" i="70" s="1"/>
  <c r="I150" i="70"/>
  <c r="H150" i="70"/>
  <c r="J150" i="70" s="1"/>
  <c r="I149" i="70"/>
  <c r="H149" i="70"/>
  <c r="J149" i="70" s="1"/>
  <c r="I148" i="70"/>
  <c r="H148" i="70"/>
  <c r="J148" i="70" s="1"/>
  <c r="I147" i="70"/>
  <c r="H147" i="70"/>
  <c r="J147" i="70" s="1"/>
  <c r="F146" i="70"/>
  <c r="I145" i="70"/>
  <c r="H145" i="70"/>
  <c r="J145" i="70" s="1"/>
  <c r="N144" i="70"/>
  <c r="N146" i="70" s="1"/>
  <c r="I144" i="70"/>
  <c r="H144" i="70"/>
  <c r="J144" i="70" s="1"/>
  <c r="I143" i="70"/>
  <c r="H143" i="70"/>
  <c r="J143" i="70" s="1"/>
  <c r="I142" i="70"/>
  <c r="H142" i="70"/>
  <c r="J142" i="70" s="1"/>
  <c r="I141" i="70"/>
  <c r="H141" i="70"/>
  <c r="J141" i="70" s="1"/>
  <c r="F140" i="70"/>
  <c r="J139" i="70"/>
  <c r="I139" i="70"/>
  <c r="H139" i="70"/>
  <c r="J138" i="70"/>
  <c r="I138" i="70"/>
  <c r="H138" i="70"/>
  <c r="J137" i="70"/>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H103" i="70"/>
  <c r="J103" i="70" s="1"/>
  <c r="J102" i="70"/>
  <c r="I102" i="70"/>
  <c r="R101" i="70" s="1"/>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N73" i="70"/>
  <c r="N76" i="70" s="1"/>
  <c r="I73" i="70"/>
  <c r="H73" i="70"/>
  <c r="J73" i="70" s="1"/>
  <c r="J72" i="70"/>
  <c r="I72" i="70"/>
  <c r="I71" i="70"/>
  <c r="H71" i="70"/>
  <c r="J71" i="70" s="1"/>
  <c r="J70" i="70"/>
  <c r="I70" i="70"/>
  <c r="I69" i="70"/>
  <c r="H69" i="70"/>
  <c r="J69" i="70" s="1"/>
  <c r="J68" i="70"/>
  <c r="I68" i="70"/>
  <c r="J67" i="70"/>
  <c r="I67" i="70"/>
  <c r="R66" i="70" s="1"/>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I48" i="70"/>
  <c r="H48" i="70"/>
  <c r="J48"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H7" i="70"/>
  <c r="I6" i="70"/>
  <c r="H6" i="70"/>
  <c r="J6" i="70" s="1"/>
  <c r="I5" i="70"/>
  <c r="L6" i="70" s="1"/>
  <c r="H5" i="70"/>
  <c r="J5" i="70" s="1"/>
  <c r="L7" i="70" l="1"/>
  <c r="R7" i="70"/>
  <c r="R217" i="70" s="1"/>
  <c r="I15" i="70"/>
  <c r="R5" i="70" s="1"/>
  <c r="I25" i="70"/>
  <c r="L20" i="70" s="1"/>
  <c r="R36" i="70"/>
  <c r="J59" i="70"/>
  <c r="L48" i="70"/>
  <c r="L66" i="70"/>
  <c r="R103" i="70"/>
  <c r="L101" i="70"/>
  <c r="L114" i="70"/>
  <c r="R127" i="70"/>
  <c r="R125" i="70"/>
  <c r="J140" i="70"/>
  <c r="J146" i="70"/>
  <c r="J152" i="70"/>
  <c r="J158" i="70"/>
  <c r="J171" i="70"/>
  <c r="L159" i="70"/>
  <c r="R68" i="70"/>
  <c r="R20" i="70"/>
  <c r="I35" i="70"/>
  <c r="R26" i="70"/>
  <c r="R210" i="70" s="1"/>
  <c r="I47" i="70"/>
  <c r="R38" i="70"/>
  <c r="I59" i="70"/>
  <c r="R50" i="70"/>
  <c r="I65" i="70"/>
  <c r="L60" i="70" s="1"/>
  <c r="J76" i="70"/>
  <c r="R115" i="70"/>
  <c r="I136" i="70"/>
  <c r="O126" i="70" s="1"/>
  <c r="I140" i="70"/>
  <c r="R137" i="70" s="1"/>
  <c r="R219" i="70" s="1"/>
  <c r="I146" i="70"/>
  <c r="L141" i="70" s="1"/>
  <c r="I152" i="70"/>
  <c r="R147" i="70" s="1"/>
  <c r="I158" i="70"/>
  <c r="R153" i="70" s="1"/>
  <c r="R27" i="70"/>
  <c r="J19" i="70"/>
  <c r="J25" i="70"/>
  <c r="R8" i="70"/>
  <c r="R218" i="70" s="1"/>
  <c r="J31" i="70"/>
  <c r="J35" i="70" s="1"/>
  <c r="O28" i="70" s="1"/>
  <c r="R37" i="70"/>
  <c r="R49" i="70"/>
  <c r="R67" i="70"/>
  <c r="R89" i="70"/>
  <c r="L89" i="70"/>
  <c r="R95" i="70"/>
  <c r="L95" i="70"/>
  <c r="U211" i="70"/>
  <c r="U216" i="70" s="1"/>
  <c r="R6" i="70"/>
  <c r="N19" i="70"/>
  <c r="N181" i="70" s="1"/>
  <c r="L37" i="70"/>
  <c r="L49" i="70"/>
  <c r="L67" i="70"/>
  <c r="J88" i="70"/>
  <c r="J94" i="70"/>
  <c r="J100" i="70"/>
  <c r="J112" i="70"/>
  <c r="J124" i="70"/>
  <c r="R141" i="70"/>
  <c r="L147"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R212" i="70" l="1"/>
  <c r="I19" i="70"/>
  <c r="O8" i="70" s="1"/>
  <c r="L5" i="70"/>
  <c r="C13" i="39"/>
  <c r="C11" i="75"/>
  <c r="C11" i="21"/>
  <c r="R215" i="70"/>
  <c r="I179" i="70"/>
  <c r="R216" i="70"/>
  <c r="J181" i="70"/>
  <c r="O115" i="70"/>
  <c r="I181" i="70"/>
  <c r="N179" i="70"/>
  <c r="J179" i="70"/>
  <c r="R211" i="70"/>
  <c r="D24" i="68"/>
  <c r="D22" i="68"/>
  <c r="P62" i="68"/>
  <c r="AH5" i="59"/>
  <c r="AG5" i="59"/>
  <c r="AE5" i="59"/>
  <c r="AF5" i="59" s="1"/>
  <c r="AD5" i="59"/>
  <c r="Q5" i="59"/>
  <c r="P5" i="59"/>
  <c r="O5" i="59"/>
  <c r="N5" i="59"/>
  <c r="P179" i="70" l="1"/>
  <c r="O178" i="70" s="1"/>
  <c r="P177" i="70" s="1"/>
  <c r="I184" i="70"/>
  <c r="O179" i="70"/>
  <c r="F11" i="75"/>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F11" i="59" s="1"/>
  <c r="V11" i="59" s="1"/>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K75" i="9"/>
  <c r="K6" i="4"/>
  <c r="O76" i="9" s="1"/>
  <c r="L76" i="9"/>
  <c r="B22" i="31"/>
  <c r="E16" i="66"/>
  <c r="F16" i="66"/>
  <c r="E17" i="66"/>
  <c r="F17" i="66"/>
  <c r="E18" i="66"/>
  <c r="F18" i="66"/>
  <c r="E19" i="66"/>
  <c r="F19" i="66"/>
  <c r="E20" i="66"/>
  <c r="F20" i="66"/>
  <c r="E21" i="66"/>
  <c r="F21" i="66"/>
  <c r="E22" i="66"/>
  <c r="F22" i="66"/>
  <c r="E23" i="66"/>
  <c r="F23" i="66"/>
  <c r="B3" i="66"/>
  <c r="E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D11"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A15" i="51"/>
  <c r="B12" i="63" s="1"/>
  <c r="A14" i="51"/>
  <c r="B11" i="63" s="1"/>
  <c r="A4" i="55"/>
  <c r="B57" i="63" s="1"/>
  <c r="G5" i="54"/>
  <c r="B34" i="63" s="1"/>
  <c r="E5" i="54"/>
  <c r="B32" i="63" s="1"/>
  <c r="R2" i="54"/>
  <c r="B24" i="63" s="1"/>
  <c r="B49" i="50"/>
  <c r="B5" i="63" s="1"/>
  <c r="B40" i="50"/>
  <c r="B3" i="63" s="1"/>
  <c r="I19" i="46"/>
  <c r="Q15" i="59"/>
  <c r="F15" i="59" s="1"/>
  <c r="V15" i="59" s="1"/>
  <c r="P15" i="59"/>
  <c r="E15" i="59" s="1"/>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T55" i="59" s="1"/>
  <c r="B55" i="59"/>
  <c r="F54" i="59"/>
  <c r="F53" i="59" s="1"/>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D38"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Q31" i="59"/>
  <c r="P31" i="59"/>
  <c r="O31" i="59"/>
  <c r="N31" i="59"/>
  <c r="Q30" i="59"/>
  <c r="P30" i="59"/>
  <c r="O30" i="59"/>
  <c r="N30" i="59"/>
  <c r="Q29" i="59"/>
  <c r="P29" i="59"/>
  <c r="O29" i="59"/>
  <c r="C30" i="59" s="1"/>
  <c r="N29" i="59"/>
  <c r="Q28" i="59"/>
  <c r="F29" i="59" s="1"/>
  <c r="F30" i="59" s="1"/>
  <c r="F31" i="59" s="1"/>
  <c r="V31" i="59" s="1"/>
  <c r="P28" i="59"/>
  <c r="E29" i="59" s="1"/>
  <c r="E30" i="59" s="1"/>
  <c r="E31" i="59" s="1"/>
  <c r="U31" i="59" s="1"/>
  <c r="O28" i="59"/>
  <c r="C29" i="59" s="1"/>
  <c r="D29" i="59" s="1"/>
  <c r="N28" i="59"/>
  <c r="B29" i="59" s="1"/>
  <c r="B30" i="59" s="1"/>
  <c r="B31" i="59" s="1"/>
  <c r="S31" i="59" s="1"/>
  <c r="D28" i="59"/>
  <c r="Q27" i="59"/>
  <c r="P27" i="59"/>
  <c r="O27" i="59"/>
  <c r="N27" i="59"/>
  <c r="Q26" i="59"/>
  <c r="P26" i="59"/>
  <c r="AA26" i="59" s="1"/>
  <c r="O26" i="59"/>
  <c r="Y26" i="59"/>
  <c r="Z26" i="59" s="1"/>
  <c r="N26" i="59"/>
  <c r="X26" i="59" s="1"/>
  <c r="Q25" i="59"/>
  <c r="P25" i="59"/>
  <c r="O25" i="59"/>
  <c r="N25" i="59"/>
  <c r="Q24" i="59"/>
  <c r="P24" i="59"/>
  <c r="E25" i="59" s="1"/>
  <c r="E26" i="59" s="1"/>
  <c r="O24" i="59"/>
  <c r="Y24" i="59" s="1"/>
  <c r="Z24" i="59" s="1"/>
  <c r="N24" i="59"/>
  <c r="B25" i="59" s="1"/>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O18" i="59"/>
  <c r="Y18" i="59" s="1"/>
  <c r="Z18" i="59" s="1"/>
  <c r="N18" i="59"/>
  <c r="Q17" i="59"/>
  <c r="P17" i="59"/>
  <c r="O17" i="59"/>
  <c r="N17" i="59"/>
  <c r="Q16" i="59"/>
  <c r="P16" i="59"/>
  <c r="O16" i="59"/>
  <c r="C17" i="59" s="1"/>
  <c r="N16" i="59"/>
  <c r="B17" i="59" s="1"/>
  <c r="B18" i="59" s="1"/>
  <c r="B19" i="59" s="1"/>
  <c r="S19" i="59" s="1"/>
  <c r="D16" i="59"/>
  <c r="AA14" i="59"/>
  <c r="Y15" i="59"/>
  <c r="Z15" i="59" s="1"/>
  <c r="S55" i="59"/>
  <c r="F46" i="59"/>
  <c r="F47" i="59" s="1"/>
  <c r="V47" i="59" s="1"/>
  <c r="D41" i="59"/>
  <c r="Q54" i="59"/>
  <c r="O55" i="59"/>
  <c r="C54" i="59"/>
  <c r="U55" i="59"/>
  <c r="Q55" i="59"/>
  <c r="C58" i="59"/>
  <c r="C57" i="59" s="1"/>
  <c r="E58" i="59"/>
  <c r="E57" i="59" s="1"/>
  <c r="D59" i="59"/>
  <c r="D63" i="59"/>
  <c r="C66" i="59"/>
  <c r="D66" i="59" s="1"/>
  <c r="E66" i="59"/>
  <c r="E65" i="59" s="1"/>
  <c r="D67" i="59"/>
  <c r="C70" i="59"/>
  <c r="C69" i="59" s="1"/>
  <c r="D69" i="59" s="1"/>
  <c r="C74" i="59"/>
  <c r="D74" i="59" s="1"/>
  <c r="U16" i="4"/>
  <c r="S16" i="4"/>
  <c r="Q16" i="4"/>
  <c r="O16" i="4"/>
  <c r="M16" i="4"/>
  <c r="K16" i="4"/>
  <c r="C73" i="59"/>
  <c r="D73" i="59" s="1"/>
  <c r="C65" i="59"/>
  <c r="D65" i="59" s="1"/>
  <c r="D58" i="59"/>
  <c r="D57" i="59"/>
  <c r="N16" i="4"/>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c r="C18" i="35"/>
  <c r="D68" i="35"/>
  <c r="E68" i="35" s="1"/>
  <c r="F68" i="35" s="1"/>
  <c r="G68" i="35" s="1"/>
  <c r="Q21" i="37"/>
  <c r="Z21" i="37" s="1"/>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G20" i="20"/>
  <c r="B85" i="46" s="1"/>
  <c r="C22" i="20"/>
  <c r="B65" i="46" s="1"/>
  <c r="S18" i="36"/>
  <c r="S18" i="35"/>
  <c r="S21" i="34"/>
  <c r="S27" i="40"/>
  <c r="C27" i="40"/>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F31" i="35"/>
  <c r="D87" i="35"/>
  <c r="E87" i="35"/>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S515" i="31"/>
  <c r="S517" i="31"/>
  <c r="S519" i="31"/>
  <c r="S521" i="31"/>
  <c r="S523" i="31"/>
  <c r="F41" i="21"/>
  <c r="AA41" i="21" s="1"/>
  <c r="J41" i="21"/>
  <c r="AC41" i="21" s="1"/>
  <c r="H41" i="21"/>
  <c r="U41" i="21" s="1"/>
  <c r="D83" i="39"/>
  <c r="E83" i="39" s="1"/>
  <c r="F83" i="39" s="1"/>
  <c r="G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s="1"/>
  <c r="B59" i="36"/>
  <c r="J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J35" i="21" s="1"/>
  <c r="W35"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H30" i="21" s="1"/>
  <c r="B94" i="21"/>
  <c r="B92" i="21"/>
  <c r="B90" i="21"/>
  <c r="B74" i="21"/>
  <c r="J14" i="21" s="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S41" i="21"/>
  <c r="W41" i="21"/>
  <c r="S10" i="39"/>
  <c r="U30" i="37"/>
  <c r="E103" i="37"/>
  <c r="F103" i="37" s="1"/>
  <c r="F39" i="37"/>
  <c r="F29" i="36"/>
  <c r="AA29" i="36" s="1"/>
  <c r="F16" i="36"/>
  <c r="AA16" i="36" s="1"/>
  <c r="U22" i="36"/>
  <c r="W23" i="36"/>
  <c r="U26" i="36"/>
  <c r="AC31" i="36"/>
  <c r="J33" i="36"/>
  <c r="U31" i="35"/>
  <c r="W24" i="35"/>
  <c r="S31" i="35"/>
  <c r="W31" i="35"/>
  <c r="F36" i="34"/>
  <c r="S36" i="34" s="1"/>
  <c r="W9" i="34"/>
  <c r="W39" i="34"/>
  <c r="H39" i="33"/>
  <c r="AB39" i="33" s="1"/>
  <c r="F26" i="33"/>
  <c r="AA26" i="33" s="1"/>
  <c r="U33" i="33"/>
  <c r="S40" i="33"/>
  <c r="S8" i="21"/>
  <c r="AB27" i="35"/>
  <c r="S10" i="40"/>
  <c r="W10" i="40"/>
  <c r="S11" i="40"/>
  <c r="U11" i="40"/>
  <c r="S36" i="40"/>
  <c r="U36" i="40"/>
  <c r="S36" i="39"/>
  <c r="C23" i="39"/>
  <c r="U36" i="39"/>
  <c r="S42" i="39"/>
  <c r="H32" i="33"/>
  <c r="AB32" i="33" s="1"/>
  <c r="F100" i="40"/>
  <c r="G100" i="40" s="1"/>
  <c r="J27" i="36"/>
  <c r="J34" i="36"/>
  <c r="J30" i="35"/>
  <c r="W30" i="35" s="1"/>
  <c r="F22" i="35"/>
  <c r="AA22" i="35" s="1"/>
  <c r="H10" i="35"/>
  <c r="U24" i="36"/>
  <c r="F85" i="36"/>
  <c r="G85" i="36" s="1"/>
  <c r="H85" i="36" s="1"/>
  <c r="I85" i="36" s="1"/>
  <c r="J85" i="36"/>
  <c r="K85" i="36" s="1"/>
  <c r="L85" i="36" s="1"/>
  <c r="M85" i="36" s="1"/>
  <c r="J29" i="36"/>
  <c r="AC29" i="36" s="1"/>
  <c r="F12" i="36"/>
  <c r="S12" i="36" s="1"/>
  <c r="F24" i="36"/>
  <c r="F34" i="36"/>
  <c r="S34" i="36" s="1"/>
  <c r="AB8" i="36"/>
  <c r="H16" i="35"/>
  <c r="U16" i="35" s="1"/>
  <c r="H33" i="35"/>
  <c r="AB33" i="35" s="1"/>
  <c r="W8" i="35"/>
  <c r="AC8" i="35"/>
  <c r="F35" i="37"/>
  <c r="S35" i="37" s="1"/>
  <c r="E101" i="37"/>
  <c r="F101" i="37" s="1"/>
  <c r="G101" i="37" s="1"/>
  <c r="H101" i="37" s="1"/>
  <c r="I101" i="37" s="1"/>
  <c r="J101" i="37" s="1"/>
  <c r="K101" i="37" s="1"/>
  <c r="L101" i="37" s="1"/>
  <c r="M101" i="37" s="1"/>
  <c r="J34" i="37"/>
  <c r="W34" i="37" s="1"/>
  <c r="H43" i="34"/>
  <c r="AB43" i="34" s="1"/>
  <c r="E114" i="34"/>
  <c r="H36" i="34"/>
  <c r="U36" i="34" s="1"/>
  <c r="F37" i="34"/>
  <c r="F33" i="34"/>
  <c r="S33" i="34" s="1"/>
  <c r="AA28" i="34"/>
  <c r="F19" i="34"/>
  <c r="AA19" i="34"/>
  <c r="J10" i="34"/>
  <c r="AC10" i="34"/>
  <c r="W8" i="34"/>
  <c r="J28" i="34"/>
  <c r="W28" i="34"/>
  <c r="S22" i="35"/>
  <c r="H29" i="35"/>
  <c r="U29" i="35" s="1"/>
  <c r="S34" i="37"/>
  <c r="AA34" i="37"/>
  <c r="AC43" i="34"/>
  <c r="W36" i="34"/>
  <c r="J19" i="34"/>
  <c r="AC19" i="34"/>
  <c r="G113" i="33"/>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J10" i="35"/>
  <c r="W10" i="35" s="1"/>
  <c r="AL5" i="3"/>
  <c r="BQ13" i="3"/>
  <c r="BL572" i="3"/>
  <c r="F28" i="21"/>
  <c r="AA28" i="21" s="1"/>
  <c r="F30" i="21"/>
  <c r="S30" i="21" s="1"/>
  <c r="H26" i="33"/>
  <c r="U26" i="33" s="1"/>
  <c r="F28" i="33"/>
  <c r="AA28" i="33" s="1"/>
  <c r="F33" i="35"/>
  <c r="S33" i="35" s="1"/>
  <c r="J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s="1"/>
  <c r="F45" i="33"/>
  <c r="S45" i="33" s="1"/>
  <c r="F11" i="35"/>
  <c r="S11" i="35" s="1"/>
  <c r="H28" i="36"/>
  <c r="U28" i="36" s="1"/>
  <c r="H13" i="36"/>
  <c r="AB13" i="36" s="1"/>
  <c r="F13" i="36"/>
  <c r="E89" i="37"/>
  <c r="F89" i="37" s="1"/>
  <c r="G89" i="37"/>
  <c r="H89" i="37" s="1"/>
  <c r="I89" i="37" s="1"/>
  <c r="J89" i="37" s="1"/>
  <c r="K89" i="37" s="1"/>
  <c r="L89" i="37" s="1"/>
  <c r="M89" i="37" s="1"/>
  <c r="J29" i="37"/>
  <c r="W29" i="37"/>
  <c r="F29" i="37"/>
  <c r="AA29" i="37"/>
  <c r="AB36" i="37"/>
  <c r="F107" i="37"/>
  <c r="J37" i="37"/>
  <c r="AC37" i="37" s="1"/>
  <c r="H37" i="37"/>
  <c r="U37" i="37" s="1"/>
  <c r="H40" i="37"/>
  <c r="J40" i="37"/>
  <c r="W40" i="37" s="1"/>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13" i="21"/>
  <c r="U36" i="37"/>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1" i="3"/>
  <c r="AZ561" i="3" s="1"/>
  <c r="BA559" i="3"/>
  <c r="BA557" i="3"/>
  <c r="AZ557" i="3" s="1"/>
  <c r="BA555" i="3"/>
  <c r="AZ555" i="3" s="1"/>
  <c r="BA551" i="3"/>
  <c r="AZ551" i="3" s="1"/>
  <c r="BA545" i="3"/>
  <c r="BA543" i="3"/>
  <c r="BA521" i="3"/>
  <c r="BA505" i="3"/>
  <c r="BA501" i="3"/>
  <c r="AZ501" i="3" s="1"/>
  <c r="BA493" i="3"/>
  <c r="BA572" i="3"/>
  <c r="AZ572" i="3" s="1"/>
  <c r="BA562" i="3"/>
  <c r="BA560" i="3"/>
  <c r="BA558" i="3"/>
  <c r="BA556" i="3"/>
  <c r="BA554" i="3"/>
  <c r="BA550" i="3"/>
  <c r="BA546" i="3"/>
  <c r="BA544" i="3"/>
  <c r="BA536" i="3"/>
  <c r="BA528" i="3"/>
  <c r="BA524" i="3"/>
  <c r="BA520" i="3"/>
  <c r="BA512" i="3"/>
  <c r="BA502" i="3"/>
  <c r="BA492" i="3"/>
  <c r="BA484" i="3"/>
  <c r="AZ545"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L554" i="3" s="1"/>
  <c r="BQ552" i="3"/>
  <c r="BQ550" i="3"/>
  <c r="BL550" i="3" s="1"/>
  <c r="AZ550" i="3" s="1"/>
  <c r="BQ548" i="3"/>
  <c r="BQ546" i="3"/>
  <c r="BL546" i="3" s="1"/>
  <c r="AZ546" i="3" s="1"/>
  <c r="BQ544" i="3"/>
  <c r="BL544" i="3" s="1"/>
  <c r="G544" i="3"/>
  <c r="G538" i="3"/>
  <c r="G534" i="3"/>
  <c r="G530" i="3"/>
  <c r="G526" i="3"/>
  <c r="G522" i="3"/>
  <c r="BQ540" i="3"/>
  <c r="BQ538" i="3"/>
  <c r="BL538" i="3" s="1"/>
  <c r="BQ536" i="3"/>
  <c r="BL536" i="3" s="1"/>
  <c r="BQ534" i="3"/>
  <c r="BL534" i="3"/>
  <c r="BQ532" i="3"/>
  <c r="BL532" i="3"/>
  <c r="BQ530" i="3"/>
  <c r="BQ528" i="3"/>
  <c r="BL528" i="3" s="1"/>
  <c r="AZ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4" i="3" s="1"/>
  <c r="BL493" i="3"/>
  <c r="G492" i="3"/>
  <c r="G488" i="3"/>
  <c r="G484" i="3"/>
  <c r="G20" i="3"/>
  <c r="BQ492" i="3"/>
  <c r="BL492" i="3" s="1"/>
  <c r="BQ490" i="3"/>
  <c r="BL490" i="3" s="1"/>
  <c r="BQ488" i="3"/>
  <c r="BQ486" i="3"/>
  <c r="BL486" i="3" s="1"/>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U43" i="33" s="1"/>
  <c r="H17" i="37"/>
  <c r="U17" i="37" s="1"/>
  <c r="F23" i="37"/>
  <c r="S23" i="37" s="1"/>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D3" i="21"/>
  <c r="AC12" i="35"/>
  <c r="W23" i="35"/>
  <c r="AC23" i="37"/>
  <c r="AC8" i="37"/>
  <c r="S25" i="37"/>
  <c r="AB8" i="34"/>
  <c r="AA13" i="33"/>
  <c r="AC33" i="21"/>
  <c r="F43" i="33"/>
  <c r="AA43" i="33" s="1"/>
  <c r="AA23" i="37"/>
  <c r="AB44" i="33"/>
  <c r="G107" i="37"/>
  <c r="H107" i="37" s="1"/>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AZ305" i="3"/>
  <c r="G321" i="3"/>
  <c r="BL322" i="3"/>
  <c r="G323" i="3"/>
  <c r="BL324" i="3"/>
  <c r="BA326" i="3"/>
  <c r="AZ326" i="3"/>
  <c r="BA327" i="3"/>
  <c r="BL327" i="3"/>
  <c r="AZ327" i="3" s="1"/>
  <c r="G328" i="3"/>
  <c r="BA329" i="3"/>
  <c r="G337" i="3"/>
  <c r="BL338" i="3"/>
  <c r="G339" i="3"/>
  <c r="BL340" i="3"/>
  <c r="BA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AZ365" i="3" s="1"/>
  <c r="BL365" i="3"/>
  <c r="G366" i="3"/>
  <c r="G369" i="3"/>
  <c r="BL370" i="3"/>
  <c r="BA372" i="3"/>
  <c r="AZ372" i="3" s="1"/>
  <c r="BA373" i="3"/>
  <c r="BL373" i="3"/>
  <c r="G374" i="3"/>
  <c r="G377" i="3"/>
  <c r="BL378" i="3"/>
  <c r="BA380" i="3"/>
  <c r="AZ380" i="3" s="1"/>
  <c r="BA381" i="3"/>
  <c r="BL381" i="3"/>
  <c r="G382" i="3"/>
  <c r="G385" i="3"/>
  <c r="AZ166" i="3"/>
  <c r="AZ183" i="3"/>
  <c r="AZ187"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1" i="3"/>
  <c r="AZ225" i="3"/>
  <c r="AZ237" i="3"/>
  <c r="AZ241" i="3"/>
  <c r="AZ309" i="3"/>
  <c r="AZ333" i="3"/>
  <c r="AZ363" i="3"/>
  <c r="G368" i="3"/>
  <c r="BA370" i="3"/>
  <c r="BL371" i="3"/>
  <c r="AZ371" i="3" s="1"/>
  <c r="G372" i="3"/>
  <c r="BA374" i="3"/>
  <c r="AZ374" i="3"/>
  <c r="BL375" i="3"/>
  <c r="G376" i="3"/>
  <c r="BA378" i="3"/>
  <c r="AZ378" i="3"/>
  <c r="BL379" i="3"/>
  <c r="AZ379" i="3"/>
  <c r="G380" i="3"/>
  <c r="BA382" i="3"/>
  <c r="AZ382" i="3" s="1"/>
  <c r="BL383" i="3"/>
  <c r="G384" i="3"/>
  <c r="AZ249" i="3"/>
  <c r="AZ375" i="3"/>
  <c r="AZ270" i="3"/>
  <c r="AZ282" i="3"/>
  <c r="AZ286" i="3"/>
  <c r="AZ290" i="3"/>
  <c r="AZ319" i="3"/>
  <c r="AZ347" i="3"/>
  <c r="AZ351" i="3"/>
  <c r="AZ361" i="3"/>
  <c r="AZ369" i="3"/>
  <c r="AZ385" i="3"/>
  <c r="AZ394" i="3"/>
  <c r="AZ410" i="3"/>
  <c r="AZ418" i="3"/>
  <c r="AZ426" i="3"/>
  <c r="AZ430" i="3"/>
  <c r="AZ434" i="3"/>
  <c r="AZ438" i="3"/>
  <c r="AZ450" i="3"/>
  <c r="AZ459" i="3"/>
  <c r="AZ463"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J16" i="35"/>
  <c r="W16" i="35" s="1"/>
  <c r="AC26" i="36"/>
  <c r="AZ322" i="3"/>
  <c r="H11" i="37"/>
  <c r="W37" i="37"/>
  <c r="U32" i="33"/>
  <c r="AC29" i="33"/>
  <c r="AC10" i="36"/>
  <c r="AB35" i="35"/>
  <c r="AC29" i="37"/>
  <c r="J33" i="34"/>
  <c r="AB36" i="34"/>
  <c r="J40" i="34"/>
  <c r="W40" i="34" s="1"/>
  <c r="F16" i="35"/>
  <c r="AA16" i="35" s="1"/>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s="1"/>
  <c r="AB12" i="21"/>
  <c r="AB26" i="21"/>
  <c r="U26" i="21"/>
  <c r="F40" i="21"/>
  <c r="H40" i="21"/>
  <c r="AB40" i="21" s="1"/>
  <c r="AA8" i="33"/>
  <c r="S8" i="33"/>
  <c r="H66" i="33"/>
  <c r="I66" i="33" s="1"/>
  <c r="F10" i="33"/>
  <c r="AA10" i="33" s="1"/>
  <c r="F11" i="33"/>
  <c r="S11" i="33" s="1"/>
  <c r="F32" i="33"/>
  <c r="AA32" i="33" s="1"/>
  <c r="J32" i="33"/>
  <c r="AC32" i="33" s="1"/>
  <c r="F35" i="33"/>
  <c r="AA35" i="33"/>
  <c r="AB39" i="34"/>
  <c r="F11" i="34"/>
  <c r="S11" i="34" s="1"/>
  <c r="E80" i="34"/>
  <c r="F80" i="34" s="1"/>
  <c r="H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F96" i="37"/>
  <c r="G96" i="37" s="1"/>
  <c r="H96" i="37" s="1"/>
  <c r="I96" i="37" s="1"/>
  <c r="J96" i="37" s="1"/>
  <c r="K96" i="37" s="1"/>
  <c r="L96" i="37" s="1"/>
  <c r="M96" i="37" s="1"/>
  <c r="H32" i="37"/>
  <c r="AB32" i="37"/>
  <c r="F43" i="39"/>
  <c r="H43" i="39"/>
  <c r="U43" i="39" s="1"/>
  <c r="J43" i="39"/>
  <c r="W43" i="39" s="1"/>
  <c r="F99" i="37"/>
  <c r="G99" i="37" s="1"/>
  <c r="H99" i="37" s="1"/>
  <c r="I99" i="37" s="1"/>
  <c r="J99" i="37" s="1"/>
  <c r="K99" i="37" s="1"/>
  <c r="L99" i="37" s="1"/>
  <c r="M99" i="37" s="1"/>
  <c r="AC40" i="37"/>
  <c r="AB29" i="35"/>
  <c r="U43" i="34"/>
  <c r="AC34" i="37"/>
  <c r="AA35" i="37"/>
  <c r="BL571" i="3"/>
  <c r="F42" i="21"/>
  <c r="AA42" i="21" s="1"/>
  <c r="U40" i="33"/>
  <c r="AA35" i="34"/>
  <c r="S35" i="34"/>
  <c r="E90" i="34"/>
  <c r="H27" i="34"/>
  <c r="AB8" i="35"/>
  <c r="U8" i="35"/>
  <c r="S9" i="35"/>
  <c r="J14" i="35"/>
  <c r="AC14" i="35" s="1"/>
  <c r="F14" i="35"/>
  <c r="AA14" i="35" s="1"/>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E103" i="39"/>
  <c r="F29" i="39" s="1"/>
  <c r="F39" i="39"/>
  <c r="S39" i="39" s="1"/>
  <c r="H39" i="39"/>
  <c r="J39" i="39"/>
  <c r="W39" i="39" s="1"/>
  <c r="J29" i="35"/>
  <c r="F29" i="35"/>
  <c r="W30" i="36"/>
  <c r="AC30" i="36"/>
  <c r="F37" i="39"/>
  <c r="S37" i="39" s="1"/>
  <c r="H37" i="39"/>
  <c r="U37" i="39" s="1"/>
  <c r="J37" i="39"/>
  <c r="BL566" i="3"/>
  <c r="AZ566" i="3" s="1"/>
  <c r="BL565" i="3"/>
  <c r="BA564" i="3"/>
  <c r="AZ564" i="3" s="1"/>
  <c r="BA552" i="3"/>
  <c r="BL549" i="3"/>
  <c r="BA549" i="3"/>
  <c r="BL548" i="3"/>
  <c r="BA548" i="3"/>
  <c r="AZ548" i="3" s="1"/>
  <c r="BL547" i="3"/>
  <c r="BA547" i="3"/>
  <c r="BL539" i="3"/>
  <c r="BA539" i="3"/>
  <c r="AZ539" i="3" s="1"/>
  <c r="BA538" i="3"/>
  <c r="AZ538" i="3" s="1"/>
  <c r="BL537" i="3"/>
  <c r="BA537" i="3"/>
  <c r="AZ536" i="3"/>
  <c r="BA535" i="3"/>
  <c r="AZ535" i="3"/>
  <c r="BL530" i="3"/>
  <c r="BA530" i="3"/>
  <c r="AZ530" i="3" s="1"/>
  <c r="BL529" i="3"/>
  <c r="BA529" i="3"/>
  <c r="AZ529" i="3" s="1"/>
  <c r="BL523" i="3"/>
  <c r="BA523" i="3"/>
  <c r="BL522" i="3"/>
  <c r="BA522" i="3"/>
  <c r="AZ522" i="3"/>
  <c r="BL521" i="3"/>
  <c r="AZ521" i="3"/>
  <c r="BA518" i="3"/>
  <c r="BL515" i="3"/>
  <c r="BA515" i="3"/>
  <c r="BA514" i="3"/>
  <c r="AZ514" i="3" s="1"/>
  <c r="BL513" i="3"/>
  <c r="BA513" i="3"/>
  <c r="BL512" i="3"/>
  <c r="AZ512" i="3" s="1"/>
  <c r="BA511" i="3"/>
  <c r="BL509" i="3"/>
  <c r="BL505" i="3"/>
  <c r="BA503" i="3"/>
  <c r="AZ503" i="3" s="1"/>
  <c r="BA500" i="3"/>
  <c r="BL499" i="3"/>
  <c r="BA496" i="3"/>
  <c r="BA495" i="3"/>
  <c r="AZ495" i="3" s="1"/>
  <c r="BA494" i="3"/>
  <c r="AZ494" i="3" s="1"/>
  <c r="BA491" i="3"/>
  <c r="AZ491" i="3" s="1"/>
  <c r="BA490" i="3"/>
  <c r="AZ490" i="3" s="1"/>
  <c r="BL487" i="3"/>
  <c r="BA486" i="3"/>
  <c r="BA485" i="3"/>
  <c r="BA483" i="3"/>
  <c r="AZ483" i="3" s="1"/>
  <c r="BA482" i="3"/>
  <c r="BL481" i="3"/>
  <c r="BB5" i="3"/>
  <c r="BA18" i="3"/>
  <c r="F36" i="44"/>
  <c r="F114" i="34"/>
  <c r="G114" i="34" s="1"/>
  <c r="H114" i="34" s="1"/>
  <c r="I114" i="34" s="1"/>
  <c r="J114" i="34" s="1"/>
  <c r="K114" i="34" s="1"/>
  <c r="L114" i="34" s="1"/>
  <c r="M114" i="34" s="1"/>
  <c r="H38" i="34"/>
  <c r="U38" i="34"/>
  <c r="H30" i="40"/>
  <c r="AB30" i="40"/>
  <c r="J30" i="40"/>
  <c r="F38" i="40"/>
  <c r="AA36" i="34"/>
  <c r="S34" i="21"/>
  <c r="AB8" i="33"/>
  <c r="U8" i="33"/>
  <c r="E106" i="33"/>
  <c r="H34" i="33"/>
  <c r="F34" i="33"/>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U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407" i="3"/>
  <c r="AZ423" i="3"/>
  <c r="AZ431" i="3"/>
  <c r="AZ439" i="3"/>
  <c r="AZ454" i="3"/>
  <c r="B41" i="1"/>
  <c r="J42" i="40"/>
  <c r="J40" i="40"/>
  <c r="AC40" i="40" s="1"/>
  <c r="J34" i="40"/>
  <c r="H16" i="40"/>
  <c r="AB16" i="40" s="1"/>
  <c r="H14" i="40"/>
  <c r="F32" i="40"/>
  <c r="AZ428" i="3"/>
  <c r="AZ433" i="3"/>
  <c r="AZ436" i="3"/>
  <c r="AZ441" i="3"/>
  <c r="AZ452" i="3"/>
  <c r="M1" i="46"/>
  <c r="M6" i="46"/>
  <c r="M10" i="46"/>
  <c r="N2" i="46"/>
  <c r="N5" i="46"/>
  <c r="F58" i="46"/>
  <c r="H61" i="46" s="1"/>
  <c r="N7" i="46"/>
  <c r="AZ456" i="3"/>
  <c r="AZ458" i="3"/>
  <c r="AZ461" i="3"/>
  <c r="AZ474" i="3"/>
  <c r="AZ477" i="3"/>
  <c r="AZ212" i="3"/>
  <c r="AZ215" i="3"/>
  <c r="AZ223" i="3"/>
  <c r="AZ236" i="3"/>
  <c r="AZ239" i="3"/>
  <c r="AZ247" i="3"/>
  <c r="AZ268" i="3"/>
  <c r="AZ273" i="3"/>
  <c r="AZ284" i="3"/>
  <c r="AZ292" i="3"/>
  <c r="AZ124" i="3"/>
  <c r="AZ140" i="3"/>
  <c r="M7" i="46"/>
  <c r="M11" i="46"/>
  <c r="N3" i="46"/>
  <c r="N6" i="46"/>
  <c r="N10" i="46"/>
  <c r="F69" i="46" s="1"/>
  <c r="H71" i="46" s="1"/>
  <c r="AZ164" i="3"/>
  <c r="AZ177" i="3"/>
  <c r="AZ32" i="3"/>
  <c r="AZ48" i="3"/>
  <c r="AZ56" i="3"/>
  <c r="AZ63" i="3"/>
  <c r="AZ71" i="3"/>
  <c r="AZ99" i="3"/>
  <c r="AZ107" i="3"/>
  <c r="J13" i="40"/>
  <c r="W13" i="40"/>
  <c r="W40" i="40"/>
  <c r="F34" i="44"/>
  <c r="F66" i="9"/>
  <c r="P72" i="9" s="1"/>
  <c r="F72" i="9"/>
  <c r="AC14" i="40"/>
  <c r="W35" i="40"/>
  <c r="S33" i="40"/>
  <c r="AB32" i="40"/>
  <c r="AC47" i="39"/>
  <c r="S47" i="39"/>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H100" i="40"/>
  <c r="I100" i="40" s="1"/>
  <c r="J100" i="40" s="1"/>
  <c r="K100" i="40"/>
  <c r="L100" i="40" s="1"/>
  <c r="M100" i="40" s="1"/>
  <c r="AB38" i="34"/>
  <c r="AZ486" i="3"/>
  <c r="AZ537" i="3"/>
  <c r="AB37" i="39"/>
  <c r="J29" i="39"/>
  <c r="AC29" i="39" s="1"/>
  <c r="U21" i="39"/>
  <c r="AB33" i="36"/>
  <c r="S14" i="35"/>
  <c r="F33" i="37"/>
  <c r="AA33" i="37" s="1"/>
  <c r="U46" i="34"/>
  <c r="AA14" i="34"/>
  <c r="U29" i="33"/>
  <c r="AA11" i="34"/>
  <c r="H15" i="33"/>
  <c r="U15" i="33" s="1"/>
  <c r="U16" i="40"/>
  <c r="AB34" i="40"/>
  <c r="AB42" i="40"/>
  <c r="U42" i="40"/>
  <c r="AC16" i="40"/>
  <c r="W32" i="40"/>
  <c r="H25" i="40"/>
  <c r="AB25" i="40" s="1"/>
  <c r="U47" i="39"/>
  <c r="W15" i="39"/>
  <c r="J37" i="34"/>
  <c r="S16" i="39"/>
  <c r="S15" i="34"/>
  <c r="AA15" i="34"/>
  <c r="F106" i="33"/>
  <c r="G106" i="33" s="1"/>
  <c r="H106" i="33" s="1"/>
  <c r="I106" i="33" s="1"/>
  <c r="J106" i="33" s="1"/>
  <c r="K106" i="33" s="1"/>
  <c r="L106" i="33" s="1"/>
  <c r="M106" i="33" s="1"/>
  <c r="J34" i="33"/>
  <c r="AC34" i="33" s="1"/>
  <c r="U30" i="40"/>
  <c r="AA39" i="39"/>
  <c r="AC33" i="39"/>
  <c r="S33" i="39"/>
  <c r="F90" i="34"/>
  <c r="G90" i="34" s="1"/>
  <c r="H90" i="34" s="1"/>
  <c r="I90" i="34"/>
  <c r="J90" i="34" s="1"/>
  <c r="K90" i="34" s="1"/>
  <c r="L90" i="34" s="1"/>
  <c r="M90" i="34" s="1"/>
  <c r="AA43" i="39"/>
  <c r="S43" i="39"/>
  <c r="F32" i="37"/>
  <c r="AB11" i="35"/>
  <c r="U32" i="34"/>
  <c r="AC14" i="34"/>
  <c r="AB13" i="33"/>
  <c r="G80" i="34"/>
  <c r="F17" i="34"/>
  <c r="J17" i="34"/>
  <c r="H11" i="34"/>
  <c r="AB11" i="34" s="1"/>
  <c r="J35" i="33"/>
  <c r="W35" i="33" s="1"/>
  <c r="S32" i="33"/>
  <c r="H11" i="33"/>
  <c r="U11" i="33" s="1"/>
  <c r="H10" i="33"/>
  <c r="U10" i="33" s="1"/>
  <c r="J10" i="33"/>
  <c r="AC10" i="33" s="1"/>
  <c r="U40" i="21"/>
  <c r="AC13" i="40"/>
  <c r="J11" i="34"/>
  <c r="F25" i="40"/>
  <c r="J11" i="33"/>
  <c r="H33" i="37"/>
  <c r="W15" i="34"/>
  <c r="U20" i="35"/>
  <c r="AB20" i="35"/>
  <c r="W23" i="40"/>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F62" i="36"/>
  <c r="G62" i="36" s="1"/>
  <c r="J14" i="36"/>
  <c r="AC14" i="36" s="1"/>
  <c r="H14" i="36"/>
  <c r="F14" i="36"/>
  <c r="AA14" i="36" s="1"/>
  <c r="U27" i="36"/>
  <c r="AB12" i="36"/>
  <c r="U9" i="36"/>
  <c r="S33" i="36"/>
  <c r="AA27" i="36"/>
  <c r="S16" i="36"/>
  <c r="S29" i="36"/>
  <c r="U22" i="35"/>
  <c r="S8" i="35"/>
  <c r="U33"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W17" i="37" s="1"/>
  <c r="S15" i="37"/>
  <c r="AC21" i="37"/>
  <c r="W21" i="37"/>
  <c r="AC11" i="37"/>
  <c r="U8" i="37"/>
  <c r="AB25" i="37"/>
  <c r="AB21" i="37"/>
  <c r="U21" i="37"/>
  <c r="S40" i="37"/>
  <c r="S10" i="37"/>
  <c r="AA40" i="34"/>
  <c r="S32" i="34"/>
  <c r="AB33" i="34"/>
  <c r="AA12" i="34"/>
  <c r="AC35" i="34"/>
  <c r="AA30" i="34"/>
  <c r="AA33" i="34"/>
  <c r="U44" i="34"/>
  <c r="U28" i="34"/>
  <c r="J25" i="34"/>
  <c r="W25" i="34" s="1"/>
  <c r="H25" i="34"/>
  <c r="AB25" i="34" s="1"/>
  <c r="F25" i="34"/>
  <c r="AA25" i="34" s="1"/>
  <c r="J23" i="34"/>
  <c r="AC23" i="34" s="1"/>
  <c r="F23" i="34"/>
  <c r="AA23" i="34" s="1"/>
  <c r="H23" i="34"/>
  <c r="AB23" i="34" s="1"/>
  <c r="U11" i="34"/>
  <c r="W10" i="34"/>
  <c r="U10" i="34"/>
  <c r="AC40" i="34"/>
  <c r="W44" i="34"/>
  <c r="W19" i="34"/>
  <c r="AC21" i="34"/>
  <c r="W21" i="34"/>
  <c r="U15" i="34"/>
  <c r="AB21" i="34"/>
  <c r="U21" i="34"/>
  <c r="U19" i="34"/>
  <c r="S9" i="34"/>
  <c r="S10" i="34"/>
  <c r="U37" i="33"/>
  <c r="S35" i="33"/>
  <c r="AB11"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AA37" i="40" s="1"/>
  <c r="J37" i="40"/>
  <c r="H37" i="40"/>
  <c r="U37" i="40" s="1"/>
  <c r="G113" i="40"/>
  <c r="H113" i="40"/>
  <c r="I113" i="40" s="1"/>
  <c r="J113" i="40" s="1"/>
  <c r="K113" i="40" s="1"/>
  <c r="L113" i="40" s="1"/>
  <c r="M113" i="40" s="1"/>
  <c r="F39" i="40"/>
  <c r="AA39" i="40" s="1"/>
  <c r="H39" i="40"/>
  <c r="AB39" i="40" s="1"/>
  <c r="J39" i="40"/>
  <c r="W39" i="40" s="1"/>
  <c r="W38" i="40"/>
  <c r="F29" i="40"/>
  <c r="S29" i="40" s="1"/>
  <c r="H29" i="40"/>
  <c r="U29" i="40" s="1"/>
  <c r="J29" i="40"/>
  <c r="W29" i="40" s="1"/>
  <c r="F98" i="40"/>
  <c r="G98" i="40" s="1"/>
  <c r="H98" i="40"/>
  <c r="I98" i="40" s="1"/>
  <c r="J98" i="40" s="1"/>
  <c r="K98" i="40" s="1"/>
  <c r="L98" i="40" s="1"/>
  <c r="M98" i="40" s="1"/>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s="1"/>
  <c r="C53" i="10"/>
  <c r="A18" i="51"/>
  <c r="B14" i="63" s="1"/>
  <c r="BA16" i="3"/>
  <c r="BA17" i="3"/>
  <c r="AZ17" i="3"/>
  <c r="F3" i="35"/>
  <c r="K1" i="43"/>
  <c r="K1" i="12"/>
  <c r="G1" i="44"/>
  <c r="BK5" i="3"/>
  <c r="BL18" i="3"/>
  <c r="AZ18" i="3" s="1"/>
  <c r="BR5" i="3"/>
  <c r="BL16"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S25" i="36"/>
  <c r="AA34" i="36"/>
  <c r="U23" i="36"/>
  <c r="W28" i="36"/>
  <c r="U13" i="36"/>
  <c r="U10" i="36"/>
  <c r="W29" i="36"/>
  <c r="W9" i="36"/>
  <c r="S9" i="36"/>
  <c r="W8" i="36"/>
  <c r="AC30" i="35"/>
  <c r="AA33" i="35"/>
  <c r="U32" i="35"/>
  <c r="W22" i="35"/>
  <c r="S32" i="35"/>
  <c r="W35" i="37"/>
  <c r="AC15" i="37"/>
  <c r="AA13" i="37"/>
  <c r="S12" i="37"/>
  <c r="W38" i="37"/>
  <c r="W3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W42" i="39"/>
  <c r="W36" i="39"/>
  <c r="U14" i="39"/>
  <c r="S15" i="39"/>
  <c r="W45" i="39"/>
  <c r="W10" i="39"/>
  <c r="W11" i="39"/>
  <c r="U42" i="39"/>
  <c r="W40" i="39"/>
  <c r="C27" i="39"/>
  <c r="C17" i="40"/>
  <c r="C19" i="40"/>
  <c r="C17" i="39"/>
  <c r="C19" i="39"/>
  <c r="C23" i="40"/>
  <c r="B48" i="46"/>
  <c r="B51" i="46"/>
  <c r="B59" i="46"/>
  <c r="B62" i="46"/>
  <c r="B66" i="46"/>
  <c r="B53" i="46"/>
  <c r="B64" i="46"/>
  <c r="D24" i="15"/>
  <c r="S14" i="36"/>
  <c r="W14" i="36"/>
  <c r="U14" i="36"/>
  <c r="AB14" i="36"/>
  <c r="W19" i="37"/>
  <c r="U19" i="37"/>
  <c r="AC17" i="37"/>
  <c r="U25" i="34"/>
  <c r="S25" i="34"/>
  <c r="AC25" i="34"/>
  <c r="U23" i="34"/>
  <c r="S23" i="34"/>
  <c r="W23" i="34"/>
  <c r="U39" i="40"/>
  <c r="AC39" i="40"/>
  <c r="AB37" i="40"/>
  <c r="S37" i="40"/>
  <c r="AB29" i="40"/>
  <c r="AC29" i="40"/>
  <c r="AA29" i="40"/>
  <c r="W19" i="40"/>
  <c r="AC19" i="40"/>
  <c r="AA19" i="40"/>
  <c r="S19" i="40"/>
  <c r="U19" i="40"/>
  <c r="A17" i="51"/>
  <c r="B13" i="63"/>
  <c r="E5" i="6"/>
  <c r="D21" i="12" s="1"/>
  <c r="C21" i="12" s="1"/>
  <c r="AT6" i="3"/>
  <c r="A9" i="64"/>
  <c r="A9" i="51"/>
  <c r="B9" i="63" s="1"/>
  <c r="A3" i="55"/>
  <c r="B56" i="63" s="1"/>
  <c r="E4" i="4"/>
  <c r="B21" i="55" s="1"/>
  <c r="B72" i="63" s="1"/>
  <c r="C4" i="4"/>
  <c r="B20" i="55" s="1"/>
  <c r="B70" i="63" s="1"/>
  <c r="G66" i="36"/>
  <c r="J18" i="36"/>
  <c r="AC18" i="36" s="1"/>
  <c r="AE6" i="1"/>
  <c r="AG6" i="1"/>
  <c r="L20" i="6"/>
  <c r="S9" i="1"/>
  <c r="R9" i="1"/>
  <c r="C45" i="9"/>
  <c r="H14" i="66" s="1"/>
  <c r="B7" i="66" s="1"/>
  <c r="O40" i="9"/>
  <c r="K31" i="9"/>
  <c r="K32" i="9" s="1"/>
  <c r="R7" i="54"/>
  <c r="B52" i="63" s="1"/>
  <c r="N76" i="9"/>
  <c r="B11" i="67"/>
  <c r="N3" i="65"/>
  <c r="N5" i="65"/>
  <c r="N4" i="65"/>
  <c r="B14" i="67"/>
  <c r="E12" i="67"/>
  <c r="F10" i="67"/>
  <c r="F8" i="67"/>
  <c r="N7" i="65"/>
  <c r="B8" i="67"/>
  <c r="B9" i="67"/>
  <c r="E13" i="67"/>
  <c r="M27" i="15"/>
  <c r="F38" i="44"/>
  <c r="M24" i="44"/>
  <c r="F40" i="15"/>
  <c r="B12" i="67"/>
  <c r="F13" i="15"/>
  <c r="F14" i="67"/>
  <c r="F6" i="15"/>
  <c r="E9" i="67"/>
  <c r="F16" i="15"/>
  <c r="L49" i="44"/>
  <c r="M8" i="44"/>
  <c r="N6" i="65"/>
  <c r="F37" i="15"/>
  <c r="F39" i="44"/>
  <c r="B10" i="67"/>
  <c r="M26" i="15"/>
  <c r="E14" i="67"/>
  <c r="F9" i="15"/>
  <c r="J36" i="15"/>
  <c r="F11" i="44"/>
  <c r="M23" i="44"/>
  <c r="E11" i="67"/>
  <c r="F11" i="67"/>
  <c r="L48" i="44"/>
  <c r="M26" i="44"/>
  <c r="B13" i="67"/>
  <c r="F13" i="67"/>
  <c r="M25" i="44"/>
  <c r="E8" i="67"/>
  <c r="F9" i="67"/>
  <c r="E10" i="67"/>
  <c r="F12" i="67"/>
  <c r="U18" i="36" l="1"/>
  <c r="AB18" i="36"/>
  <c r="AC17" i="34"/>
  <c r="W17" i="34"/>
  <c r="AC37" i="34"/>
  <c r="W37" i="34"/>
  <c r="AA30" i="40"/>
  <c r="S30" i="40"/>
  <c r="S34" i="33"/>
  <c r="AA34" i="33"/>
  <c r="W46" i="39"/>
  <c r="AC46" i="39"/>
  <c r="S46" i="39"/>
  <c r="AA46" i="39"/>
  <c r="AC14" i="21"/>
  <c r="W14" i="21"/>
  <c r="U30" i="21"/>
  <c r="AB30" i="21"/>
  <c r="AB28" i="33"/>
  <c r="U28" i="33"/>
  <c r="AZ16" i="3"/>
  <c r="A25" i="64"/>
  <c r="A25" i="51"/>
  <c r="B18" i="63" s="1"/>
  <c r="AC35" i="33"/>
  <c r="S20" i="36"/>
  <c r="AA20" i="36"/>
  <c r="AA17" i="34"/>
  <c r="S17" i="34"/>
  <c r="AC39" i="39"/>
  <c r="AA41" i="33"/>
  <c r="AB23" i="40"/>
  <c r="AB39" i="39"/>
  <c r="U39" i="39"/>
  <c r="U46" i="39"/>
  <c r="AB46" i="39"/>
  <c r="AZ15" i="3"/>
  <c r="AZ558" i="3"/>
  <c r="AZ562" i="3"/>
  <c r="BA567" i="3"/>
  <c r="BA563" i="3"/>
  <c r="BL541" i="3"/>
  <c r="BA508" i="3"/>
  <c r="BL507" i="3"/>
  <c r="BA506" i="3"/>
  <c r="BP5" i="3"/>
  <c r="BA481" i="3"/>
  <c r="AZ481" i="3" s="1"/>
  <c r="BL20" i="3"/>
  <c r="BH5" i="3"/>
  <c r="S22" i="31"/>
  <c r="S29" i="33"/>
  <c r="AC32" i="34"/>
  <c r="U30" i="34"/>
  <c r="W46" i="34"/>
  <c r="AA11" i="37"/>
  <c r="U35" i="37"/>
  <c r="S16" i="35"/>
  <c r="U12" i="34"/>
  <c r="U14" i="34"/>
  <c r="S46" i="34"/>
  <c r="W14" i="35"/>
  <c r="AA11" i="33"/>
  <c r="W32" i="33"/>
  <c r="AC13" i="33"/>
  <c r="W12" i="34"/>
  <c r="AC30" i="34"/>
  <c r="AZ482" i="3"/>
  <c r="AZ500" i="3"/>
  <c r="AZ511" i="3"/>
  <c r="AZ513" i="3"/>
  <c r="AZ515" i="3"/>
  <c r="AZ523" i="3"/>
  <c r="AZ547" i="3"/>
  <c r="AZ549" i="3"/>
  <c r="AZ565" i="3"/>
  <c r="U25" i="35"/>
  <c r="J15" i="33"/>
  <c r="W15" i="33" s="1"/>
  <c r="W44" i="33"/>
  <c r="AC14" i="37"/>
  <c r="AA45" i="33"/>
  <c r="AB17" i="37"/>
  <c r="AA36" i="37"/>
  <c r="W25" i="35"/>
  <c r="AZ340" i="3"/>
  <c r="AZ329" i="3"/>
  <c r="AZ373" i="3"/>
  <c r="AZ339" i="3"/>
  <c r="AZ331" i="3"/>
  <c r="AZ323" i="3"/>
  <c r="AZ354" i="3"/>
  <c r="U31" i="37"/>
  <c r="AC45" i="33"/>
  <c r="AC37" i="33"/>
  <c r="AB43" i="33"/>
  <c r="AZ544" i="3"/>
  <c r="S45" i="21"/>
  <c r="AB28" i="36"/>
  <c r="J28" i="33"/>
  <c r="J30" i="21"/>
  <c r="AB42" i="34"/>
  <c r="U34" i="37"/>
  <c r="W40" i="33"/>
  <c r="U9" i="34"/>
  <c r="S10" i="36"/>
  <c r="U29" i="36"/>
  <c r="C29" i="39"/>
  <c r="H39" i="37"/>
  <c r="W36" i="35"/>
  <c r="AC27" i="35"/>
  <c r="W39" i="37"/>
  <c r="AB41" i="21"/>
  <c r="G570" i="3"/>
  <c r="BA570" i="3"/>
  <c r="AZ570" i="3" s="1"/>
  <c r="H26" i="37"/>
  <c r="BA553" i="3"/>
  <c r="G548" i="3"/>
  <c r="G527" i="3"/>
  <c r="G495" i="3"/>
  <c r="BA489" i="3"/>
  <c r="BA488" i="3"/>
  <c r="BA487" i="3"/>
  <c r="AZ487" i="3" s="1"/>
  <c r="G569" i="3"/>
  <c r="BL568" i="3"/>
  <c r="G567" i="3"/>
  <c r="G563" i="3"/>
  <c r="G552" i="3"/>
  <c r="G541" i="3"/>
  <c r="G535" i="3"/>
  <c r="G532" i="3"/>
  <c r="G528" i="3"/>
  <c r="G520" i="3"/>
  <c r="G518" i="3"/>
  <c r="BL517" i="3"/>
  <c r="G517" i="3"/>
  <c r="BL516" i="3"/>
  <c r="BA516" i="3"/>
  <c r="G511" i="3"/>
  <c r="BA510" i="3"/>
  <c r="G510" i="3"/>
  <c r="G505" i="3"/>
  <c r="BL504" i="3"/>
  <c r="G500" i="3"/>
  <c r="G499" i="3"/>
  <c r="BA497" i="3"/>
  <c r="G487" i="3"/>
  <c r="G19" i="3"/>
  <c r="G14"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35" i="3"/>
  <c r="A2" i="55"/>
  <c r="B55" i="63" s="1"/>
  <c r="AZ406" i="3"/>
  <c r="AZ419" i="3"/>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7" i="3"/>
  <c r="G150" i="3"/>
  <c r="G44" i="3"/>
  <c r="BL44" i="3"/>
  <c r="G4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AZ222" i="3"/>
  <c r="G249" i="3"/>
  <c r="G250" i="3"/>
  <c r="BL250" i="3"/>
  <c r="AZ250" i="3" s="1"/>
  <c r="BA251" i="3"/>
  <c r="AZ251" i="3" s="1"/>
  <c r="BA252" i="3"/>
  <c r="AZ252" i="3" s="1"/>
  <c r="BA253" i="3"/>
  <c r="AZ253" i="3" s="1"/>
  <c r="BL255" i="3"/>
  <c r="AZ255" i="3" s="1"/>
  <c r="BA256" i="3"/>
  <c r="AZ256" i="3" s="1"/>
  <c r="BA257" i="3"/>
  <c r="AZ257" i="3" s="1"/>
  <c r="AZ269" i="3"/>
  <c r="AZ272" i="3"/>
  <c r="AZ285" i="3"/>
  <c r="BL289" i="3"/>
  <c r="AZ289" i="3" s="1"/>
  <c r="G292" i="3"/>
  <c r="G293" i="3"/>
  <c r="BL293" i="3"/>
  <c r="AZ293" i="3" s="1"/>
  <c r="BA294" i="3"/>
  <c r="AZ294" i="3" s="1"/>
  <c r="BA295" i="3"/>
  <c r="AZ295" i="3" s="1"/>
  <c r="G114" i="3"/>
  <c r="G117" i="3"/>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AZ72" i="3"/>
  <c r="AZ88" i="3"/>
  <c r="AZ101" i="3"/>
  <c r="D30" i="59"/>
  <c r="C31" i="59"/>
  <c r="E14" i="59"/>
  <c r="E13" i="59" s="1"/>
  <c r="U15" i="59"/>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BA73" i="3"/>
  <c r="AZ73" i="3" s="1"/>
  <c r="BA74" i="3"/>
  <c r="AZ74" i="3" s="1"/>
  <c r="G77" i="3"/>
  <c r="BL77" i="3"/>
  <c r="AZ77" i="3" s="1"/>
  <c r="BL79" i="3"/>
  <c r="AZ79" i="3" s="1"/>
  <c r="BA80" i="3"/>
  <c r="AZ80" i="3" s="1"/>
  <c r="BL82" i="3"/>
  <c r="AZ82" i="3" s="1"/>
  <c r="G84" i="3"/>
  <c r="G85" i="3"/>
  <c r="BL85" i="3"/>
  <c r="G88" i="3"/>
  <c r="BL88" i="3"/>
  <c r="BA89" i="3"/>
  <c r="AZ89" i="3" s="1"/>
  <c r="BA90" i="3"/>
  <c r="AZ90" i="3" s="1"/>
  <c r="BA91" i="3"/>
  <c r="AZ91" i="3" s="1"/>
  <c r="G94" i="3"/>
  <c r="G95" i="3"/>
  <c r="BL95" i="3"/>
  <c r="AZ95" i="3" s="1"/>
  <c r="BA96" i="3"/>
  <c r="AZ96" i="3" s="1"/>
  <c r="BL98" i="3"/>
  <c r="AZ98" i="3" s="1"/>
  <c r="G101" i="3"/>
  <c r="BL101" i="3"/>
  <c r="BL102" i="3"/>
  <c r="AZ102" i="3" s="1"/>
  <c r="G104" i="3"/>
  <c r="BL104" i="3"/>
  <c r="G106" i="3"/>
  <c r="G107" i="3"/>
  <c r="G108" i="3"/>
  <c r="BL108" i="3"/>
  <c r="L16" i="4"/>
  <c r="C62" i="59"/>
  <c r="D55" i="59"/>
  <c r="Y13" i="59"/>
  <c r="Z13" i="59" s="1"/>
  <c r="X3" i="59"/>
  <c r="X17" i="59"/>
  <c r="AA18" i="59"/>
  <c r="C25" i="59"/>
  <c r="E27" i="59"/>
  <c r="U27" i="59" s="1"/>
  <c r="C34" i="59"/>
  <c r="D34" i="59" s="1"/>
  <c r="C42" i="59"/>
  <c r="Y3" i="59"/>
  <c r="Z3" i="59" s="1"/>
  <c r="AB3" i="59"/>
  <c r="BA109" i="3"/>
  <c r="AZ109" i="3" s="1"/>
  <c r="BA110" i="3"/>
  <c r="AZ110" i="3" s="1"/>
  <c r="BL112" i="3"/>
  <c r="AZ112" i="3" s="1"/>
  <c r="B74" i="46"/>
  <c r="S21" i="37"/>
  <c r="F31" i="39"/>
  <c r="AA31" i="39" s="1"/>
  <c r="Y22" i="59"/>
  <c r="Z22" i="59" s="1"/>
  <c r="C50" i="59"/>
  <c r="C58" i="75"/>
  <c r="D58" i="75" s="1"/>
  <c r="E58" i="75" s="1"/>
  <c r="F58" i="75" s="1"/>
  <c r="G58" i="75" s="1"/>
  <c r="H58" i="75" s="1"/>
  <c r="I58" i="75" s="1"/>
  <c r="J58" i="75" s="1"/>
  <c r="K58" i="75" s="1"/>
  <c r="L58" i="75" s="1"/>
  <c r="M58" i="75" s="1"/>
  <c r="N58" i="75" s="1"/>
  <c r="O58" i="75" s="1"/>
  <c r="G7" i="75"/>
  <c r="E7" i="75"/>
  <c r="F7" i="75" s="1"/>
  <c r="I7" i="75"/>
  <c r="J51" i="15"/>
  <c r="C58" i="33"/>
  <c r="I7" i="33"/>
  <c r="E7" i="33"/>
  <c r="G7" i="33"/>
  <c r="BQ5" i="3"/>
  <c r="BM5" i="3"/>
  <c r="I4" i="6"/>
  <c r="G3" i="46" s="1"/>
  <c r="H22" i="46" s="1"/>
  <c r="BC5" i="3"/>
  <c r="E8" i="6" s="1"/>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S17" i="33"/>
  <c r="AC17" i="33"/>
  <c r="AC15" i="33"/>
  <c r="AB15" i="33"/>
  <c r="AB10" i="33"/>
  <c r="W10" i="3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BA541" i="3"/>
  <c r="AZ541" i="3" s="1"/>
  <c r="BL533" i="3"/>
  <c r="BA533" i="3"/>
  <c r="BL531" i="3"/>
  <c r="BA531" i="3"/>
  <c r="BA525" i="3"/>
  <c r="AZ525" i="3" s="1"/>
  <c r="BA517" i="3"/>
  <c r="AZ517" i="3" s="1"/>
  <c r="BA509" i="3"/>
  <c r="AZ509" i="3" s="1"/>
  <c r="BL506" i="3"/>
  <c r="AZ506" i="3" s="1"/>
  <c r="BA504" i="3"/>
  <c r="AZ504" i="3" s="1"/>
  <c r="BL498" i="3"/>
  <c r="BA498" i="3"/>
  <c r="BL496" i="3"/>
  <c r="BN5" i="3"/>
  <c r="G29" i="6" s="1"/>
  <c r="BL489" i="3"/>
  <c r="AZ489" i="3" s="1"/>
  <c r="BL488" i="3"/>
  <c r="AZ488" i="3" s="1"/>
  <c r="BA20" i="3"/>
  <c r="AZ20" i="3" s="1"/>
  <c r="BS5" i="3"/>
  <c r="F28" i="6" s="1"/>
  <c r="BO5" i="3"/>
  <c r="F29" i="6" s="1"/>
  <c r="BJ5" i="3"/>
  <c r="BA19" i="3"/>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AZ567" i="3" s="1"/>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AZ518" i="3" s="1"/>
  <c r="BL510" i="3"/>
  <c r="AZ510" i="3" s="1"/>
  <c r="BL508" i="3"/>
  <c r="AZ508" i="3" s="1"/>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E52" i="37"/>
  <c r="D46" i="36"/>
  <c r="AP16" i="1"/>
  <c r="F22" i="11" s="1"/>
  <c r="E48" i="35"/>
  <c r="D59" i="34"/>
  <c r="G6" i="1"/>
  <c r="H7" i="33"/>
  <c r="F7" i="33"/>
  <c r="H70" i="46"/>
  <c r="H73" i="46"/>
  <c r="H50" i="46"/>
  <c r="H48" i="46"/>
  <c r="F35" i="46"/>
  <c r="I17" i="46"/>
  <c r="G17" i="46" s="1"/>
  <c r="C16" i="46" s="1"/>
  <c r="H63" i="46"/>
  <c r="H64" i="46"/>
  <c r="H66" i="46"/>
  <c r="D100" i="46"/>
  <c r="H62" i="46"/>
  <c r="AF12" i="46"/>
  <c r="K100" i="46"/>
  <c r="AB12" i="46"/>
  <c r="AJ12" i="46"/>
  <c r="L101" i="46"/>
  <c r="H60" i="46"/>
  <c r="H59" i="46"/>
  <c r="H74" i="46"/>
  <c r="H65"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7" i="15"/>
  <c r="C4" i="65"/>
  <c r="B39" i="1" s="1"/>
  <c r="J60" i="44"/>
  <c r="J54" i="44"/>
  <c r="I55" i="44"/>
  <c r="J58" i="44"/>
  <c r="J56" i="44" s="1"/>
  <c r="J59" i="44" s="1"/>
  <c r="Q52" i="44" s="1"/>
  <c r="L57" i="44"/>
  <c r="J61" i="44"/>
  <c r="Q50" i="44" s="1"/>
  <c r="J22" i="44"/>
  <c r="Q72" i="15"/>
  <c r="F64" i="15"/>
  <c r="L60" i="44"/>
  <c r="L59" i="44"/>
  <c r="E17" i="52"/>
  <c r="E11" i="52"/>
  <c r="E15" i="52"/>
  <c r="E13" i="52"/>
  <c r="B14" i="52"/>
  <c r="E8" i="52"/>
  <c r="E16" i="52"/>
  <c r="B5" i="52"/>
  <c r="B9" i="52"/>
  <c r="B16" i="52"/>
  <c r="B8" i="52"/>
  <c r="B13" i="52"/>
  <c r="E10" i="52"/>
  <c r="E21" i="52"/>
  <c r="F33" i="44"/>
  <c r="F58" i="15"/>
  <c r="M17" i="15"/>
  <c r="F31" i="15"/>
  <c r="M19" i="44"/>
  <c r="M28" i="15"/>
  <c r="M9" i="15"/>
  <c r="F36" i="15"/>
  <c r="M24" i="15"/>
  <c r="J15" i="15"/>
  <c r="M29" i="15"/>
  <c r="M6" i="15"/>
  <c r="F8" i="15"/>
  <c r="L47" i="15"/>
  <c r="F9" i="44"/>
  <c r="C19" i="44"/>
  <c r="M11" i="44"/>
  <c r="M29" i="44"/>
  <c r="F8" i="44"/>
  <c r="J5" i="65"/>
  <c r="J17" i="44"/>
  <c r="C16" i="15"/>
  <c r="I3" i="65"/>
  <c r="J4" i="65"/>
  <c r="F28" i="44"/>
  <c r="I4" i="65"/>
  <c r="J3" i="65"/>
  <c r="M28" i="44"/>
  <c r="F43" i="44"/>
  <c r="I7" i="65"/>
  <c r="F10" i="44"/>
  <c r="J6" i="65"/>
  <c r="I5" i="65"/>
  <c r="J7" i="65"/>
  <c r="I6" i="65"/>
  <c r="M22" i="15"/>
  <c r="F26" i="15"/>
  <c r="F38" i="15"/>
  <c r="F42" i="15"/>
  <c r="M23" i="15"/>
  <c r="L48" i="15"/>
  <c r="M8" i="15"/>
  <c r="F7" i="15"/>
  <c r="F43" i="15"/>
  <c r="F15" i="44"/>
  <c r="F45" i="44"/>
  <c r="F18" i="44"/>
  <c r="F40" i="44"/>
  <c r="M30" i="44"/>
  <c r="F37" i="44"/>
  <c r="M31" i="44"/>
  <c r="M10" i="44"/>
  <c r="F46" i="44"/>
  <c r="AH11" i="46" l="1"/>
  <c r="AC11" i="46"/>
  <c r="AC13" i="46" s="1"/>
  <c r="AE11" i="46"/>
  <c r="AE13" i="46" s="1"/>
  <c r="K101" i="46"/>
  <c r="K107" i="46" s="1"/>
  <c r="G101" i="46"/>
  <c r="G22" i="46"/>
  <c r="D22" i="46" s="1"/>
  <c r="AI11" i="46"/>
  <c r="AI13" i="46" s="1"/>
  <c r="AG11" i="46"/>
  <c r="AG13" i="46" s="1"/>
  <c r="E101" i="46"/>
  <c r="B113" i="46"/>
  <c r="I116" i="46" s="1"/>
  <c r="J116" i="46" s="1"/>
  <c r="K116" i="46" s="1"/>
  <c r="L116" i="46" s="1"/>
  <c r="M116" i="46" s="1"/>
  <c r="AJ11" i="46"/>
  <c r="M101" i="46"/>
  <c r="M107" i="46" s="1"/>
  <c r="F101" i="46"/>
  <c r="Y11" i="46"/>
  <c r="Y13" i="46" s="1"/>
  <c r="AB11" i="46"/>
  <c r="AF11" i="46"/>
  <c r="AF13" i="46" s="1"/>
  <c r="AA11" i="46"/>
  <c r="AA13" i="46" s="1"/>
  <c r="Z11" i="46"/>
  <c r="Z13" i="46" s="1"/>
  <c r="E22" i="46"/>
  <c r="Z7" i="46"/>
  <c r="F22" i="46"/>
  <c r="N104" i="45"/>
  <c r="J101" i="46"/>
  <c r="C101" i="46"/>
  <c r="C109" i="46" s="1"/>
  <c r="AD11" i="46"/>
  <c r="AD13" i="46" s="1"/>
  <c r="N101" i="46"/>
  <c r="N105" i="46" s="1"/>
  <c r="I101" i="46"/>
  <c r="I102" i="46" s="1"/>
  <c r="D101" i="46"/>
  <c r="D106" i="46" s="1"/>
  <c r="J22" i="46"/>
  <c r="H101" i="46"/>
  <c r="H102" i="46" s="1"/>
  <c r="F70" i="15"/>
  <c r="F49" i="15"/>
  <c r="M7" i="15"/>
  <c r="J6" i="15" s="1"/>
  <c r="J57" i="15"/>
  <c r="J55" i="15" s="1"/>
  <c r="J58" i="15" s="1"/>
  <c r="Q51" i="15" s="1"/>
  <c r="L56" i="15"/>
  <c r="I54" i="15"/>
  <c r="J53" i="15"/>
  <c r="F1" i="15" s="1"/>
  <c r="F65" i="15"/>
  <c r="C27" i="15"/>
  <c r="M9" i="44"/>
  <c r="L59" i="15"/>
  <c r="Q75" i="15" s="1"/>
  <c r="L58" i="15"/>
  <c r="Q61" i="15" s="1"/>
  <c r="C6" i="15"/>
  <c r="F50" i="15"/>
  <c r="C48" i="15" s="1"/>
  <c r="F63" i="15"/>
  <c r="F27" i="6"/>
  <c r="E58" i="39"/>
  <c r="E53" i="40"/>
  <c r="J34" i="39"/>
  <c r="AZ19" i="3"/>
  <c r="D25" i="59"/>
  <c r="C26" i="59"/>
  <c r="D62" i="59"/>
  <c r="C61" i="59"/>
  <c r="D61" i="59" s="1"/>
  <c r="T31" i="59"/>
  <c r="D31" i="59"/>
  <c r="AB26" i="37"/>
  <c r="U26" i="37"/>
  <c r="AZ498" i="3"/>
  <c r="AZ542" i="3"/>
  <c r="U19" i="33"/>
  <c r="J7" i="75"/>
  <c r="D50" i="59"/>
  <c r="C51" i="59"/>
  <c r="D42" i="59"/>
  <c r="C43" i="59"/>
  <c r="AB39" i="37"/>
  <c r="U39" i="37"/>
  <c r="W30" i="21"/>
  <c r="AC30" i="21"/>
  <c r="W7" i="75"/>
  <c r="AC7" i="75"/>
  <c r="V48" i="75" s="1"/>
  <c r="I48" i="75" s="1"/>
  <c r="H7" i="75"/>
  <c r="H7" i="21"/>
  <c r="AA7" i="75"/>
  <c r="R48" i="75" s="1"/>
  <c r="S7" i="75"/>
  <c r="G16" i="1"/>
  <c r="H12" i="39" s="1"/>
  <c r="Q16" i="1"/>
  <c r="F33" i="12" s="1"/>
  <c r="C34" i="12" s="1"/>
  <c r="D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K19" i="6" s="1"/>
  <c r="S6" i="1"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AZ13" i="3"/>
  <c r="E65" i="40"/>
  <c r="D67" i="40"/>
  <c r="F7" i="21"/>
  <c r="E70" i="39"/>
  <c r="D72" i="39"/>
  <c r="AB7" i="21"/>
  <c r="U7" i="21"/>
  <c r="F6" i="59"/>
  <c r="F5" i="59" s="1"/>
  <c r="V7" i="59"/>
  <c r="B6" i="59"/>
  <c r="B5" i="59" s="1"/>
  <c r="D7" i="59"/>
  <c r="C6" i="59"/>
  <c r="M104" i="46"/>
  <c r="J1" i="65"/>
  <c r="I1" i="65"/>
  <c r="E20" i="46"/>
  <c r="P28" i="46" s="1"/>
  <c r="M102" i="46"/>
  <c r="C5" i="46"/>
  <c r="F18" i="11"/>
  <c r="C18" i="11" s="1"/>
  <c r="D5"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F12" i="39"/>
  <c r="F12" i="40"/>
  <c r="E59" i="34"/>
  <c r="F59" i="34" s="1"/>
  <c r="G59" i="34" s="1"/>
  <c r="H59" i="34" s="1"/>
  <c r="I59" i="34" s="1"/>
  <c r="J59" i="34" s="1"/>
  <c r="K59" i="34" s="1"/>
  <c r="L59" i="34" s="1"/>
  <c r="M59" i="34" s="1"/>
  <c r="N59" i="34" s="1"/>
  <c r="O59" i="34" s="1"/>
  <c r="F52" i="37"/>
  <c r="I104" i="46"/>
  <c r="I103" i="46"/>
  <c r="N103" i="46"/>
  <c r="I105" i="46"/>
  <c r="AB13" i="46"/>
  <c r="K106" i="46"/>
  <c r="E104" i="46"/>
  <c r="E106" i="46"/>
  <c r="E105" i="46"/>
  <c r="E103" i="46"/>
  <c r="E102" i="46"/>
  <c r="E107" i="46"/>
  <c r="L102" i="46"/>
  <c r="L105" i="46"/>
  <c r="L104" i="46"/>
  <c r="L106" i="46"/>
  <c r="L109" i="46"/>
  <c r="C23" i="46" s="1"/>
  <c r="C21" i="46" s="1"/>
  <c r="L107" i="46"/>
  <c r="L103" i="46"/>
  <c r="B116" i="46"/>
  <c r="C116" i="46" s="1"/>
  <c r="G103" i="46"/>
  <c r="G106" i="46"/>
  <c r="G102" i="46"/>
  <c r="G104" i="46"/>
  <c r="G105" i="46"/>
  <c r="G107" i="46"/>
  <c r="G109" i="46"/>
  <c r="J107" i="46"/>
  <c r="J106" i="46"/>
  <c r="J102" i="46"/>
  <c r="J104" i="46"/>
  <c r="J103" i="46"/>
  <c r="J105" i="46"/>
  <c r="E109" i="46"/>
  <c r="J109" i="46"/>
  <c r="C7" i="46"/>
  <c r="Q76" i="44"/>
  <c r="Q63" i="44"/>
  <c r="Q54" i="44"/>
  <c r="F1" i="44"/>
  <c r="F13" i="44"/>
  <c r="C12" i="44" s="1"/>
  <c r="M11" i="15"/>
  <c r="J10" i="15" s="1"/>
  <c r="F11" i="15"/>
  <c r="M13" i="44"/>
  <c r="J12" i="44" s="1"/>
  <c r="Q62" i="15"/>
  <c r="Q75" i="44"/>
  <c r="Q62" i="44"/>
  <c r="C18" i="44"/>
  <c r="M9" i="68"/>
  <c r="M29" i="68"/>
  <c r="F26" i="68"/>
  <c r="M26" i="68"/>
  <c r="F42" i="68"/>
  <c r="AE7" i="1"/>
  <c r="F16" i="68"/>
  <c r="L48" i="68"/>
  <c r="E3" i="65"/>
  <c r="F37" i="68"/>
  <c r="J36" i="68"/>
  <c r="F13" i="68"/>
  <c r="E2" i="65"/>
  <c r="M8" i="68"/>
  <c r="M22" i="68"/>
  <c r="F6" i="68"/>
  <c r="M23" i="68"/>
  <c r="M24" i="68"/>
  <c r="J15" i="68"/>
  <c r="F9" i="68"/>
  <c r="F38" i="68"/>
  <c r="F43" i="68"/>
  <c r="L47" i="68"/>
  <c r="F7" i="68"/>
  <c r="F8" i="68"/>
  <c r="M27" i="68"/>
  <c r="F36" i="68"/>
  <c r="M6" i="68"/>
  <c r="F40" i="68"/>
  <c r="M28" i="68"/>
  <c r="C107" i="46" l="1"/>
  <c r="I117" i="46"/>
  <c r="J117" i="46" s="1"/>
  <c r="K117" i="46" s="1"/>
  <c r="L117" i="46" s="1"/>
  <c r="M117" i="46" s="1"/>
  <c r="I115" i="46"/>
  <c r="J115" i="46" s="1"/>
  <c r="K115" i="46" s="1"/>
  <c r="L115" i="46" s="1"/>
  <c r="M115" i="46" s="1"/>
  <c r="K105" i="46"/>
  <c r="K103" i="46"/>
  <c r="D107" i="46"/>
  <c r="K109" i="46"/>
  <c r="B117" i="46"/>
  <c r="C117" i="46" s="1"/>
  <c r="D118" i="46"/>
  <c r="E118" i="46" s="1"/>
  <c r="F118" i="46" s="1"/>
  <c r="B115" i="46"/>
  <c r="C115" i="46" s="1"/>
  <c r="K104" i="46"/>
  <c r="K102" i="46"/>
  <c r="I107" i="46"/>
  <c r="J12" i="39"/>
  <c r="AC12" i="39" s="1"/>
  <c r="H12" i="40"/>
  <c r="I106" i="46"/>
  <c r="M103" i="46"/>
  <c r="C105"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N104" i="46"/>
  <c r="K25" i="6"/>
  <c r="M25" i="6" s="1"/>
  <c r="I25" i="6" s="1"/>
  <c r="S25" i="6" s="1"/>
  <c r="K24" i="6"/>
  <c r="M24" i="6" s="1"/>
  <c r="I24" i="6" s="1"/>
  <c r="S24" i="6" s="1"/>
  <c r="D104" i="46"/>
  <c r="D103" i="46"/>
  <c r="M105" i="46"/>
  <c r="M106" i="46"/>
  <c r="M109" i="46"/>
  <c r="F106" i="46"/>
  <c r="F104" i="46"/>
  <c r="F105" i="46"/>
  <c r="F107" i="46"/>
  <c r="J5" i="15"/>
  <c r="J18" i="15" s="1"/>
  <c r="C102" i="46"/>
  <c r="N109" i="46"/>
  <c r="D105" i="46"/>
  <c r="H104" i="46"/>
  <c r="H105" i="46"/>
  <c r="Q53" i="15"/>
  <c r="C106" i="46"/>
  <c r="C103" i="46"/>
  <c r="C104" i="46"/>
  <c r="N102" i="46"/>
  <c r="N106" i="46"/>
  <c r="N107" i="46"/>
  <c r="E31" i="6"/>
  <c r="D109" i="46"/>
  <c r="F24" i="43"/>
  <c r="C26" i="43" s="1"/>
  <c r="D24" i="43" s="1"/>
  <c r="H106" i="46"/>
  <c r="D102" i="46"/>
  <c r="H109" i="46"/>
  <c r="H107" i="46"/>
  <c r="H103" i="46"/>
  <c r="Q74" i="15"/>
  <c r="AC34" i="39"/>
  <c r="W34" i="39"/>
  <c r="T43" i="59"/>
  <c r="D43" i="59"/>
  <c r="T51" i="59"/>
  <c r="D51" i="59"/>
  <c r="D26" i="59"/>
  <c r="C27" i="59"/>
  <c r="I52" i="75"/>
  <c r="J52" i="75" s="1"/>
  <c r="E48" i="75"/>
  <c r="AB7" i="75"/>
  <c r="T48" i="75" s="1"/>
  <c r="G48" i="75" s="1"/>
  <c r="U7" i="75"/>
  <c r="K20" i="6"/>
  <c r="S7" i="1" s="1"/>
  <c r="K21" i="6"/>
  <c r="M21" i="6" s="1"/>
  <c r="I21" i="6" s="1"/>
  <c r="S21" i="6" s="1"/>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AB11" i="21" s="1"/>
  <c r="T48" i="21" s="1"/>
  <c r="G48" i="21" s="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L59" i="68"/>
  <c r="L58" i="68"/>
  <c r="AZ5" i="3"/>
  <c r="AY6" i="3" s="1"/>
  <c r="J5" i="68"/>
  <c r="J26" i="68"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E516" i="3"/>
  <c r="T47" i="59"/>
  <c r="D47" i="59"/>
  <c r="C52" i="68"/>
  <c r="O28" i="46"/>
  <c r="S8" i="1"/>
  <c r="M20" i="6"/>
  <c r="I20" i="6" s="1"/>
  <c r="S20" i="6" s="1"/>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G52" i="37"/>
  <c r="H7" i="34"/>
  <c r="J7" i="34"/>
  <c r="AA12" i="40"/>
  <c r="S12" i="40"/>
  <c r="S12" i="39"/>
  <c r="AA12" i="39"/>
  <c r="W12" i="40"/>
  <c r="AC12" i="40"/>
  <c r="R49" i="33"/>
  <c r="E48" i="33"/>
  <c r="G48" i="35"/>
  <c r="G52" i="33"/>
  <c r="H52" i="33" s="1"/>
  <c r="G53" i="33"/>
  <c r="H53" i="33" s="1"/>
  <c r="AB12" i="40"/>
  <c r="U12" i="40"/>
  <c r="U12" i="39"/>
  <c r="AB12" i="39"/>
  <c r="F46" i="36"/>
  <c r="G46" i="36" s="1"/>
  <c r="H46" i="36" s="1"/>
  <c r="I46" i="36" s="1"/>
  <c r="J46" i="36" s="1"/>
  <c r="K46" i="36" s="1"/>
  <c r="L46" i="36" s="1"/>
  <c r="M46" i="36" s="1"/>
  <c r="N46" i="36" s="1"/>
  <c r="O46" i="36" s="1"/>
  <c r="F7" i="34"/>
  <c r="C52" i="15"/>
  <c r="C47" i="15" s="1"/>
  <c r="C10" i="15"/>
  <c r="C5" i="15" s="1"/>
  <c r="J24" i="15"/>
  <c r="L52" i="44"/>
  <c r="C17" i="68"/>
  <c r="F41" i="15"/>
  <c r="C16" i="68"/>
  <c r="C17" i="15"/>
  <c r="W12" i="39" l="1"/>
  <c r="H6" i="3"/>
  <c r="D113" i="46"/>
  <c r="E3" i="6"/>
  <c r="D10" i="11" s="1"/>
  <c r="C34" i="44"/>
  <c r="K27" i="6"/>
  <c r="D27" i="59"/>
  <c r="T27" i="59"/>
  <c r="E52" i="75"/>
  <c r="F52" i="75" s="1"/>
  <c r="E53" i="75"/>
  <c r="F53" i="75" s="1"/>
  <c r="I53" i="75"/>
  <c r="J53" i="75" s="1"/>
  <c r="G53" i="75"/>
  <c r="H53" i="75" s="1"/>
  <c r="G52" i="75"/>
  <c r="H52" i="75" s="1"/>
  <c r="R49" i="75"/>
  <c r="AC6" i="3"/>
  <c r="S11" i="21"/>
  <c r="AA11" i="21"/>
  <c r="R48" i="21" s="1"/>
  <c r="W11" i="21"/>
  <c r="AC11" i="21"/>
  <c r="V48" i="21" s="1"/>
  <c r="I48" i="21" s="1"/>
  <c r="J26" i="44"/>
  <c r="J20" i="44"/>
  <c r="C48" i="68"/>
  <c r="J18" i="68"/>
  <c r="C47" i="68"/>
  <c r="C65" i="68" s="1"/>
  <c r="J24" i="68"/>
  <c r="G52" i="21"/>
  <c r="H52" i="21" s="1"/>
  <c r="Q75" i="68"/>
  <c r="Q62" i="68"/>
  <c r="Q53" i="68"/>
  <c r="F1" i="68"/>
  <c r="S16" i="1"/>
  <c r="T11" i="1" s="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6" i="43"/>
  <c r="C16" i="43" s="1"/>
  <c r="F67" i="40"/>
  <c r="G65" i="40"/>
  <c r="F72" i="39"/>
  <c r="G70" i="39"/>
  <c r="F21" i="43"/>
  <c r="C23" i="43" s="1"/>
  <c r="D21" i="43" s="1"/>
  <c r="F7" i="36"/>
  <c r="S7" i="36" s="1"/>
  <c r="C20" i="46"/>
  <c r="M20" i="46"/>
  <c r="C19" i="46" s="1"/>
  <c r="F26" i="12"/>
  <c r="C27" i="12" s="1"/>
  <c r="D26" i="12" s="1"/>
  <c r="C32" i="12" s="1"/>
  <c r="D30" i="12" s="1"/>
  <c r="F26" i="44"/>
  <c r="C26" i="44" s="1"/>
  <c r="I19" i="6"/>
  <c r="M27" i="6"/>
  <c r="M16" i="1"/>
  <c r="T12" i="1"/>
  <c r="O14" i="1"/>
  <c r="O16" i="1" s="1"/>
  <c r="T7"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C59" i="15"/>
  <c r="C65" i="15"/>
  <c r="Q49" i="44"/>
  <c r="Q55" i="44" s="1"/>
  <c r="Q67" i="44"/>
  <c r="Q58" i="44"/>
  <c r="C14" i="15"/>
  <c r="AE8" i="1"/>
  <c r="D45" i="9" l="1"/>
  <c r="D16" i="12"/>
  <c r="C16" i="12" s="1"/>
  <c r="E6" i="3"/>
  <c r="T6" i="1"/>
  <c r="T9" i="1"/>
  <c r="T13" i="1"/>
  <c r="B3" i="11"/>
  <c r="L38" i="9"/>
  <c r="B14" i="66" s="1"/>
  <c r="B1" i="66" s="1"/>
  <c r="C7" i="66" s="1"/>
  <c r="E6" i="6"/>
  <c r="D13" i="11" s="1"/>
  <c r="C13" i="11" s="1"/>
  <c r="B4" i="11"/>
  <c r="B5" i="11"/>
  <c r="T8" i="1"/>
  <c r="T10" i="1"/>
  <c r="C48" i="75"/>
  <c r="C49" i="75"/>
  <c r="B3" i="75" s="1"/>
  <c r="B2" i="75" s="1"/>
  <c r="AA7" i="36"/>
  <c r="R36" i="36" s="1"/>
  <c r="B2" i="33"/>
  <c r="D10" i="12" s="1"/>
  <c r="D8" i="12"/>
  <c r="C59" i="68"/>
  <c r="I52" i="21"/>
  <c r="J52" i="21" s="1"/>
  <c r="G53" i="21"/>
  <c r="H53" i="21" s="1"/>
  <c r="E48" i="21"/>
  <c r="E52" i="21" s="1"/>
  <c r="F52" i="21" s="1"/>
  <c r="R49" i="21"/>
  <c r="C49" i="21" s="1"/>
  <c r="B3" i="21" s="1"/>
  <c r="C24" i="68"/>
  <c r="D22" i="12"/>
  <c r="C22" i="12" s="1"/>
  <c r="C20" i="12" s="1"/>
  <c r="D19" i="12"/>
  <c r="C19" i="12" s="1"/>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H65" i="40"/>
  <c r="G67" i="40"/>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6" i="44"/>
  <c r="C14" i="68"/>
  <c r="F41" i="68"/>
  <c r="I53" i="21" l="1"/>
  <c r="J53" i="21" s="1"/>
  <c r="C17" i="44"/>
  <c r="C20" i="44"/>
  <c r="E53" i="21"/>
  <c r="F53" i="21" s="1"/>
  <c r="T16" i="1"/>
  <c r="C18" i="68"/>
  <c r="C15" i="68"/>
  <c r="R26" i="6"/>
  <c r="J29" i="68"/>
  <c r="F68" i="68"/>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68"/>
  <c r="M21" i="68"/>
  <c r="F7" i="67"/>
  <c r="E7" i="67"/>
  <c r="F35" i="15"/>
  <c r="M21" i="15"/>
  <c r="C21" i="44" l="1"/>
  <c r="C22" i="44" s="1"/>
  <c r="C25" i="44" s="1"/>
  <c r="C19" i="68"/>
  <c r="C20" i="68" s="1"/>
  <c r="C26"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C23" i="68" l="1"/>
  <c r="C29" i="68" s="1"/>
  <c r="J19" i="68" s="1"/>
  <c r="J17" i="68" s="1"/>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4" i="68" l="1"/>
  <c r="J13" i="68" s="1"/>
  <c r="J23" i="68" s="1"/>
  <c r="C13" i="68"/>
  <c r="J35" i="68" s="1"/>
  <c r="J59" i="68"/>
  <c r="J60" i="68" s="1"/>
  <c r="Q49" i="68" s="1"/>
  <c r="Q50" i="68"/>
  <c r="C56" i="68"/>
  <c r="C63" i="68" s="1"/>
  <c r="C36" i="68"/>
  <c r="J22" i="68"/>
  <c r="J16" i="68" s="1"/>
  <c r="J25" i="68" s="1"/>
  <c r="Q71" i="68"/>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C37" i="68" l="1"/>
  <c r="C55" i="68"/>
  <c r="C64" i="68" s="1"/>
  <c r="C57" i="68" s="1"/>
  <c r="C66" i="68" s="1"/>
  <c r="C67" i="68" s="1"/>
  <c r="C70" i="68" s="1"/>
  <c r="C30" i="68"/>
  <c r="C39" i="68" s="1"/>
  <c r="Q70" i="68" s="1"/>
  <c r="Q69"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68"/>
  <c r="L51" i="15"/>
  <c r="C40" i="68" l="1"/>
  <c r="Q57" i="68" s="1"/>
  <c r="Q63" i="68" s="1"/>
  <c r="J39" i="68"/>
  <c r="J40" i="68" s="1"/>
  <c r="C46" i="68"/>
  <c r="Q68" i="68"/>
  <c r="Q68" i="15"/>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2" i="68" l="1"/>
  <c r="B3" i="68" s="1"/>
  <c r="E8" i="12" s="1"/>
  <c r="J42" i="68"/>
  <c r="J43" i="68" s="1"/>
  <c r="Q66" i="68"/>
  <c r="Q76" i="68" s="1"/>
  <c r="Q48" i="68"/>
  <c r="Q54" i="68" s="1"/>
  <c r="C43" i="68"/>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E10" i="12" l="1"/>
  <c r="C6" i="12" s="1"/>
  <c r="C29" i="12"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24" i="12" l="1"/>
  <c r="C35" i="12" s="1"/>
  <c r="C33" i="12" s="1"/>
  <c r="I49" i="40"/>
  <c r="J49" i="40" s="1"/>
  <c r="E48" i="40"/>
  <c r="F48" i="40" s="1"/>
  <c r="E49" i="40"/>
  <c r="F49" i="40" s="1"/>
  <c r="E53" i="39"/>
  <c r="F53" i="39" s="1"/>
  <c r="E54" i="39"/>
  <c r="F54" i="39" s="1"/>
  <c r="C44" i="40"/>
  <c r="C45" i="40"/>
  <c r="C50" i="39"/>
  <c r="C49" i="39"/>
  <c r="G49" i="40"/>
  <c r="H49" i="40" s="1"/>
  <c r="G48" i="40"/>
  <c r="H48" i="40" s="1"/>
  <c r="C28" i="12" l="1"/>
  <c r="C26" i="12" s="1"/>
  <c r="C31" i="12" s="1"/>
  <c r="C30" i="12" s="1"/>
  <c r="C36" i="12" s="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C19" i="9"/>
  <c r="C21" i="9"/>
  <c r="D21" i="9"/>
  <c r="D20" i="9"/>
  <c r="C20" i="9"/>
  <c r="G19" i="9" l="1"/>
  <c r="N43" i="9" s="1"/>
  <c r="L43" i="9"/>
  <c r="D22" i="9"/>
  <c r="G20" i="9"/>
  <c r="G21" i="9"/>
  <c r="C32" i="9" l="1"/>
  <c r="O43" i="9" s="1"/>
  <c r="G22" i="9"/>
  <c r="C42" i="9" l="1"/>
  <c r="C44" i="9" s="1"/>
  <c r="G14" i="66" s="1"/>
  <c r="C35" i="9"/>
  <c r="F42" i="9" s="1"/>
  <c r="C33" i="9"/>
  <c r="N38" i="9" s="1"/>
  <c r="K28" i="9" s="1"/>
  <c r="C34" i="9"/>
  <c r="M38" i="9" s="1"/>
  <c r="K27" i="9" s="1"/>
  <c r="O38" i="9"/>
  <c r="K25" i="9" s="1"/>
  <c r="D42" i="9" l="1"/>
  <c r="Q5" i="54" s="1"/>
  <c r="B47" i="63" s="1"/>
  <c r="N68" i="9"/>
  <c r="D14" i="66"/>
  <c r="E14" i="66" s="1"/>
  <c r="D44" i="9"/>
  <c r="E42" i="9"/>
  <c r="P5" i="54" s="1"/>
  <c r="B46" i="63" s="1"/>
  <c r="K26" i="9"/>
  <c r="E44" i="9"/>
  <c r="O39" i="9"/>
  <c r="K29" i="9" s="1"/>
  <c r="K30" i="9" s="1"/>
  <c r="D63" i="9"/>
  <c r="D73" i="9" s="1"/>
  <c r="N73" i="9" s="1"/>
  <c r="R5" i="54"/>
  <c r="B48" i="63" s="1"/>
  <c r="F44" i="9"/>
  <c r="N69" i="9"/>
  <c r="M86" i="9" s="1"/>
  <c r="N86" i="9" s="1"/>
  <c r="F14" i="66"/>
  <c r="D77" i="9"/>
  <c r="N75" i="9" s="1"/>
  <c r="C103" i="9"/>
  <c r="C111" i="9" l="1"/>
  <c r="C104" i="9" s="1"/>
  <c r="C113" i="9" s="1"/>
  <c r="D71" i="9"/>
  <c r="D66" i="9" s="1"/>
  <c r="N72" i="9" s="1"/>
  <c r="C96" i="9"/>
  <c r="C91" i="9" s="1"/>
  <c r="C82" i="9"/>
  <c r="C81" i="9" s="1"/>
  <c r="C85" i="9" s="1"/>
  <c r="C86" i="9" s="1"/>
  <c r="D72" i="9" s="1"/>
  <c r="C90" i="9"/>
  <c r="C97" i="9" s="1"/>
  <c r="D70" i="9"/>
  <c r="M83" i="9"/>
  <c r="N83" i="9" s="1"/>
  <c r="M84" i="9"/>
  <c r="N84" i="9" s="1"/>
  <c r="M87" i="9"/>
  <c r="N87" i="9" s="1"/>
  <c r="R6" i="54"/>
  <c r="B50" i="63" s="1"/>
  <c r="M85" i="9"/>
  <c r="N85" i="9" s="1"/>
  <c r="M88" i="9"/>
  <c r="N88" i="9" s="1"/>
  <c r="N89" i="9" l="1"/>
  <c r="O89" i="9" s="1"/>
  <c r="C114" i="9"/>
  <c r="E114" i="9" s="1"/>
  <c r="E115" i="9" s="1"/>
  <c r="C98" i="9"/>
  <c r="E98" i="9" s="1"/>
  <c r="E99" i="9" s="1"/>
  <c r="C99" i="9" l="1"/>
  <c r="C115" i="9"/>
  <c r="D76" i="9" s="1"/>
  <c r="D74" i="9" s="1"/>
  <c r="N74" i="9" s="1"/>
  <c r="O77" i="9" s="1"/>
  <c r="O79" i="9" s="1"/>
  <c r="P84" i="9" s="1"/>
  <c r="C46" i="9" l="1"/>
  <c r="K33" i="9" s="1"/>
  <c r="O81" i="9"/>
  <c r="O80" i="9"/>
  <c r="Q77" i="9"/>
  <c r="O78" i="9"/>
  <c r="D46" i="9" l="1"/>
  <c r="E46" i="9"/>
  <c r="O41" i="9"/>
  <c r="R8" i="54" s="1"/>
  <c r="B54" i="63" s="1"/>
  <c r="F46" i="9"/>
  <c r="I14" i="66"/>
  <c r="B8" i="66" s="1"/>
  <c r="D8" i="66" s="1"/>
  <c r="C8" i="66" l="1"/>
  <c r="K34" i="9"/>
  <c r="G15" i="66"/>
  <c r="B6" i="66" s="1"/>
  <c r="F15" i="66"/>
  <c r="E15" i="66"/>
  <c r="B5" i="66"/>
  <c r="D6" i="66" l="1"/>
  <c r="C6" i="66"/>
  <c r="C5" i="66"/>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sony</author>
  </authors>
  <commentList>
    <comment ref="E13" authorId="0" shapeId="0">
      <text>
        <r>
          <rPr>
            <b/>
            <sz val="9"/>
            <color indexed="81"/>
            <rFont val="宋体"/>
            <family val="3"/>
            <charset val="134"/>
          </rPr>
          <t>sony:</t>
        </r>
        <r>
          <rPr>
            <sz val="9"/>
            <color indexed="81"/>
            <rFont val="宋体"/>
            <family val="3"/>
            <charset val="134"/>
          </rPr>
          <t xml:space="preserve">
f13</t>
        </r>
      </text>
    </comment>
  </commentList>
</comments>
</file>

<file path=xl/comments6.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<sst xmlns="http://schemas.openxmlformats.org/spreadsheetml/2006/main" count="8978" uniqueCount="3607">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</sst>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177" fontId="279" fillId="0" borderId="0" applyFont="0" applyFill="0" applyBorder="0" applyAlignment="0" applyProtection="0">
      <alignment vertical="center"/>
    </xf>
  </cellStyleXfs>
  <cellXfs count="41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9"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0" borderId="12" xfId="2" applyNumberFormat="1" applyFont="1" applyFill="1" applyBorder="1" applyAlignment="1" applyProtection="1">
      <alignment horizontal="center" vertical="center"/>
      <protection locked="0"/>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179"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183"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9" xfId="0" applyNumberFormat="1" applyFont="1" applyFill="1" applyBorder="1" applyAlignment="1" applyProtection="1">
      <alignment horizontal="center" vertical="center" wrapText="1"/>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9" fontId="130" fillId="0" borderId="2" xfId="2" applyNumberFormat="1" applyFont="1" applyFill="1" applyBorder="1" applyAlignment="1" applyProtection="1">
      <alignment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3"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16" xfId="0" applyNumberFormat="1" applyFont="1" applyFill="1" applyBorder="1" applyAlignment="1" applyProtection="1">
      <alignment horizontal="center" vertical="center" wrapText="1"/>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9"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6" fillId="0" borderId="12" xfId="0" applyNumberFormat="1" applyFont="1" applyFill="1" applyBorder="1" applyAlignment="1" applyProtection="1">
      <alignment horizontal="left" vertical="center" shrinkToFit="1"/>
      <protection locked="0"/>
    </xf>
    <xf numFmtId="185"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9"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9"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9"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6" fontId="157" fillId="12" borderId="120" xfId="10" applyNumberFormat="1" applyFont="1" applyFill="1" applyBorder="1" applyAlignment="1">
      <alignment horizontal="center" vertical="center" wrapText="1"/>
    </xf>
    <xf numFmtId="186"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9" fontId="152" fillId="0" borderId="0" xfId="10" applyNumberFormat="1" applyFont="1">
      <alignment vertical="center"/>
    </xf>
    <xf numFmtId="183" fontId="152" fillId="0" borderId="122" xfId="10" applyNumberFormat="1" applyFont="1" applyBorder="1">
      <alignment vertical="center"/>
    </xf>
    <xf numFmtId="183" fontId="152" fillId="0" borderId="0" xfId="10" applyNumberFormat="1" applyFont="1">
      <alignment vertical="center"/>
    </xf>
    <xf numFmtId="186"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6" fontId="157" fillId="12" borderId="124" xfId="10" applyNumberFormat="1" applyFont="1" applyFill="1" applyBorder="1" applyAlignment="1">
      <alignment horizontal="center" vertical="center" wrapText="1"/>
    </xf>
    <xf numFmtId="186"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6"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9"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6" fontId="157" fillId="12" borderId="130" xfId="10" applyNumberFormat="1" applyFont="1" applyFill="1" applyBorder="1" applyAlignment="1">
      <alignment horizontal="center" vertical="center" wrapText="1"/>
    </xf>
    <xf numFmtId="186" fontId="157" fillId="12" borderId="134" xfId="10" applyNumberFormat="1" applyFont="1" applyFill="1" applyBorder="1" applyAlignment="1">
      <alignment horizontal="center" vertical="center" wrapText="1"/>
    </xf>
    <xf numFmtId="186" fontId="152" fillId="14" borderId="0" xfId="10" applyNumberFormat="1" applyFont="1" applyFill="1" applyAlignment="1">
      <alignment horizontal="center" vertical="center"/>
    </xf>
    <xf numFmtId="186"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9"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80"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80"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2" fontId="152" fillId="0" borderId="0" xfId="10" applyNumberFormat="1" applyFont="1" applyAlignment="1">
      <alignment horizontal="center" vertical="center"/>
    </xf>
    <xf numFmtId="182" fontId="152" fillId="0" borderId="122" xfId="10" applyNumberFormat="1" applyFont="1" applyBorder="1" applyAlignment="1">
      <alignment horizontal="center" vertical="center"/>
    </xf>
    <xf numFmtId="179"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9"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2" fontId="152" fillId="6" borderId="0" xfId="10" applyNumberFormat="1" applyFont="1" applyFill="1" applyAlignment="1">
      <alignment horizontal="center" vertical="center"/>
    </xf>
    <xf numFmtId="0" fontId="152" fillId="6" borderId="122" xfId="10" applyFont="1" applyFill="1" applyBorder="1">
      <alignment vertical="center"/>
    </xf>
    <xf numFmtId="180"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2" fontId="158" fillId="0" borderId="0" xfId="10" applyNumberFormat="1" applyFont="1" applyAlignment="1">
      <alignment horizontal="center" vertical="center"/>
    </xf>
    <xf numFmtId="182"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6"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5"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1"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183"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183"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6" fontId="157" fillId="12" borderId="120" xfId="13" applyNumberFormat="1" applyFont="1" applyFill="1" applyBorder="1" applyAlignment="1">
      <alignment horizontal="center" vertical="center" wrapText="1"/>
    </xf>
    <xf numFmtId="186"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4"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2" fontId="272" fillId="0" borderId="2" xfId="7" applyNumberFormat="1" applyFont="1" applyFill="1" applyBorder="1" applyAlignment="1">
      <alignment horizontal="left" vertical="center"/>
    </xf>
    <xf numFmtId="185" fontId="272" fillId="0" borderId="2" xfId="7" applyNumberFormat="1" applyFont="1" applyFill="1" applyBorder="1" applyAlignment="1">
      <alignment horizontal="left" vertical="center"/>
    </xf>
    <xf numFmtId="192"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5" fontId="272" fillId="0" borderId="10" xfId="7" applyNumberFormat="1" applyFont="1" applyFill="1" applyBorder="1" applyAlignment="1">
      <alignment horizontal="left" vertical="center"/>
    </xf>
    <xf numFmtId="192"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5"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3"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6" fontId="157" fillId="12" borderId="120" xfId="13" applyNumberFormat="1" applyFont="1" applyFill="1" applyBorder="1" applyAlignment="1" applyProtection="1">
      <alignment horizontal="center" vertical="center" wrapText="1"/>
    </xf>
    <xf numFmtId="186"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1"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1"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1"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80" fontId="278" fillId="7" borderId="0" xfId="1" applyNumberFormat="1" applyFont="1" applyFill="1">
      <alignment vertical="center"/>
    </xf>
    <xf numFmtId="0" fontId="145" fillId="7" borderId="0" xfId="1" applyFont="1" applyFill="1">
      <alignment vertical="center"/>
    </xf>
    <xf numFmtId="180" fontId="145" fillId="7" borderId="0" xfId="1" applyNumberFormat="1" applyFill="1">
      <alignment vertical="center"/>
    </xf>
    <xf numFmtId="0" fontId="145" fillId="0" borderId="0" xfId="1" applyFont="1">
      <alignment vertical="center"/>
    </xf>
    <xf numFmtId="180"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3" fontId="152" fillId="23" borderId="2" xfId="0" applyNumberFormat="1" applyFont="1" applyFill="1" applyBorder="1" applyAlignment="1" applyProtection="1">
      <alignment horizontal="center" vertical="center"/>
      <protection locked="0"/>
    </xf>
    <xf numFmtId="179"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3"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3" fontId="71" fillId="23" borderId="12" xfId="0" applyNumberFormat="1" applyFont="1" applyFill="1" applyBorder="1" applyAlignment="1" applyProtection="1">
      <alignment vertical="center"/>
      <protection locked="0"/>
    </xf>
    <xf numFmtId="179"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9" fontId="108" fillId="23" borderId="30" xfId="0" applyNumberFormat="1" applyFont="1" applyFill="1" applyBorder="1" applyAlignment="1" applyProtection="1">
      <alignment vertical="center" wrapText="1"/>
      <protection locked="0"/>
    </xf>
    <xf numFmtId="179" fontId="108" fillId="5" borderId="30" xfId="0" applyNumberFormat="1" applyFont="1" applyFill="1" applyBorder="1" applyAlignment="1" applyProtection="1">
      <alignment vertical="center" wrapText="1"/>
    </xf>
    <xf numFmtId="179"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9" fontId="101" fillId="5" borderId="14" xfId="1" applyNumberFormat="1" applyFont="1" applyFill="1" applyBorder="1" applyAlignment="1" applyProtection="1">
      <alignment horizontal="center" vertical="center"/>
    </xf>
    <xf numFmtId="183"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9" fontId="97" fillId="5" borderId="0" xfId="1" applyNumberFormat="1" applyFont="1" applyFill="1" applyBorder="1" applyAlignment="1" applyProtection="1">
      <alignment horizontal="center" vertical="center"/>
      <protection locked="0"/>
    </xf>
    <xf numFmtId="183"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9" fontId="71" fillId="5" borderId="57" xfId="1" applyNumberFormat="1" applyFont="1" applyFill="1" applyBorder="1" applyAlignment="1" applyProtection="1">
      <alignment horizontal="center" vertical="center" wrapText="1"/>
    </xf>
    <xf numFmtId="183"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9"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5"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5"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5"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3"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8"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3"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3"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3"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8"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8"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9" fontId="84" fillId="5" borderId="16" xfId="1" applyNumberFormat="1" applyFont="1" applyFill="1" applyBorder="1" applyAlignment="1" applyProtection="1">
      <alignment horizontal="center" vertical="center"/>
    </xf>
    <xf numFmtId="183"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9"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9"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9" fontId="84" fillId="5" borderId="0" xfId="1" applyNumberFormat="1" applyFont="1" applyFill="1" applyAlignment="1" applyProtection="1">
      <alignment horizontal="center" vertical="center"/>
      <protection locked="0"/>
    </xf>
    <xf numFmtId="183"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3" fontId="84" fillId="5" borderId="5" xfId="1" applyNumberFormat="1" applyFont="1" applyFill="1" applyBorder="1" applyAlignment="1" applyProtection="1">
      <alignment horizontal="center" vertical="center"/>
    </xf>
    <xf numFmtId="183"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9" fontId="105" fillId="5" borderId="0" xfId="1" applyNumberFormat="1" applyFont="1" applyFill="1" applyAlignment="1" applyProtection="1">
      <alignment horizontal="center" vertical="center"/>
      <protection locked="0"/>
    </xf>
    <xf numFmtId="183"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8"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9" fontId="84" fillId="5" borderId="0" xfId="1" applyNumberFormat="1" applyFont="1" applyFill="1" applyBorder="1" applyAlignment="1" applyProtection="1">
      <alignment horizontal="center"/>
    </xf>
    <xf numFmtId="183"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90"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9" fontId="84" fillId="0" borderId="0" xfId="1" applyNumberFormat="1" applyFont="1" applyFill="1" applyAlignment="1" applyProtection="1">
      <alignment horizontal="center" vertical="center"/>
      <protection locked="0"/>
    </xf>
    <xf numFmtId="183"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9"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7"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80" fontId="106" fillId="5" borderId="12" xfId="1" applyNumberFormat="1" applyFont="1" applyFill="1" applyBorder="1" applyAlignment="1" applyProtection="1">
      <alignment horizontal="center" vertical="center"/>
    </xf>
    <xf numFmtId="180"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80"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9" fontId="84" fillId="0" borderId="0" xfId="1" applyNumberFormat="1" applyFont="1" applyFill="1" applyAlignment="1" applyProtection="1">
      <alignment horizontal="center" vertical="center"/>
    </xf>
    <xf numFmtId="183"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177" fontId="282" fillId="0" borderId="0" xfId="16" applyFont="1" applyAlignment="1">
      <alignment vertical="center" wrapText="1"/>
    </xf>
    <xf numFmtId="0" fontId="283" fillId="26" borderId="2" xfId="0" applyFont="1" applyFill="1" applyBorder="1" applyAlignment="1">
      <alignment horizontal="center" vertical="center" wrapText="1"/>
    </xf>
    <xf numFmtId="177"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177" fontId="282" fillId="0" borderId="2" xfId="16" applyFont="1" applyBorder="1" applyAlignment="1">
      <alignment horizontal="center" vertical="center" wrapText="1"/>
    </xf>
    <xf numFmtId="177" fontId="282" fillId="0" borderId="2" xfId="16" applyFont="1" applyBorder="1" applyAlignment="1">
      <alignment vertical="center" wrapText="1"/>
    </xf>
    <xf numFmtId="0" fontId="282" fillId="6" borderId="2" xfId="0" applyFont="1" applyFill="1" applyBorder="1" applyAlignment="1">
      <alignment horizontal="center" vertical="center" wrapText="1"/>
    </xf>
    <xf numFmtId="177" fontId="282" fillId="6" borderId="2" xfId="16" applyFont="1" applyFill="1" applyBorder="1" applyAlignment="1">
      <alignment horizontal="center" vertical="center" wrapText="1"/>
    </xf>
    <xf numFmtId="177" fontId="282" fillId="6" borderId="2" xfId="16" applyFont="1" applyFill="1" applyBorder="1" applyAlignment="1">
      <alignment vertical="center" wrapText="1"/>
    </xf>
    <xf numFmtId="177" fontId="282" fillId="27" borderId="0" xfId="16" applyFont="1" applyFill="1" applyAlignment="1">
      <alignment vertical="center" wrapText="1"/>
    </xf>
    <xf numFmtId="177" fontId="283" fillId="27" borderId="2" xfId="16" applyFont="1" applyFill="1" applyBorder="1" applyAlignment="1">
      <alignment horizontal="center" vertical="center" wrapText="1"/>
    </xf>
    <xf numFmtId="177" fontId="282" fillId="27" borderId="2" xfId="16" applyFont="1" applyFill="1" applyBorder="1" applyAlignment="1">
      <alignment vertical="center" wrapText="1"/>
    </xf>
    <xf numFmtId="0" fontId="0" fillId="27" borderId="0" xfId="0" applyFill="1">
      <alignment vertical="center"/>
    </xf>
    <xf numFmtId="177" fontId="282" fillId="28" borderId="0" xfId="16" applyFont="1" applyFill="1" applyAlignment="1">
      <alignment vertical="center" wrapText="1"/>
    </xf>
    <xf numFmtId="177" fontId="283" fillId="28" borderId="2" xfId="16" applyFont="1" applyFill="1" applyBorder="1" applyAlignment="1">
      <alignment horizontal="center" vertical="center" wrapText="1"/>
    </xf>
    <xf numFmtId="177" fontId="282" fillId="28" borderId="2" xfId="16" applyFont="1" applyFill="1" applyBorder="1" applyAlignment="1">
      <alignment vertical="center" wrapText="1"/>
    </xf>
    <xf numFmtId="0" fontId="0" fillId="28" borderId="0" xfId="0" applyFill="1">
      <alignment vertical="center"/>
    </xf>
    <xf numFmtId="177" fontId="0" fillId="27" borderId="0" xfId="0" applyNumberFormat="1" applyFill="1">
      <alignment vertical="center"/>
    </xf>
    <xf numFmtId="177" fontId="282" fillId="20" borderId="0" xfId="16" applyFont="1" applyFill="1" applyAlignment="1">
      <alignment vertical="center" wrapText="1"/>
    </xf>
    <xf numFmtId="177" fontId="283" fillId="20" borderId="2" xfId="16" applyFont="1" applyFill="1" applyBorder="1" applyAlignment="1">
      <alignment horizontal="center" vertical="center" wrapText="1"/>
    </xf>
    <xf numFmtId="177" fontId="282" fillId="20" borderId="2" xfId="16" applyFont="1" applyFill="1" applyBorder="1" applyAlignment="1">
      <alignment vertical="center" wrapText="1"/>
    </xf>
    <xf numFmtId="177" fontId="282" fillId="20" borderId="2" xfId="16" applyFont="1" applyFill="1" applyBorder="1" applyAlignment="1">
      <alignment horizontal="center" vertical="center" wrapText="1"/>
    </xf>
    <xf numFmtId="0" fontId="0" fillId="20" borderId="0" xfId="0" applyFill="1">
      <alignment vertical="center"/>
    </xf>
    <xf numFmtId="177" fontId="282" fillId="29" borderId="0" xfId="16" applyFont="1" applyFill="1" applyAlignment="1">
      <alignment vertical="center" wrapText="1"/>
    </xf>
    <xf numFmtId="177" fontId="283" fillId="29" borderId="2" xfId="16" applyFont="1" applyFill="1" applyBorder="1" applyAlignment="1">
      <alignment horizontal="center" vertical="center" wrapText="1"/>
    </xf>
    <xf numFmtId="177" fontId="282" fillId="29" borderId="2" xfId="16" applyFont="1" applyFill="1" applyBorder="1" applyAlignment="1">
      <alignment vertical="center" wrapText="1"/>
    </xf>
    <xf numFmtId="0" fontId="0" fillId="29" borderId="0" xfId="0" applyFill="1">
      <alignment vertical="center"/>
    </xf>
    <xf numFmtId="177" fontId="0" fillId="29" borderId="0" xfId="0" applyNumberFormat="1" applyFill="1">
      <alignment vertical="center"/>
    </xf>
    <xf numFmtId="196" fontId="0" fillId="29" borderId="0" xfId="0" applyNumberFormat="1" applyFill="1">
      <alignment vertical="center"/>
    </xf>
    <xf numFmtId="0" fontId="145" fillId="0" borderId="0" xfId="0" applyFo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0" borderId="2" xfId="2" applyFont="1" applyFill="1" applyBorder="1" applyAlignment="1" applyProtection="1">
      <alignment horizontal="center" vertical="center" wrapText="1"/>
      <protection locked="0"/>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3"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32" fillId="0"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20" borderId="2" xfId="2" applyFont="1" applyFill="1" applyBorder="1" applyAlignment="1" applyProtection="1">
      <alignment horizontal="center" vertical="center" wrapText="1"/>
      <protection locked="0"/>
    </xf>
    <xf numFmtId="0" fontId="32" fillId="21" borderId="10"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3" fontId="0" fillId="0" borderId="0" xfId="0" applyNumberFormat="1">
      <alignment vertical="center"/>
    </xf>
    <xf numFmtId="196" fontId="0" fillId="9" borderId="0" xfId="0" applyNumberFormat="1" applyFill="1">
      <alignment vertical="center"/>
    </xf>
    <xf numFmtId="177" fontId="283" fillId="9" borderId="2" xfId="16" applyFont="1" applyFill="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15;&#20108;&#35843;&#25972;&#20026;38.97&#20137;-&#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15;&#20108;&#35843;&#25972;&#20026;38.97&#20137;&#65288;&#20999;&#21106;&#35777;&#65289;-&#22303;&#22320;-&#36213;&#2985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efreshError="1">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efreshError="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row r="3">
          <cell r="A3">
            <v>25981.37</v>
          </cell>
        </row>
      </sheetData>
      <sheetData sheetId="11"/>
      <sheetData sheetId="12"/>
      <sheetData sheetId="13"/>
      <sheetData sheetId="14"/>
      <sheetData sheetId="15"/>
      <sheetData sheetId="16"/>
      <sheetData sheetId="17"/>
      <sheetData sheetId="18">
        <row r="32">
          <cell r="C32">
            <v>10167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10165</v>
          </cell>
        </row>
      </sheetData>
      <sheetData sheetId="18">
        <row r="79">
          <cell r="O79">
            <v>8425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111281.46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根据《国有土地使用证》[]，估价对象（分摊）出让国有建设用地使用权面积为20122.04平方米。根据《建设工程规划许可证》[]、《出让合同》[]，估价对象规划建筑面积为111281.46平方米。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111281.46</v>
      </c>
    </row>
    <row r="46" spans="1:2">
      <c r="A46" s="2831" t="s">
        <v>2722</v>
      </c>
      <c r="B46" s="2832">
        <f ca="1">'预评函-2'!P5</f>
        <v>7142</v>
      </c>
    </row>
    <row r="47" spans="1:2">
      <c r="A47" s="2831" t="s">
        <v>2723</v>
      </c>
      <c r="B47" s="2832">
        <f ca="1">'预评函-2'!Q5</f>
        <v>1291</v>
      </c>
    </row>
    <row r="48" spans="1:2">
      <c r="A48" s="2831" t="s">
        <v>2724</v>
      </c>
      <c r="B48" s="2832">
        <f ca="1">'预评函-2'!R5</f>
        <v>14372</v>
      </c>
    </row>
    <row r="49" spans="1:2">
      <c r="A49" s="2831" t="s">
        <v>2740</v>
      </c>
      <c r="B49" s="2832" t="str">
        <f>'预评函-2'!A6</f>
        <v>抵押价格</v>
      </c>
    </row>
    <row r="50" spans="1:2">
      <c r="A50" s="2831" t="s">
        <v>2725</v>
      </c>
      <c r="B50" s="2832">
        <f ca="1">'预评函-2'!R6</f>
        <v>14372</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10178</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46"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46"/>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46"/>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46"/>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46"/>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H26"/>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62" t="str">
        <f>IF(B10="北京市","北京市",C10)&amp;F10&amp;B16&amp;"国有建设用地使用权"&amp;B9&amp;"预评估"</f>
        <v>出让国有建设用地使用权抵押价格预评估</v>
      </c>
      <c r="C1" s="3863"/>
      <c r="D1" s="3863"/>
      <c r="E1" s="3863"/>
      <c r="F1" s="3863"/>
      <c r="G1" s="3863"/>
      <c r="H1" s="3863"/>
      <c r="I1" s="3864"/>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868"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869"/>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65"/>
      <c r="C12" s="3866"/>
      <c r="D12" s="3867"/>
      <c r="E12" s="1681" t="s">
        <v>2061</v>
      </c>
      <c r="F12" s="3883" t="s">
        <v>2888</v>
      </c>
      <c r="G12" s="3884"/>
      <c r="H12" s="3884"/>
      <c r="I12" s="3885"/>
      <c r="J12" s="1676"/>
      <c r="K12" s="1756"/>
      <c r="L12" s="1705"/>
      <c r="M12" s="1705"/>
      <c r="N12" s="1676"/>
      <c r="O12" s="1677"/>
      <c r="P12" s="1676"/>
      <c r="Q12" s="1676"/>
      <c r="R12" s="1676"/>
      <c r="S12" s="1676"/>
      <c r="T12" s="1676"/>
      <c r="U12" s="1676"/>
    </row>
    <row r="13" spans="1:21">
      <c r="A13" s="1669" t="s">
        <v>2059</v>
      </c>
      <c r="B13" s="3865"/>
      <c r="C13" s="3866"/>
      <c r="D13" s="3867"/>
      <c r="E13" s="1681" t="s">
        <v>2061</v>
      </c>
      <c r="F13" s="3883" t="s">
        <v>2889</v>
      </c>
      <c r="G13" s="3884"/>
      <c r="H13" s="3884"/>
      <c r="I13" s="3885"/>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880"/>
      <c r="E20" s="3881"/>
      <c r="F20" s="3881"/>
      <c r="G20" s="3881"/>
      <c r="H20" s="3881"/>
      <c r="I20" s="3882"/>
      <c r="J20" s="1676"/>
      <c r="K20" s="1756"/>
      <c r="L20" s="1705"/>
      <c r="M20" s="1705"/>
      <c r="N20" s="1676"/>
      <c r="O20" s="1677"/>
      <c r="P20" s="1676"/>
      <c r="Q20" s="1676"/>
      <c r="R20" s="1676"/>
      <c r="S20" s="1676"/>
      <c r="T20" s="1676"/>
      <c r="U20" s="1676"/>
    </row>
    <row r="21" spans="1:21">
      <c r="A21" s="1745" t="s">
        <v>1958</v>
      </c>
      <c r="B21" s="1746" t="s">
        <v>1959</v>
      </c>
      <c r="C21" s="1741">
        <f>'数据-汇总表'!E3</f>
        <v>111281.46</v>
      </c>
      <c r="D21" s="1742" t="s">
        <v>1960</v>
      </c>
      <c r="E21" s="3870" t="s">
        <v>1998</v>
      </c>
      <c r="F21" s="3871"/>
      <c r="G21" s="3871"/>
      <c r="H21" s="3871"/>
      <c r="I21" s="3872"/>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870" t="s">
        <v>2890</v>
      </c>
      <c r="F22" s="3871"/>
      <c r="G22" s="3871"/>
      <c r="H22" s="3871"/>
      <c r="I22" s="3872"/>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73" t="s">
        <v>1966</v>
      </c>
      <c r="C24" s="3874"/>
      <c r="D24" s="3875" t="s">
        <v>1967</v>
      </c>
      <c r="E24" s="3876"/>
      <c r="F24" s="1690" t="s">
        <v>1968</v>
      </c>
      <c r="G24" s="1676"/>
      <c r="H24" s="1676"/>
      <c r="I24" s="1689"/>
      <c r="J24" s="1676"/>
      <c r="K24" s="386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6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6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47" t="s">
        <v>2001</v>
      </c>
      <c r="B31" s="1746" t="s">
        <v>2002</v>
      </c>
      <c r="C31" s="3886"/>
      <c r="D31" s="3887"/>
      <c r="E31" s="1676"/>
      <c r="F31" s="1676"/>
      <c r="G31" s="1676"/>
      <c r="H31" s="1676"/>
      <c r="I31" s="1689"/>
      <c r="J31" s="1676"/>
      <c r="K31" s="2420"/>
      <c r="L31" s="1676"/>
      <c r="M31" s="1676"/>
      <c r="N31" s="1676"/>
      <c r="O31" s="1676"/>
      <c r="P31" s="1676"/>
      <c r="Q31" s="1676"/>
      <c r="R31" s="1676"/>
      <c r="S31" s="1676"/>
      <c r="T31" s="1676"/>
      <c r="U31" s="1676"/>
    </row>
    <row r="32" spans="1:21">
      <c r="A32" s="3847"/>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47"/>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48"/>
      <c r="B34" s="1643" t="s">
        <v>2005</v>
      </c>
      <c r="C34" s="3849"/>
      <c r="D34" s="3850"/>
      <c r="E34" s="1676"/>
      <c r="F34" s="1676"/>
      <c r="G34" s="1676"/>
      <c r="H34" s="1676"/>
      <c r="I34" s="1689"/>
      <c r="J34" s="1676"/>
      <c r="K34" s="2420"/>
      <c r="L34" s="1676"/>
      <c r="M34" s="1676"/>
      <c r="N34" s="1676"/>
      <c r="O34" s="1676"/>
      <c r="P34" s="1676"/>
      <c r="Q34" s="1676"/>
      <c r="R34" s="1676"/>
      <c r="S34" s="1676"/>
      <c r="T34" s="1676"/>
      <c r="U34" s="1676"/>
    </row>
    <row r="35" spans="1:21">
      <c r="A35" s="3851" t="s">
        <v>847</v>
      </c>
      <c r="B35" s="1704"/>
      <c r="C35" s="1758" t="str">
        <f>IF(B35="场地平整","——","具体情况：")</f>
        <v>具体情况：</v>
      </c>
      <c r="D35" s="3853"/>
      <c r="E35" s="3854"/>
      <c r="F35" s="3854"/>
      <c r="G35" s="3854"/>
      <c r="H35" s="3854"/>
      <c r="I35" s="3855"/>
      <c r="J35" s="1676"/>
      <c r="K35" s="1757"/>
      <c r="L35" s="1705"/>
      <c r="M35" s="1705"/>
      <c r="N35" s="1676"/>
      <c r="O35" s="1677"/>
      <c r="P35" s="1676"/>
      <c r="Q35" s="1676"/>
      <c r="R35" s="1676"/>
      <c r="S35" s="1676"/>
      <c r="T35" s="1676"/>
      <c r="U35" s="1676"/>
    </row>
    <row r="36" spans="1:21">
      <c r="A36" s="3847"/>
      <c r="B36" s="3856" t="s">
        <v>2054</v>
      </c>
      <c r="C36" s="3857"/>
      <c r="D36" s="1774"/>
      <c r="E36" s="3858"/>
      <c r="F36" s="3858"/>
      <c r="G36" s="1669" t="str">
        <f>IF(B35="场地未平整","估价结果处理","")</f>
        <v/>
      </c>
      <c r="H36" s="3859"/>
      <c r="I36" s="3859"/>
      <c r="J36" s="1676"/>
      <c r="K36" s="1757"/>
      <c r="L36" s="1705"/>
      <c r="M36" s="1705"/>
      <c r="N36" s="1676"/>
      <c r="O36" s="1677"/>
      <c r="P36" s="1676"/>
      <c r="Q36" s="1676"/>
      <c r="R36" s="1676"/>
      <c r="S36" s="1676"/>
      <c r="T36" s="1676"/>
      <c r="U36" s="1676"/>
    </row>
    <row r="37" spans="1:21" ht="28.5">
      <c r="A37" s="3847"/>
      <c r="B37" s="387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47"/>
      <c r="B38" s="3878"/>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848"/>
      <c r="B39" s="387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60" t="s">
        <v>1985</v>
      </c>
      <c r="T40" s="1713" t="str">
        <f>NUMBERSTRING(7-K40,1)&amp;"通"</f>
        <v>七通</v>
      </c>
      <c r="U40" s="1676"/>
    </row>
    <row r="41" spans="1:21">
      <c r="A41" s="1645"/>
      <c r="B41" s="3852" t="s">
        <v>1721</v>
      </c>
      <c r="C41" s="3852"/>
      <c r="D41" s="3852"/>
      <c r="E41" s="3852"/>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60"/>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0" sqref="AL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111281.46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111281.46</v>
      </c>
      <c r="H5" s="27">
        <f t="shared" ref="H5:AT5" si="0">SUM(H13:H641)</f>
        <v>108087.26000000001</v>
      </c>
      <c r="I5" s="27">
        <f t="shared" si="0"/>
        <v>82203.94</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111281.46</v>
      </c>
      <c r="BA5" s="29">
        <f t="shared" si="1"/>
        <v>108087.26000000001</v>
      </c>
      <c r="BB5" s="29">
        <f t="shared" si="1"/>
        <v>82203.94</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20122.03</v>
      </c>
      <c r="F6" s="27" t="s">
        <v>1</v>
      </c>
      <c r="G6" s="27" t="s">
        <v>2</v>
      </c>
      <c r="H6" s="33">
        <f>SUMIF(I$12:AB$12,"总值",I6:AB6)</f>
        <v>19544.46</v>
      </c>
      <c r="I6" s="27">
        <f t="shared" ref="I6:AB6" si="2">ROUND($A$3*I5/$B$3,2)</f>
        <v>14864.21</v>
      </c>
      <c r="J6" s="27">
        <f t="shared" si="2"/>
        <v>0</v>
      </c>
      <c r="K6" s="27">
        <f t="shared" si="2"/>
        <v>1174.1099999999999</v>
      </c>
      <c r="L6" s="27">
        <f t="shared" si="2"/>
        <v>0</v>
      </c>
      <c r="M6" s="27">
        <f t="shared" si="2"/>
        <v>3506.14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577.56999999999994</v>
      </c>
      <c r="AD6" s="27">
        <f t="shared" ref="AD6:AS6" si="3">ROUND($A$3*AD5/$B$3,2)</f>
        <v>193.74</v>
      </c>
      <c r="AE6" s="27">
        <f t="shared" si="3"/>
        <v>0</v>
      </c>
      <c r="AF6" s="27">
        <f t="shared" si="3"/>
        <v>0</v>
      </c>
      <c r="AG6" s="27">
        <f t="shared" si="3"/>
        <v>0</v>
      </c>
      <c r="AH6" s="27">
        <f t="shared" si="3"/>
        <v>0</v>
      </c>
      <c r="AI6" s="27">
        <f t="shared" si="3"/>
        <v>0</v>
      </c>
      <c r="AJ6" s="27">
        <f t="shared" si="3"/>
        <v>0</v>
      </c>
      <c r="AK6" s="27">
        <f t="shared" si="3"/>
        <v>0</v>
      </c>
      <c r="AL6" s="27">
        <f t="shared" si="3"/>
        <v>383.83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19544.46</v>
      </c>
      <c r="BB6" s="27">
        <f>ROUND($AY$6*BB5/$AZ$5,2)</f>
        <v>14864.21</v>
      </c>
      <c r="BC6" s="27">
        <f t="shared" ref="BC6:BH6" si="4">ROUND($AY$6*BC5/$AZ$5,2)</f>
        <v>1174.1099999999999</v>
      </c>
      <c r="BD6" s="27">
        <f t="shared" si="4"/>
        <v>3506.14</v>
      </c>
      <c r="BE6" s="27">
        <f t="shared" si="4"/>
        <v>0</v>
      </c>
      <c r="BF6" s="27">
        <f t="shared" si="4"/>
        <v>0</v>
      </c>
      <c r="BG6" s="27">
        <f t="shared" si="4"/>
        <v>0</v>
      </c>
      <c r="BH6" s="27">
        <f t="shared" si="4"/>
        <v>0</v>
      </c>
      <c r="BI6" s="27">
        <f t="shared" ref="BI6:BT6" si="5">ROUND($AY$6*BI5/$AZ$5,2)</f>
        <v>0</v>
      </c>
      <c r="BJ6" s="27">
        <f t="shared" si="5"/>
        <v>0</v>
      </c>
      <c r="BK6" s="27">
        <f t="shared" si="5"/>
        <v>0</v>
      </c>
      <c r="BL6" s="27">
        <f t="shared" si="5"/>
        <v>577.58000000000004</v>
      </c>
      <c r="BM6" s="27">
        <f t="shared" si="5"/>
        <v>193.74</v>
      </c>
      <c r="BN6" s="27">
        <f t="shared" si="5"/>
        <v>0</v>
      </c>
      <c r="BO6" s="27">
        <f t="shared" si="5"/>
        <v>0</v>
      </c>
      <c r="BP6" s="27">
        <f t="shared" si="5"/>
        <v>0</v>
      </c>
      <c r="BQ6" s="27">
        <f t="shared" si="5"/>
        <v>383.83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111281.46</v>
      </c>
      <c r="H13" s="33">
        <f t="shared" ref="H13:H20" si="8">SUMIF(I$12:AB$12,"总值",I13:AB13)</f>
        <v>108087.26000000001</v>
      </c>
      <c r="I13" s="2967">
        <f>三块地面积表!E13</f>
        <v>82203.94</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111281.46</v>
      </c>
      <c r="BA13" s="27">
        <f t="shared" ref="BA13:BA20" si="13">SUM(BB13:BK13)</f>
        <v>108087.26000000001</v>
      </c>
      <c r="BB13" s="27">
        <f t="shared" ref="BB13:BB20" si="14">IF($D13="是",I13-J13,0)</f>
        <v>82203.94</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8" t="s">
        <v>0</v>
      </c>
      <c r="B1" s="3888" t="s">
        <v>4</v>
      </c>
      <c r="C1" s="3888" t="s">
        <v>5</v>
      </c>
      <c r="D1" s="3889" t="s">
        <v>40</v>
      </c>
      <c r="E1" s="3889" t="s">
        <v>41</v>
      </c>
      <c r="F1" s="3889"/>
      <c r="G1" s="3889"/>
      <c r="H1" s="3889"/>
      <c r="I1" s="3889"/>
      <c r="J1" s="3889"/>
      <c r="K1" s="3889"/>
      <c r="L1" s="3889"/>
      <c r="M1" s="3889"/>
    </row>
    <row r="2" spans="1:13" ht="27" customHeight="1">
      <c r="A2" s="3888"/>
      <c r="B2" s="3888"/>
      <c r="C2" s="3888"/>
      <c r="D2" s="3889"/>
      <c r="E2" s="3889" t="s">
        <v>24</v>
      </c>
      <c r="F2" s="3889" t="s">
        <v>25</v>
      </c>
      <c r="G2" s="3889"/>
      <c r="H2" s="3889"/>
      <c r="I2" s="3889"/>
      <c r="J2" s="3889" t="s">
        <v>26</v>
      </c>
      <c r="K2" s="3889"/>
      <c r="L2" s="3889"/>
      <c r="M2" s="3889"/>
    </row>
    <row r="3" spans="1:13" ht="28.5">
      <c r="A3" s="3888"/>
      <c r="B3" s="3888"/>
      <c r="C3" s="3888"/>
      <c r="D3" s="3889"/>
      <c r="E3" s="38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9" t="s">
        <v>42</v>
      </c>
      <c r="B9" s="3889"/>
      <c r="C9" s="38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892" t="s">
        <v>3178</v>
      </c>
      <c r="B1" s="3892"/>
      <c r="C1" s="3892"/>
      <c r="D1" s="3892"/>
      <c r="E1" s="3892"/>
      <c r="F1" s="3892"/>
      <c r="G1" s="3892"/>
      <c r="H1" s="3892"/>
      <c r="I1" s="3892"/>
      <c r="J1" s="3892"/>
      <c r="K1" s="3892"/>
      <c r="L1" s="3207"/>
      <c r="M1" s="3207"/>
      <c r="N1" s="3208"/>
      <c r="O1" s="3208"/>
      <c r="P1" s="3208"/>
      <c r="Q1" s="3208"/>
      <c r="R1" s="3208"/>
      <c r="S1" s="3208"/>
      <c r="T1" s="3208"/>
      <c r="U1" s="3208"/>
    </row>
    <row r="2" spans="1:21" ht="14.25">
      <c r="A2" s="3893" t="s">
        <v>3179</v>
      </c>
      <c r="B2" s="3894" t="s">
        <v>3180</v>
      </c>
      <c r="C2" s="3894" t="s">
        <v>3181</v>
      </c>
      <c r="D2" s="3894" t="s">
        <v>3182</v>
      </c>
      <c r="E2" s="3894" t="s">
        <v>3183</v>
      </c>
      <c r="F2" s="3894" t="s">
        <v>3184</v>
      </c>
      <c r="G2" s="3893" t="s">
        <v>3185</v>
      </c>
      <c r="H2" s="3894" t="s">
        <v>3186</v>
      </c>
      <c r="I2" s="3895" t="s">
        <v>3187</v>
      </c>
      <c r="J2" s="3894" t="s">
        <v>3188</v>
      </c>
      <c r="K2" s="3894" t="s">
        <v>3189</v>
      </c>
      <c r="L2" s="3210"/>
      <c r="M2" s="3210"/>
      <c r="N2" s="3211" t="s">
        <v>3190</v>
      </c>
      <c r="O2" s="3208"/>
      <c r="P2" s="3211"/>
      <c r="Q2" s="3208"/>
      <c r="R2" s="3208"/>
      <c r="S2" s="3208"/>
      <c r="T2" s="3208"/>
      <c r="U2" s="3208"/>
    </row>
    <row r="3" spans="1:21" ht="14.25">
      <c r="A3" s="3893"/>
      <c r="B3" s="3894"/>
      <c r="C3" s="3894"/>
      <c r="D3" s="3894"/>
      <c r="E3" s="3894"/>
      <c r="F3" s="3894"/>
      <c r="G3" s="3893"/>
      <c r="H3" s="3894"/>
      <c r="I3" s="3895"/>
      <c r="J3" s="3894"/>
      <c r="K3" s="3894"/>
      <c r="L3" s="3210"/>
      <c r="M3" s="3210"/>
      <c r="N3" s="3208"/>
      <c r="O3" s="3208"/>
      <c r="P3" s="3208"/>
      <c r="Q3" s="3208"/>
      <c r="R3" s="3208"/>
      <c r="S3" s="3208"/>
      <c r="T3" s="3208"/>
      <c r="U3" s="3208"/>
    </row>
    <row r="4" spans="1:21" ht="14.25">
      <c r="A4" s="3893"/>
      <c r="B4" s="3894"/>
      <c r="C4" s="3894"/>
      <c r="D4" s="3894"/>
      <c r="E4" s="3894"/>
      <c r="F4" s="3894"/>
      <c r="G4" s="3893"/>
      <c r="H4" s="3894"/>
      <c r="I4" s="3895"/>
      <c r="J4" s="3894"/>
      <c r="K4" s="3894"/>
      <c r="L4" s="3210"/>
      <c r="M4" s="3210"/>
      <c r="N4" s="3208"/>
      <c r="O4" s="3208"/>
      <c r="P4" s="3211"/>
      <c r="Q4" s="3211"/>
      <c r="R4" s="3211"/>
      <c r="S4" s="3212"/>
      <c r="T4" s="3212"/>
      <c r="U4" s="3212"/>
    </row>
    <row r="5" spans="1:21" ht="14.25">
      <c r="A5" s="3912" t="s">
        <v>3191</v>
      </c>
      <c r="B5" s="3913" t="s">
        <v>3192</v>
      </c>
      <c r="C5" s="3916" t="s">
        <v>3193</v>
      </c>
      <c r="D5" s="3213" t="s">
        <v>2997</v>
      </c>
      <c r="E5" s="3213" t="s">
        <v>3194</v>
      </c>
      <c r="F5" s="3916">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12"/>
      <c r="B6" s="3914"/>
      <c r="C6" s="3916"/>
      <c r="D6" s="3213" t="s">
        <v>3196</v>
      </c>
      <c r="E6" s="3213">
        <v>3</v>
      </c>
      <c r="F6" s="3916"/>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12"/>
      <c r="B7" s="3914"/>
      <c r="C7" s="3916"/>
      <c r="D7" s="3213" t="s">
        <v>3198</v>
      </c>
      <c r="E7" s="3213">
        <v>3</v>
      </c>
      <c r="F7" s="3916"/>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12"/>
      <c r="B8" s="3914"/>
      <c r="C8" s="3916"/>
      <c r="D8" s="3213" t="s">
        <v>3201</v>
      </c>
      <c r="E8" s="3213">
        <v>6</v>
      </c>
      <c r="F8" s="3916"/>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12"/>
      <c r="B9" s="3914"/>
      <c r="C9" s="3916"/>
      <c r="D9" s="3213" t="s">
        <v>3203</v>
      </c>
      <c r="E9" s="3213">
        <v>4.5</v>
      </c>
      <c r="F9" s="3916"/>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12"/>
      <c r="B10" s="3914"/>
      <c r="C10" s="3890" t="s">
        <v>3205</v>
      </c>
      <c r="D10" s="3225" t="s">
        <v>3206</v>
      </c>
      <c r="E10" s="3890">
        <v>3</v>
      </c>
      <c r="F10" s="3890">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12"/>
      <c r="B11" s="3914"/>
      <c r="C11" s="3917"/>
      <c r="D11" s="3225" t="s">
        <v>3207</v>
      </c>
      <c r="E11" s="3917"/>
      <c r="F11" s="3917"/>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12"/>
      <c r="B12" s="3914"/>
      <c r="C12" s="3891"/>
      <c r="D12" s="3225" t="s">
        <v>3208</v>
      </c>
      <c r="E12" s="3891"/>
      <c r="F12" s="3891"/>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12"/>
      <c r="B13" s="3914"/>
      <c r="C13" s="3890" t="s">
        <v>3209</v>
      </c>
      <c r="D13" s="3225" t="s">
        <v>3206</v>
      </c>
      <c r="E13" s="3890">
        <v>3</v>
      </c>
      <c r="F13" s="3890">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12"/>
      <c r="B14" s="3914"/>
      <c r="C14" s="3891"/>
      <c r="D14" s="3225" t="s">
        <v>3198</v>
      </c>
      <c r="E14" s="3891"/>
      <c r="F14" s="3891"/>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12"/>
      <c r="B15" s="3914"/>
      <c r="C15" s="3890" t="s">
        <v>3210</v>
      </c>
      <c r="D15" s="3225" t="s">
        <v>923</v>
      </c>
      <c r="E15" s="3890">
        <v>3</v>
      </c>
      <c r="F15" s="3890">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12"/>
      <c r="B16" s="3914"/>
      <c r="C16" s="3891"/>
      <c r="D16" s="3225" t="s">
        <v>3208</v>
      </c>
      <c r="E16" s="3891"/>
      <c r="F16" s="3891"/>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12"/>
      <c r="B17" s="3914"/>
      <c r="C17" s="3890" t="s">
        <v>3211</v>
      </c>
      <c r="D17" s="3225" t="s">
        <v>923</v>
      </c>
      <c r="E17" s="3890">
        <v>3</v>
      </c>
      <c r="F17" s="3890">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12"/>
      <c r="B18" s="3915"/>
      <c r="C18" s="3891"/>
      <c r="D18" s="3225" t="s">
        <v>3208</v>
      </c>
      <c r="E18" s="3891"/>
      <c r="F18" s="3891"/>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12"/>
      <c r="B19" s="3901" t="s">
        <v>27</v>
      </c>
      <c r="C19" s="3901"/>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02" t="s">
        <v>3212</v>
      </c>
      <c r="B20" s="3905"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03"/>
      <c r="B21" s="3906"/>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03"/>
      <c r="B22" s="3906"/>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03"/>
      <c r="B23" s="3906"/>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03"/>
      <c r="B24" s="3907"/>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04"/>
      <c r="B25" s="3908" t="s">
        <v>3217</v>
      </c>
      <c r="C25" s="3909"/>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10" t="s">
        <v>3218</v>
      </c>
      <c r="B26" s="3899" t="s">
        <v>3219</v>
      </c>
      <c r="C26" s="3896" t="s">
        <v>3193</v>
      </c>
      <c r="D26" s="3241" t="s">
        <v>2997</v>
      </c>
      <c r="E26" s="3241">
        <v>4.8</v>
      </c>
      <c r="F26" s="3896">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10"/>
      <c r="B27" s="3911"/>
      <c r="C27" s="3897"/>
      <c r="D27" s="3241" t="s">
        <v>3221</v>
      </c>
      <c r="E27" s="3241">
        <v>4.5</v>
      </c>
      <c r="F27" s="3897"/>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10"/>
      <c r="B28" s="3911"/>
      <c r="C28" s="3898"/>
      <c r="D28" s="3241" t="s">
        <v>3223</v>
      </c>
      <c r="E28" s="3241">
        <v>3</v>
      </c>
      <c r="F28" s="3898"/>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10"/>
      <c r="B29" s="3911"/>
      <c r="C29" s="3899" t="s">
        <v>3225</v>
      </c>
      <c r="D29" s="3249" t="s">
        <v>3226</v>
      </c>
      <c r="E29" s="3899">
        <v>3</v>
      </c>
      <c r="F29" s="3899">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10"/>
      <c r="B30" s="3911"/>
      <c r="C30" s="3900"/>
      <c r="D30" s="3249" t="s">
        <v>3227</v>
      </c>
      <c r="E30" s="3900"/>
      <c r="F30" s="3900"/>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10"/>
      <c r="B31" s="3911"/>
      <c r="C31" s="3899" t="s">
        <v>3228</v>
      </c>
      <c r="D31" s="3249" t="s">
        <v>923</v>
      </c>
      <c r="E31" s="3899">
        <v>3</v>
      </c>
      <c r="F31" s="3899">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10"/>
      <c r="B32" s="3911"/>
      <c r="C32" s="3900"/>
      <c r="D32" s="3249" t="s">
        <v>3229</v>
      </c>
      <c r="E32" s="3900"/>
      <c r="F32" s="3900"/>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10"/>
      <c r="B33" s="3911"/>
      <c r="C33" s="3899" t="s">
        <v>3230</v>
      </c>
      <c r="D33" s="3249" t="s">
        <v>923</v>
      </c>
      <c r="E33" s="3899">
        <v>3</v>
      </c>
      <c r="F33" s="3899">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10"/>
      <c r="B34" s="3900"/>
      <c r="C34" s="3900"/>
      <c r="D34" s="3249" t="s">
        <v>3231</v>
      </c>
      <c r="E34" s="3900"/>
      <c r="F34" s="3900"/>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10"/>
      <c r="B35" s="3910" t="s">
        <v>27</v>
      </c>
      <c r="C35" s="3910"/>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18" t="s">
        <v>3232</v>
      </c>
      <c r="B36" s="3918" t="s">
        <v>3233</v>
      </c>
      <c r="C36" s="3918" t="s">
        <v>3234</v>
      </c>
      <c r="D36" s="3250" t="s">
        <v>3222</v>
      </c>
      <c r="E36" s="3251">
        <v>4.8</v>
      </c>
      <c r="F36" s="3918">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19"/>
      <c r="B37" s="3919"/>
      <c r="C37" s="3919"/>
      <c r="D37" s="3250" t="s">
        <v>3220</v>
      </c>
      <c r="E37" s="3921">
        <v>3</v>
      </c>
      <c r="F37" s="3919"/>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19"/>
      <c r="B38" s="3919"/>
      <c r="C38" s="3920"/>
      <c r="D38" s="3250" t="s">
        <v>3236</v>
      </c>
      <c r="E38" s="3922"/>
      <c r="F38" s="3920"/>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19"/>
      <c r="B39" s="3919"/>
      <c r="C39" s="3918" t="s">
        <v>3237</v>
      </c>
      <c r="D39" s="3250" t="s">
        <v>3238</v>
      </c>
      <c r="E39" s="3918">
        <v>3</v>
      </c>
      <c r="F39" s="3918">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19"/>
      <c r="B40" s="3919"/>
      <c r="C40" s="3920"/>
      <c r="D40" s="3250" t="s">
        <v>3239</v>
      </c>
      <c r="E40" s="3920"/>
      <c r="F40" s="3920"/>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19"/>
      <c r="B41" s="3919"/>
      <c r="C41" s="3918" t="s">
        <v>3240</v>
      </c>
      <c r="D41" s="3250" t="s">
        <v>923</v>
      </c>
      <c r="E41" s="3918">
        <v>3</v>
      </c>
      <c r="F41" s="3918">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19"/>
      <c r="B42" s="3919"/>
      <c r="C42" s="3920"/>
      <c r="D42" s="3250" t="s">
        <v>3236</v>
      </c>
      <c r="E42" s="3920"/>
      <c r="F42" s="3920"/>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19"/>
      <c r="B43" s="3919"/>
      <c r="C43" s="3918" t="s">
        <v>3241</v>
      </c>
      <c r="D43" s="3250" t="s">
        <v>923</v>
      </c>
      <c r="E43" s="3918">
        <v>3</v>
      </c>
      <c r="F43" s="3918">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19"/>
      <c r="B44" s="3919"/>
      <c r="C44" s="3920"/>
      <c r="D44" s="3250" t="s">
        <v>3236</v>
      </c>
      <c r="E44" s="3920"/>
      <c r="F44" s="3920"/>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19"/>
      <c r="B45" s="3919"/>
      <c r="C45" s="3918" t="s">
        <v>3242</v>
      </c>
      <c r="D45" s="3250" t="s">
        <v>923</v>
      </c>
      <c r="E45" s="3918">
        <v>3</v>
      </c>
      <c r="F45" s="3918">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19"/>
      <c r="B46" s="3920"/>
      <c r="C46" s="3920"/>
      <c r="D46" s="3250" t="s">
        <v>3236</v>
      </c>
      <c r="E46" s="3920"/>
      <c r="F46" s="3920"/>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20"/>
      <c r="B47" s="3923" t="s">
        <v>27</v>
      </c>
      <c r="C47" s="3923"/>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24" t="s">
        <v>3243</v>
      </c>
      <c r="B48" s="3924" t="s">
        <v>3244</v>
      </c>
      <c r="C48" s="3924" t="s">
        <v>3245</v>
      </c>
      <c r="D48" s="3257" t="s">
        <v>3246</v>
      </c>
      <c r="E48" s="3258">
        <v>4.8</v>
      </c>
      <c r="F48" s="3924">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25"/>
      <c r="B49" s="3925"/>
      <c r="C49" s="3925"/>
      <c r="D49" s="3257" t="s">
        <v>3247</v>
      </c>
      <c r="E49" s="3263">
        <v>3</v>
      </c>
      <c r="F49" s="3925"/>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25"/>
      <c r="B50" s="3925"/>
      <c r="C50" s="3926"/>
      <c r="D50" s="3257" t="s">
        <v>3248</v>
      </c>
      <c r="E50" s="3263"/>
      <c r="F50" s="3926"/>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25"/>
      <c r="B51" s="3925"/>
      <c r="C51" s="3924" t="s">
        <v>3249</v>
      </c>
      <c r="D51" s="3257" t="s">
        <v>3250</v>
      </c>
      <c r="E51" s="3924">
        <v>3</v>
      </c>
      <c r="F51" s="3924">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25"/>
      <c r="B52" s="3925"/>
      <c r="C52" s="3926"/>
      <c r="D52" s="3257" t="s">
        <v>3248</v>
      </c>
      <c r="E52" s="3926"/>
      <c r="F52" s="3926"/>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25"/>
      <c r="B53" s="3925"/>
      <c r="C53" s="3924" t="s">
        <v>3251</v>
      </c>
      <c r="D53" s="3257" t="s">
        <v>923</v>
      </c>
      <c r="E53" s="3924">
        <v>3</v>
      </c>
      <c r="F53" s="3924">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25"/>
      <c r="B54" s="3925"/>
      <c r="C54" s="3926"/>
      <c r="D54" s="3257" t="s">
        <v>3248</v>
      </c>
      <c r="E54" s="3926"/>
      <c r="F54" s="3926"/>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25"/>
      <c r="B55" s="3925"/>
      <c r="C55" s="3924" t="s">
        <v>3252</v>
      </c>
      <c r="D55" s="3257" t="s">
        <v>923</v>
      </c>
      <c r="E55" s="3924">
        <v>3</v>
      </c>
      <c r="F55" s="3924">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25"/>
      <c r="B56" s="3925"/>
      <c r="C56" s="3926"/>
      <c r="D56" s="3257" t="s">
        <v>3248</v>
      </c>
      <c r="E56" s="3926"/>
      <c r="F56" s="3926"/>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25"/>
      <c r="B57" s="3925"/>
      <c r="C57" s="3924" t="s">
        <v>3253</v>
      </c>
      <c r="D57" s="3257" t="s">
        <v>923</v>
      </c>
      <c r="E57" s="3924">
        <v>3</v>
      </c>
      <c r="F57" s="3924">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25"/>
      <c r="B58" s="3926"/>
      <c r="C58" s="3926"/>
      <c r="D58" s="3257" t="s">
        <v>3248</v>
      </c>
      <c r="E58" s="3926"/>
      <c r="F58" s="3926"/>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26"/>
      <c r="B59" s="3927" t="s">
        <v>27</v>
      </c>
      <c r="C59" s="3927"/>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928" t="s">
        <v>3254</v>
      </c>
      <c r="B60" s="3905"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929"/>
      <c r="B61" s="3906"/>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929"/>
      <c r="B62" s="3906"/>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929"/>
      <c r="B63" s="3906"/>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929"/>
      <c r="B64" s="3907"/>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930"/>
      <c r="B65" s="3908" t="s">
        <v>3258</v>
      </c>
      <c r="C65" s="3909"/>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24" t="s">
        <v>3259</v>
      </c>
      <c r="B66" s="3924" t="s">
        <v>3255</v>
      </c>
      <c r="C66" s="3924" t="s">
        <v>3256</v>
      </c>
      <c r="D66" s="3257" t="s">
        <v>3257</v>
      </c>
      <c r="E66" s="3258">
        <v>4.8</v>
      </c>
      <c r="F66" s="3924">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25"/>
      <c r="B67" s="3925"/>
      <c r="C67" s="3925"/>
      <c r="D67" s="3257" t="s">
        <v>3250</v>
      </c>
      <c r="E67" s="3263">
        <v>3</v>
      </c>
      <c r="F67" s="3925"/>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25"/>
      <c r="B68" s="3925"/>
      <c r="C68" s="3924" t="s">
        <v>3249</v>
      </c>
      <c r="D68" s="3257" t="s">
        <v>3250</v>
      </c>
      <c r="E68" s="3924">
        <v>3</v>
      </c>
      <c r="F68" s="3924">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25"/>
      <c r="B69" s="3925"/>
      <c r="C69" s="3926"/>
      <c r="D69" s="3257" t="s">
        <v>3248</v>
      </c>
      <c r="E69" s="3926"/>
      <c r="F69" s="3926"/>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25"/>
      <c r="B70" s="3925"/>
      <c r="C70" s="3924" t="s">
        <v>3251</v>
      </c>
      <c r="D70" s="3257" t="s">
        <v>923</v>
      </c>
      <c r="E70" s="3924">
        <v>3</v>
      </c>
      <c r="F70" s="3924">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25"/>
      <c r="B71" s="3925"/>
      <c r="C71" s="3926"/>
      <c r="D71" s="3257" t="s">
        <v>3248</v>
      </c>
      <c r="E71" s="3926"/>
      <c r="F71" s="3926"/>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25"/>
      <c r="B72" s="3925"/>
      <c r="C72" s="3924" t="s">
        <v>3252</v>
      </c>
      <c r="D72" s="3257" t="s">
        <v>923</v>
      </c>
      <c r="E72" s="3924">
        <v>3</v>
      </c>
      <c r="F72" s="3924">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25"/>
      <c r="B73" s="3925"/>
      <c r="C73" s="3926"/>
      <c r="D73" s="3257" t="s">
        <v>3248</v>
      </c>
      <c r="E73" s="3926"/>
      <c r="F73" s="3926"/>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25"/>
      <c r="B74" s="3925"/>
      <c r="C74" s="3924" t="s">
        <v>3253</v>
      </c>
      <c r="D74" s="3257" t="s">
        <v>923</v>
      </c>
      <c r="E74" s="3924">
        <v>3</v>
      </c>
      <c r="F74" s="3924">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25"/>
      <c r="B75" s="3926"/>
      <c r="C75" s="3926"/>
      <c r="D75" s="3257" t="s">
        <v>3248</v>
      </c>
      <c r="E75" s="3926"/>
      <c r="F75" s="3926"/>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26"/>
      <c r="B76" s="3927" t="s">
        <v>27</v>
      </c>
      <c r="C76" s="3927"/>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18" t="s">
        <v>3260</v>
      </c>
      <c r="B77" s="3918" t="s">
        <v>3255</v>
      </c>
      <c r="C77" s="3918" t="s">
        <v>3256</v>
      </c>
      <c r="D77" s="3250" t="s">
        <v>3257</v>
      </c>
      <c r="E77" s="3251">
        <v>4.8</v>
      </c>
      <c r="F77" s="3918">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19"/>
      <c r="B78" s="3919"/>
      <c r="C78" s="3919"/>
      <c r="D78" s="3250" t="s">
        <v>3250</v>
      </c>
      <c r="E78" s="3264">
        <v>3</v>
      </c>
      <c r="F78" s="3919"/>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19"/>
      <c r="B79" s="3919"/>
      <c r="C79" s="3920"/>
      <c r="D79" s="3250" t="s">
        <v>3248</v>
      </c>
      <c r="E79" s="3264"/>
      <c r="F79" s="3920"/>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19"/>
      <c r="B80" s="3919"/>
      <c r="C80" s="3918" t="s">
        <v>3249</v>
      </c>
      <c r="D80" s="3250" t="s">
        <v>3250</v>
      </c>
      <c r="E80" s="3918">
        <v>3</v>
      </c>
      <c r="F80" s="3918">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19"/>
      <c r="B81" s="3919"/>
      <c r="C81" s="3920"/>
      <c r="D81" s="3250" t="s">
        <v>3248</v>
      </c>
      <c r="E81" s="3920"/>
      <c r="F81" s="3920"/>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19"/>
      <c r="B82" s="3919"/>
      <c r="C82" s="3918" t="s">
        <v>3251</v>
      </c>
      <c r="D82" s="3250" t="s">
        <v>923</v>
      </c>
      <c r="E82" s="3918">
        <v>3</v>
      </c>
      <c r="F82" s="3918">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19"/>
      <c r="B83" s="3919"/>
      <c r="C83" s="3920"/>
      <c r="D83" s="3250" t="s">
        <v>3248</v>
      </c>
      <c r="E83" s="3920"/>
      <c r="F83" s="3920"/>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19"/>
      <c r="B84" s="3919"/>
      <c r="C84" s="3918" t="s">
        <v>3252</v>
      </c>
      <c r="D84" s="3250" t="s">
        <v>923</v>
      </c>
      <c r="E84" s="3918">
        <v>3</v>
      </c>
      <c r="F84" s="3918">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19"/>
      <c r="B85" s="3919"/>
      <c r="C85" s="3920"/>
      <c r="D85" s="3250" t="s">
        <v>3248</v>
      </c>
      <c r="E85" s="3920"/>
      <c r="F85" s="3920"/>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19"/>
      <c r="B86" s="3919"/>
      <c r="C86" s="3918" t="s">
        <v>3253</v>
      </c>
      <c r="D86" s="3250" t="s">
        <v>923</v>
      </c>
      <c r="E86" s="3918">
        <v>3</v>
      </c>
      <c r="F86" s="3918">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19"/>
      <c r="B87" s="3920"/>
      <c r="C87" s="3920"/>
      <c r="D87" s="3250" t="s">
        <v>3248</v>
      </c>
      <c r="E87" s="3920"/>
      <c r="F87" s="3920"/>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20"/>
      <c r="B88" s="3923" t="s">
        <v>27</v>
      </c>
      <c r="C88" s="3923"/>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928" t="s">
        <v>3261</v>
      </c>
      <c r="B89" s="3905"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929"/>
      <c r="B90" s="3906"/>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929"/>
      <c r="B91" s="3906"/>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929"/>
      <c r="B92" s="3906"/>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929"/>
      <c r="B93" s="3907"/>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930"/>
      <c r="B94" s="3908" t="s">
        <v>3258</v>
      </c>
      <c r="C94" s="3909"/>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928" t="s">
        <v>3262</v>
      </c>
      <c r="B95" s="3905"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929"/>
      <c r="B96" s="3906"/>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929"/>
      <c r="B97" s="3906"/>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929"/>
      <c r="B98" s="3906"/>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929"/>
      <c r="B99" s="3907"/>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930"/>
      <c r="B100" s="3908" t="s">
        <v>3258</v>
      </c>
      <c r="C100" s="3909"/>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18" t="s">
        <v>3263</v>
      </c>
      <c r="B101" s="3918" t="s">
        <v>3255</v>
      </c>
      <c r="C101" s="3918" t="s">
        <v>3256</v>
      </c>
      <c r="D101" s="3250" t="s">
        <v>3257</v>
      </c>
      <c r="E101" s="3251">
        <v>4.8</v>
      </c>
      <c r="F101" s="3918">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19"/>
      <c r="B102" s="3919"/>
      <c r="C102" s="3919"/>
      <c r="D102" s="3250" t="s">
        <v>3250</v>
      </c>
      <c r="E102" s="3264">
        <v>3</v>
      </c>
      <c r="F102" s="3919"/>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19"/>
      <c r="B103" s="3919"/>
      <c r="C103" s="3920"/>
      <c r="D103" s="3250" t="s">
        <v>3248</v>
      </c>
      <c r="E103" s="3264"/>
      <c r="F103" s="3920"/>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19"/>
      <c r="B104" s="3919"/>
      <c r="C104" s="3918" t="s">
        <v>3249</v>
      </c>
      <c r="D104" s="3250" t="s">
        <v>3250</v>
      </c>
      <c r="E104" s="3918">
        <v>3</v>
      </c>
      <c r="F104" s="3918">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19"/>
      <c r="B105" s="3919"/>
      <c r="C105" s="3920"/>
      <c r="D105" s="3250" t="s">
        <v>3248</v>
      </c>
      <c r="E105" s="3920"/>
      <c r="F105" s="3920"/>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19"/>
      <c r="B106" s="3919"/>
      <c r="C106" s="3918" t="s">
        <v>3251</v>
      </c>
      <c r="D106" s="3250" t="s">
        <v>923</v>
      </c>
      <c r="E106" s="3918">
        <v>3</v>
      </c>
      <c r="F106" s="3918">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19"/>
      <c r="B107" s="3919"/>
      <c r="C107" s="3920"/>
      <c r="D107" s="3250" t="s">
        <v>3248</v>
      </c>
      <c r="E107" s="3920"/>
      <c r="F107" s="3920"/>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19"/>
      <c r="B108" s="3919"/>
      <c r="C108" s="3918" t="s">
        <v>3252</v>
      </c>
      <c r="D108" s="3250" t="s">
        <v>923</v>
      </c>
      <c r="E108" s="3918">
        <v>3</v>
      </c>
      <c r="F108" s="3918">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19"/>
      <c r="B109" s="3919"/>
      <c r="C109" s="3920"/>
      <c r="D109" s="3250" t="s">
        <v>3248</v>
      </c>
      <c r="E109" s="3920"/>
      <c r="F109" s="3920"/>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19"/>
      <c r="B110" s="3919"/>
      <c r="C110" s="3918" t="s">
        <v>3253</v>
      </c>
      <c r="D110" s="3250" t="s">
        <v>923</v>
      </c>
      <c r="E110" s="3918">
        <v>3</v>
      </c>
      <c r="F110" s="3918">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19"/>
      <c r="B111" s="3920"/>
      <c r="C111" s="3920"/>
      <c r="D111" s="3250" t="s">
        <v>3248</v>
      </c>
      <c r="E111" s="3920"/>
      <c r="F111" s="3920"/>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20"/>
      <c r="B112" s="3923" t="s">
        <v>27</v>
      </c>
      <c r="C112" s="3923"/>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24" t="s">
        <v>3264</v>
      </c>
      <c r="B113" s="3924" t="s">
        <v>3255</v>
      </c>
      <c r="C113" s="3924" t="s">
        <v>3256</v>
      </c>
      <c r="D113" s="3257" t="s">
        <v>3257</v>
      </c>
      <c r="E113" s="3258">
        <v>4.8</v>
      </c>
      <c r="F113" s="3924">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25"/>
      <c r="B114" s="3925"/>
      <c r="C114" s="3925"/>
      <c r="D114" s="3257" t="s">
        <v>3265</v>
      </c>
      <c r="E114" s="3263">
        <v>3</v>
      </c>
      <c r="F114" s="3925"/>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25"/>
      <c r="B115" s="3925"/>
      <c r="C115" s="3926"/>
      <c r="D115" s="3257" t="s">
        <v>3266</v>
      </c>
      <c r="E115" s="3263">
        <v>3</v>
      </c>
      <c r="F115" s="3926"/>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25"/>
      <c r="B116" s="3925"/>
      <c r="C116" s="3924" t="s">
        <v>3249</v>
      </c>
      <c r="D116" s="3257" t="s">
        <v>3250</v>
      </c>
      <c r="E116" s="3924">
        <v>3</v>
      </c>
      <c r="F116" s="3924">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25"/>
      <c r="B117" s="3925"/>
      <c r="C117" s="3926"/>
      <c r="D117" s="3257" t="s">
        <v>3248</v>
      </c>
      <c r="E117" s="3926"/>
      <c r="F117" s="3926"/>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25"/>
      <c r="B118" s="3925"/>
      <c r="C118" s="3924" t="s">
        <v>3251</v>
      </c>
      <c r="D118" s="3257" t="s">
        <v>923</v>
      </c>
      <c r="E118" s="3924">
        <v>3</v>
      </c>
      <c r="F118" s="3924">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25"/>
      <c r="B119" s="3925"/>
      <c r="C119" s="3926"/>
      <c r="D119" s="3257" t="s">
        <v>3248</v>
      </c>
      <c r="E119" s="3926"/>
      <c r="F119" s="3926"/>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25"/>
      <c r="B120" s="3925"/>
      <c r="C120" s="3924" t="s">
        <v>3268</v>
      </c>
      <c r="D120" s="3257" t="s">
        <v>923</v>
      </c>
      <c r="E120" s="3924">
        <v>3</v>
      </c>
      <c r="F120" s="3924">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25"/>
      <c r="B121" s="3925"/>
      <c r="C121" s="3926"/>
      <c r="D121" s="3257" t="s">
        <v>3248</v>
      </c>
      <c r="E121" s="3926"/>
      <c r="F121" s="3926"/>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25"/>
      <c r="B122" s="3925"/>
      <c r="C122" s="3924" t="s">
        <v>3269</v>
      </c>
      <c r="D122" s="3257" t="s">
        <v>923</v>
      </c>
      <c r="E122" s="3924">
        <v>3</v>
      </c>
      <c r="F122" s="3924">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25"/>
      <c r="B123" s="3926"/>
      <c r="C123" s="3926"/>
      <c r="D123" s="3257" t="s">
        <v>3248</v>
      </c>
      <c r="E123" s="3926"/>
      <c r="F123" s="3926"/>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26"/>
      <c r="B124" s="3927" t="s">
        <v>27</v>
      </c>
      <c r="C124" s="3927"/>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928" t="s">
        <v>3270</v>
      </c>
      <c r="B125" s="3890" t="s">
        <v>3255</v>
      </c>
      <c r="C125" s="3901" t="s">
        <v>3256</v>
      </c>
      <c r="D125" s="3225" t="s">
        <v>3257</v>
      </c>
      <c r="E125" s="3266">
        <v>4.8</v>
      </c>
      <c r="F125" s="3890">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929"/>
      <c r="B126" s="3917"/>
      <c r="C126" s="3901"/>
      <c r="D126" s="3225" t="s">
        <v>3266</v>
      </c>
      <c r="E126" s="3266">
        <v>6</v>
      </c>
      <c r="F126" s="3917"/>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929"/>
      <c r="B127" s="3917"/>
      <c r="C127" s="3901"/>
      <c r="D127" s="3225" t="s">
        <v>3265</v>
      </c>
      <c r="E127" s="3266">
        <v>3</v>
      </c>
      <c r="F127" s="3917"/>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929"/>
      <c r="B128" s="3917"/>
      <c r="C128" s="3917" t="s">
        <v>3249</v>
      </c>
      <c r="D128" s="3225" t="s">
        <v>3250</v>
      </c>
      <c r="E128" s="3913">
        <v>3</v>
      </c>
      <c r="F128" s="3917">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929"/>
      <c r="B129" s="3917"/>
      <c r="C129" s="3891"/>
      <c r="D129" s="3225" t="s">
        <v>3248</v>
      </c>
      <c r="E129" s="3915"/>
      <c r="F129" s="3891"/>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929"/>
      <c r="B130" s="3917"/>
      <c r="C130" s="3890" t="s">
        <v>3251</v>
      </c>
      <c r="D130" s="3225" t="s">
        <v>923</v>
      </c>
      <c r="E130" s="3890">
        <v>3</v>
      </c>
      <c r="F130" s="3890">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929"/>
      <c r="B131" s="3917"/>
      <c r="C131" s="3891"/>
      <c r="D131" s="3225" t="s">
        <v>3248</v>
      </c>
      <c r="E131" s="3891"/>
      <c r="F131" s="3891"/>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929"/>
      <c r="B132" s="3917"/>
      <c r="C132" s="3890" t="s">
        <v>3252</v>
      </c>
      <c r="D132" s="3225" t="s">
        <v>923</v>
      </c>
      <c r="E132" s="3890">
        <v>3</v>
      </c>
      <c r="F132" s="3890">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929"/>
      <c r="B133" s="3917"/>
      <c r="C133" s="3891"/>
      <c r="D133" s="3225" t="s">
        <v>3248</v>
      </c>
      <c r="E133" s="3891"/>
      <c r="F133" s="3891"/>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929"/>
      <c r="B134" s="3917"/>
      <c r="C134" s="3890" t="s">
        <v>3253</v>
      </c>
      <c r="D134" s="3225" t="s">
        <v>923</v>
      </c>
      <c r="E134" s="3890">
        <v>3</v>
      </c>
      <c r="F134" s="3890">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929"/>
      <c r="B135" s="3891"/>
      <c r="C135" s="3891"/>
      <c r="D135" s="3225" t="s">
        <v>3248</v>
      </c>
      <c r="E135" s="3891"/>
      <c r="F135" s="3891"/>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930"/>
      <c r="B136" s="3901" t="s">
        <v>3258</v>
      </c>
      <c r="C136" s="3901"/>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928" t="s">
        <v>3271</v>
      </c>
      <c r="B137" s="3890"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929"/>
      <c r="B138" s="3917"/>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929"/>
      <c r="B139" s="3891"/>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930"/>
      <c r="B140" s="3931" t="s">
        <v>3258</v>
      </c>
      <c r="C140" s="3932"/>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928" t="s">
        <v>3274</v>
      </c>
      <c r="B141" s="3905"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929"/>
      <c r="B142" s="3906"/>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929"/>
      <c r="B143" s="3906"/>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929"/>
      <c r="B144" s="3906"/>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929"/>
      <c r="B145" s="3907"/>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930"/>
      <c r="B146" s="3908" t="s">
        <v>3258</v>
      </c>
      <c r="C146" s="3909"/>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928" t="s">
        <v>3276</v>
      </c>
      <c r="B147" s="3905"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929"/>
      <c r="B148" s="3906"/>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929"/>
      <c r="B149" s="3906"/>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929"/>
      <c r="B150" s="3906"/>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929"/>
      <c r="B151" s="3907"/>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930"/>
      <c r="B152" s="3908" t="s">
        <v>3258</v>
      </c>
      <c r="C152" s="3909"/>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928" t="s">
        <v>3277</v>
      </c>
      <c r="B153" s="3905"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929"/>
      <c r="B154" s="3906"/>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929"/>
      <c r="B155" s="3906"/>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929"/>
      <c r="B156" s="3906"/>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929"/>
      <c r="B157" s="3907"/>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930"/>
      <c r="B158" s="3908" t="s">
        <v>3258</v>
      </c>
      <c r="C158" s="3909"/>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928" t="s">
        <v>3278</v>
      </c>
      <c r="B159" s="3890" t="s">
        <v>3255</v>
      </c>
      <c r="C159" s="3890" t="s">
        <v>3256</v>
      </c>
      <c r="D159" s="3225" t="s">
        <v>3257</v>
      </c>
      <c r="E159" s="3213">
        <v>4.8</v>
      </c>
      <c r="F159" s="3890">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929"/>
      <c r="B160" s="3917"/>
      <c r="C160" s="3917"/>
      <c r="D160" s="3225" t="s">
        <v>3265</v>
      </c>
      <c r="E160" s="3266">
        <v>3</v>
      </c>
      <c r="F160" s="3917"/>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929"/>
      <c r="B161" s="3917"/>
      <c r="C161" s="3917"/>
      <c r="D161" s="3225" t="s">
        <v>3248</v>
      </c>
      <c r="E161" s="3266">
        <v>3</v>
      </c>
      <c r="F161" s="3917"/>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929"/>
      <c r="B162" s="3917"/>
      <c r="C162" s="3891"/>
      <c r="D162" s="3225" t="s">
        <v>3266</v>
      </c>
      <c r="E162" s="3266">
        <v>6</v>
      </c>
      <c r="F162" s="3891"/>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929"/>
      <c r="B163" s="3917"/>
      <c r="C163" s="3890" t="s">
        <v>3249</v>
      </c>
      <c r="D163" s="3225" t="s">
        <v>3250</v>
      </c>
      <c r="E163" s="3890">
        <v>3</v>
      </c>
      <c r="F163" s="3890">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929"/>
      <c r="B164" s="3917"/>
      <c r="C164" s="3891"/>
      <c r="D164" s="3225" t="s">
        <v>3248</v>
      </c>
      <c r="E164" s="3891"/>
      <c r="F164" s="3891"/>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929"/>
      <c r="B165" s="3917"/>
      <c r="C165" s="3890" t="s">
        <v>3251</v>
      </c>
      <c r="D165" s="3225" t="s">
        <v>923</v>
      </c>
      <c r="E165" s="3890">
        <v>3</v>
      </c>
      <c r="F165" s="3890">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929"/>
      <c r="B166" s="3917"/>
      <c r="C166" s="3891"/>
      <c r="D166" s="3225" t="s">
        <v>3248</v>
      </c>
      <c r="E166" s="3891"/>
      <c r="F166" s="3891"/>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929"/>
      <c r="B167" s="3917"/>
      <c r="C167" s="3890" t="s">
        <v>3252</v>
      </c>
      <c r="D167" s="3225" t="s">
        <v>923</v>
      </c>
      <c r="E167" s="3890">
        <v>3</v>
      </c>
      <c r="F167" s="3890">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929"/>
      <c r="B168" s="3917"/>
      <c r="C168" s="3891"/>
      <c r="D168" s="3225" t="s">
        <v>3248</v>
      </c>
      <c r="E168" s="3891"/>
      <c r="F168" s="3891"/>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929"/>
      <c r="B169" s="3917"/>
      <c r="C169" s="3890" t="s">
        <v>3253</v>
      </c>
      <c r="D169" s="3225" t="s">
        <v>923</v>
      </c>
      <c r="E169" s="3890">
        <v>3</v>
      </c>
      <c r="F169" s="3890">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929"/>
      <c r="B170" s="3891"/>
      <c r="C170" s="3891"/>
      <c r="D170" s="3225" t="s">
        <v>3248</v>
      </c>
      <c r="E170" s="3891"/>
      <c r="F170" s="3891"/>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930"/>
      <c r="B171" s="3901" t="s">
        <v>27</v>
      </c>
      <c r="C171" s="3901"/>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928" t="s">
        <v>3279</v>
      </c>
      <c r="B172" s="3928" t="s">
        <v>3280</v>
      </c>
      <c r="C172" s="3890"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929"/>
      <c r="B173" s="3930"/>
      <c r="C173" s="3891"/>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929"/>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930"/>
      <c r="B175" s="3938" t="s">
        <v>3258</v>
      </c>
      <c r="C175" s="3939"/>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12" t="s">
        <v>3284</v>
      </c>
      <c r="B176" s="3901" t="s">
        <v>3285</v>
      </c>
      <c r="C176" s="3901" t="s">
        <v>3286</v>
      </c>
      <c r="D176" s="3225" t="s">
        <v>2998</v>
      </c>
      <c r="E176" s="3901">
        <v>3.7</v>
      </c>
      <c r="F176" s="3901">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12"/>
      <c r="B177" s="3901"/>
      <c r="C177" s="3901"/>
      <c r="D177" s="3225" t="s">
        <v>3288</v>
      </c>
      <c r="E177" s="3901"/>
      <c r="F177" s="3901"/>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12"/>
      <c r="B178" s="3901" t="s">
        <v>27</v>
      </c>
      <c r="C178" s="3901"/>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933" t="s">
        <v>3290</v>
      </c>
      <c r="B179" s="3933"/>
      <c r="C179" s="3933"/>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934" t="s">
        <v>3291</v>
      </c>
      <c r="B180" s="3934"/>
      <c r="C180" s="3934"/>
      <c r="D180" s="3934"/>
      <c r="E180" s="3934"/>
      <c r="F180" s="3934"/>
      <c r="G180" s="3934"/>
      <c r="H180" s="3934"/>
      <c r="I180" s="3934"/>
      <c r="J180" s="3934"/>
      <c r="K180" s="3934"/>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935" t="s">
        <v>3292</v>
      </c>
    </row>
    <row r="202" spans="1:21" ht="14.25" hidden="1">
      <c r="A202" s="3290"/>
      <c r="B202" s="3291"/>
      <c r="C202" s="3291"/>
      <c r="D202" s="3291"/>
      <c r="E202" s="3291"/>
      <c r="F202" s="3291"/>
      <c r="G202" s="3292"/>
      <c r="H202" s="3291"/>
      <c r="I202" s="3292"/>
      <c r="J202" s="3291"/>
      <c r="K202" s="3291"/>
      <c r="L202" s="3291"/>
      <c r="M202" s="3291"/>
      <c r="U202" s="3936"/>
    </row>
    <row r="203" spans="1:21" ht="14.25" hidden="1">
      <c r="A203" s="3290"/>
      <c r="B203" s="3291"/>
      <c r="C203" s="3291"/>
      <c r="D203" s="3291"/>
      <c r="E203" s="3291"/>
      <c r="F203" s="3291"/>
      <c r="G203" s="3292"/>
      <c r="H203" s="3291"/>
      <c r="I203" s="3292"/>
      <c r="J203" s="3291"/>
      <c r="K203" s="3291"/>
      <c r="L203" s="3291"/>
      <c r="M203" s="3291"/>
      <c r="U203" s="3936"/>
    </row>
    <row r="204" spans="1:21" ht="14.25" hidden="1">
      <c r="A204" s="3290"/>
      <c r="B204" s="3291"/>
      <c r="C204" s="3291"/>
      <c r="D204" s="3291"/>
      <c r="E204" s="3291"/>
      <c r="F204" s="3291"/>
      <c r="G204" s="3292"/>
      <c r="H204" s="3291"/>
      <c r="I204" s="3292"/>
      <c r="J204" s="3291"/>
      <c r="K204" s="3291"/>
      <c r="L204" s="3291"/>
      <c r="M204" s="3291"/>
      <c r="U204" s="3937"/>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60:A65"/>
    <mergeCell ref="B60:B64"/>
    <mergeCell ref="B65:C65"/>
    <mergeCell ref="F51:F52"/>
    <mergeCell ref="C53:C54"/>
    <mergeCell ref="E53:E54"/>
    <mergeCell ref="F53:F54"/>
    <mergeCell ref="C55:C56"/>
    <mergeCell ref="E55:E56"/>
    <mergeCell ref="F55:F5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E33:E34"/>
    <mergeCell ref="F33:F34"/>
    <mergeCell ref="B35:C35"/>
    <mergeCell ref="B36:B46"/>
    <mergeCell ref="C36:C38"/>
    <mergeCell ref="F36:F38"/>
    <mergeCell ref="E37:E38"/>
    <mergeCell ref="C39:C40"/>
    <mergeCell ref="E39:E40"/>
    <mergeCell ref="C45:C46"/>
    <mergeCell ref="E45:E46"/>
    <mergeCell ref="F45:F46"/>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2"/>
  <sheetViews>
    <sheetView tabSelected="1" workbookViewId="0">
      <selection activeCell="H15" sqref="H15"/>
    </sheetView>
  </sheetViews>
  <sheetFormatPr defaultRowHeight="13.5"/>
  <cols>
    <col min="1" max="1" width="4.25" customWidth="1"/>
    <col min="2" max="2" width="8.125" customWidth="1"/>
    <col min="3" max="3" width="13.75" customWidth="1"/>
    <col min="4" max="4" width="12.125" customWidth="1"/>
    <col min="5" max="5" width="17" style="3772" customWidth="1"/>
    <col min="6" max="7" width="9" style="3768"/>
    <col min="8" max="8" width="9" style="3772"/>
    <col min="9" max="9" width="8" style="3758" customWidth="1"/>
    <col min="10" max="10" width="9" style="3762"/>
    <col min="11" max="11" width="8.5" style="3758" customWidth="1"/>
    <col min="12" max="12" width="9" style="3758"/>
    <col min="13" max="13" width="9.25" style="3762" bestFit="1" customWidth="1"/>
    <col min="14" max="14" width="10.75" customWidth="1"/>
    <col min="15" max="15" width="9" style="3758"/>
  </cols>
  <sheetData>
    <row r="1" spans="1:16" ht="21">
      <c r="A1" s="3940" t="s">
        <v>3583</v>
      </c>
      <c r="B1" s="3940"/>
      <c r="C1" s="3940"/>
      <c r="D1" s="3940"/>
      <c r="E1" s="3940"/>
      <c r="F1" s="3940"/>
      <c r="G1" s="3940"/>
      <c r="H1" s="3940"/>
      <c r="I1" s="3940"/>
      <c r="J1" s="3940"/>
      <c r="K1" s="3940"/>
      <c r="L1" s="3940"/>
      <c r="M1" s="3940"/>
      <c r="N1" s="3940"/>
      <c r="O1" s="3940"/>
      <c r="P1" s="3940"/>
    </row>
    <row r="2" spans="1:16" ht="16.5">
      <c r="A2" s="3745"/>
      <c r="B2" s="3745"/>
      <c r="C2" s="3745"/>
      <c r="D2" s="3745"/>
      <c r="E2" s="3769"/>
      <c r="F2" s="3764"/>
      <c r="G2" s="3764"/>
      <c r="H2" s="3769"/>
      <c r="I2" s="3755"/>
      <c r="J2" s="3759"/>
      <c r="K2" s="3755"/>
      <c r="L2" s="3755"/>
      <c r="M2" s="3759"/>
      <c r="N2" s="3746"/>
      <c r="O2" s="3755"/>
      <c r="P2" s="3745" t="s">
        <v>3584</v>
      </c>
    </row>
    <row r="3" spans="1:16" ht="16.5">
      <c r="A3" s="3747" t="s">
        <v>3585</v>
      </c>
      <c r="B3" s="3747" t="s">
        <v>3586</v>
      </c>
      <c r="C3" s="3747" t="s">
        <v>3587</v>
      </c>
      <c r="D3" s="3747" t="s">
        <v>3588</v>
      </c>
      <c r="E3" s="3770" t="str">
        <f>[2]高十指标计算书!D44</f>
        <v>居住</v>
      </c>
      <c r="F3" s="3765" t="str">
        <f>[2]高十指标计算书!D42</f>
        <v>商业</v>
      </c>
      <c r="G3" s="3765" t="str">
        <f>[2]高十指标计算书!D43</f>
        <v>商烟</v>
      </c>
      <c r="H3" s="3770" t="str">
        <f>[2]高十指标计算书!D56</f>
        <v>梯帽</v>
      </c>
      <c r="I3" s="3756" t="str">
        <f>[2]高十指标计算书!D45</f>
        <v>物管用房</v>
      </c>
      <c r="J3" s="3760" t="str">
        <f>[2]高十指标计算书!D77</f>
        <v>架空层</v>
      </c>
      <c r="K3" s="3756" t="str">
        <f>[2]高十指标计算书!D41</f>
        <v>公厕</v>
      </c>
      <c r="L3" s="3756" t="str">
        <f>[2]高十指标计算书!D132</f>
        <v>消控室</v>
      </c>
      <c r="M3" s="3760" t="str">
        <f>[2]高十指标计算书!D134</f>
        <v>设备用房</v>
      </c>
      <c r="N3" s="3748" t="str">
        <f>[2]高十指标计算书!D133</f>
        <v>车库</v>
      </c>
      <c r="O3" s="3756" t="s">
        <v>3589</v>
      </c>
      <c r="P3" s="3747" t="s">
        <v>3590</v>
      </c>
    </row>
    <row r="4" spans="1:16" ht="16.5">
      <c r="A4" s="3749">
        <v>1</v>
      </c>
      <c r="B4" s="3749" t="s">
        <v>3591</v>
      </c>
      <c r="C4" s="3750">
        <f>SUM(E4:O4)</f>
        <v>22435.82</v>
      </c>
      <c r="D4" s="3750">
        <f>C4-J4-L4-M4-N4</f>
        <v>22435.82</v>
      </c>
      <c r="E4" s="3771">
        <f>SUMPRODUCT(([2]高十指标计算书!$A$40:$A$137=[2]高十楼栋面积表!$B4)*([2]高十指标计算书!$D$40:$D$137=[2]高十楼栋面积表!E$3)*[2]高十指标计算书!$H$40:$H$137)</f>
        <v>20118.77</v>
      </c>
      <c r="F4" s="3766">
        <f>SUMPRODUCT(([2]高十指标计算书!$A$40:$A$137=[2]高十楼栋面积表!$B4)*([2]高十指标计算书!$D$40:$D$137=[2]高十楼栋面积表!F$3)*[2]高十指标计算书!$H$40:$H$137)</f>
        <v>1808.14</v>
      </c>
      <c r="G4" s="3766">
        <f>SUMPRODUCT(([2]高十指标计算书!$A$40:$A$137=[2]高十楼栋面积表!$B4)*([2]高十指标计算书!$D$40:$D$137=[2]高十楼栋面积表!G$3)*[2]高十指标计算书!$H$40:$H$137)</f>
        <v>71.660000000000011</v>
      </c>
      <c r="H4" s="3771">
        <f>SUMPRODUCT(([2]高十指标计算书!$A$40:$A$137=[2]高十楼栋面积表!$B4)*([2]高十指标计算书!$D$40:$D$137=[2]高十楼栋面积表!H$3)*[2]高十指标计算书!$H$40:$H$137)</f>
        <v>97.12</v>
      </c>
      <c r="I4" s="3757">
        <f>SUMPRODUCT(([2]高十指标计算书!$A$40:$A$137=[2]高十楼栋面积表!$B4)*([2]高十指标计算书!$D$40:$D$137=[2]高十楼栋面积表!I$3)*[2]高十指标计算书!$H$40:$H$137)</f>
        <v>219.72</v>
      </c>
      <c r="J4" s="3761">
        <f>SUMPRODUCT(([2]高十指标计算书!$A$40:$A$137=[2]高十楼栋面积表!$B4)*([2]高十指标计算书!$D$40:$D$137=[2]高十楼栋面积表!J$3)*[2]高十指标计算书!$H$40:$H$137)</f>
        <v>0</v>
      </c>
      <c r="K4" s="3757">
        <f>SUMPRODUCT(([2]高十指标计算书!$A$40:$A$137=[2]高十楼栋面积表!$B4)*([2]高十指标计算书!$D$40:$D$137=[2]高十楼栋面积表!K$3)*[2]高十指标计算书!$H$40:$H$137)</f>
        <v>120.41</v>
      </c>
      <c r="L4" s="3757">
        <f>SUMPRODUCT(([2]高十指标计算书!$A$40:$A$137=[2]高十楼栋面积表!$B4)*([2]高十指标计算书!$D$40:$D$137=[2]高十楼栋面积表!L$3)*[2]高十指标计算书!$H$40:$H$137)</f>
        <v>0</v>
      </c>
      <c r="M4" s="3761">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7">
        <f>SUMPRODUCT(([2]高十指标计算书!$A$40:$A$137=[2]高十楼栋面积表!$B4)*([2]高十指标计算书!$D$40:$D$137=[2]高十楼栋面积表!O$3)*[2]高十指标计算书!$H$40:$H$137)</f>
        <v>0</v>
      </c>
      <c r="P4" s="3749"/>
    </row>
    <row r="5" spans="1:16" ht="16.5">
      <c r="A5" s="3749">
        <v>2</v>
      </c>
      <c r="B5" s="3749" t="s">
        <v>3592</v>
      </c>
      <c r="C5" s="3750">
        <f>SUM(E5:O5)</f>
        <v>22521.479999999996</v>
      </c>
      <c r="D5" s="3750">
        <f>C5-J5-L5-M5-N5</f>
        <v>22521.479999999996</v>
      </c>
      <c r="E5" s="3771">
        <f>SUMPRODUCT(([2]高十指标计算书!$A$40:$A$137=[2]高十楼栋面积表!$B5)*([2]高十指标计算书!$D$40:$D$137=[2]高十楼栋面积表!E$3)*[2]高十指标计算书!$H$40:$H$137)</f>
        <v>20522.399999999998</v>
      </c>
      <c r="F5" s="3766">
        <f>SUMPRODUCT(([2]高十指标计算书!$A$40:$A$137=[2]高十楼栋面积表!$B5)*([2]高十指标计算书!$D$40:$D$137=[2]高十楼栋面积表!F$3)*[2]高十指标计算书!$H$40:$H$137)</f>
        <v>1814.1200000000001</v>
      </c>
      <c r="G5" s="3766">
        <f>SUMPRODUCT(([2]高十指标计算书!$A$40:$A$137=[2]高十楼栋面积表!$B5)*([2]高十指标计算书!$D$40:$D$137=[2]高十楼栋面积表!G$3)*[2]高十指标计算书!$H$40:$H$137)</f>
        <v>87.84</v>
      </c>
      <c r="H5" s="3771">
        <f>SUMPRODUCT(([2]高十指标计算书!$A$40:$A$137=[2]高十楼栋面积表!$B5)*([2]高十指标计算书!$D$40:$D$137=[2]高十楼栋面积表!H$3)*[2]高十指标计算书!$H$40:$H$137)</f>
        <v>97.12</v>
      </c>
      <c r="I5" s="3757">
        <f>SUMPRODUCT(([2]高十指标计算书!$A$40:$A$137=[2]高十楼栋面积表!$B5)*([2]高十指标计算书!$D$40:$D$137=[2]高十楼栋面积表!I$3)*[2]高十指标计算书!$H$40:$H$137)</f>
        <v>0</v>
      </c>
      <c r="J5" s="3761">
        <f>SUMPRODUCT(([2]高十指标计算书!$A$40:$A$137=[2]高十楼栋面积表!$B5)*([2]高十指标计算书!$D$40:$D$137=[2]高十楼栋面积表!J$3)*[2]高十指标计算书!$H$40:$H$137)</f>
        <v>0</v>
      </c>
      <c r="K5" s="3757">
        <f>SUMPRODUCT(([2]高十指标计算书!$A$40:$A$137=[2]高十楼栋面积表!$B5)*([2]高十指标计算书!$D$40:$D$137=[2]高十楼栋面积表!K$3)*[2]高十指标计算书!$H$40:$H$137)</f>
        <v>0</v>
      </c>
      <c r="L5" s="3757">
        <f>SUMPRODUCT(([2]高十指标计算书!$A$40:$A$137=[2]高十楼栋面积表!$B5)*([2]高十指标计算书!$D$40:$D$137=[2]高十楼栋面积表!L$3)*[2]高十指标计算书!$H$40:$H$137)</f>
        <v>0</v>
      </c>
      <c r="M5" s="3761">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7">
        <f>SUMPRODUCT(([2]高十指标计算书!$A$40:$A$137=[2]高十楼栋面积表!$B5)*([2]高十指标计算书!$D$40:$D$137=[2]高十楼栋面积表!O$3)*[2]高十指标计算书!$H$40:$H$137)</f>
        <v>0</v>
      </c>
      <c r="P5" s="3749"/>
    </row>
    <row r="6" spans="1:16" s="3194" customFormat="1" ht="16.5">
      <c r="A6" s="3752">
        <v>3</v>
      </c>
      <c r="B6" s="3752" t="s">
        <v>3593</v>
      </c>
      <c r="C6" s="3753">
        <f t="shared" ref="C5:C10" si="0">SUM(E6:O6)</f>
        <v>21328.91</v>
      </c>
      <c r="D6" s="3753">
        <f t="shared" ref="D5:D10" si="1">C6-J6-L6-M6-N6</f>
        <v>20837.73</v>
      </c>
      <c r="E6" s="3771">
        <f>SUMPRODUCT(([2]高十指标计算书!$A$40:$A$137=[2]高十楼栋面积表!$B6)*([2]高十指标计算书!$D$40:$D$137=[2]高十楼栋面积表!E$3)*[2]高十指标计算书!$H$40:$H$137)</f>
        <v>19522.18</v>
      </c>
      <c r="F6" s="3766">
        <f>SUMPRODUCT(([2]高十指标计算书!$A$40:$A$137=[2]高十楼栋面积表!$B6)*([2]高十指标计算书!$D$40:$D$137=[2]高十楼栋面积表!F$3)*[2]高十指标计算书!$H$40:$H$137)</f>
        <v>1147.8699999999999</v>
      </c>
      <c r="G6" s="3766">
        <f>SUMPRODUCT(([2]高十指标计算书!$A$40:$A$137=[2]高十楼栋面积表!$B6)*([2]高十指标计算书!$D$40:$D$137=[2]高十楼栋面积表!G$3)*[2]高十指标计算书!$H$40:$H$137)</f>
        <v>70.56</v>
      </c>
      <c r="H6" s="3771">
        <f>SUMPRODUCT(([2]高十指标计算书!$A$40:$A$137=[2]高十楼栋面积表!$B6)*([2]高十指标计算书!$D$40:$D$137=[2]高十楼栋面积表!H$3)*[2]高十指标计算书!$H$40:$H$137)</f>
        <v>97.12</v>
      </c>
      <c r="I6" s="3754">
        <f>SUMPRODUCT(([2]高十指标计算书!$A$40:$A$137=[2]高十楼栋面积表!$B6)*([2]高十指标计算书!$D$40:$D$137=[2]高十楼栋面积表!I$3)*[2]高十指标计算书!$H$40:$H$137)</f>
        <v>0</v>
      </c>
      <c r="J6" s="3754">
        <f>SUMPRODUCT(([2]高十指标计算书!$A$40:$A$137=[2]高十楼栋面积表!$B6)*([2]高十指标计算书!$D$40:$D$137=[2]高十楼栋面积表!J$3)*[2]高十指标计算书!$H$40:$H$137)</f>
        <v>491.18</v>
      </c>
      <c r="K6" s="3754">
        <f>SUMPRODUCT(([2]高十指标计算书!$A$40:$A$137=[2]高十楼栋面积表!$B6)*([2]高十指标计算书!$D$40:$D$137=[2]高十楼栋面积表!K$3)*[2]高十指标计算书!$H$40:$H$137)</f>
        <v>0</v>
      </c>
      <c r="L6" s="3754">
        <f>SUMPRODUCT(([2]高十指标计算书!$A$40:$A$137=[2]高十楼栋面积表!$B6)*([2]高十指标计算书!$D$40:$D$137=[2]高十楼栋面积表!L$3)*[2]高十指标计算书!$H$40:$H$137)</f>
        <v>0</v>
      </c>
      <c r="M6" s="3754">
        <f>SUMPRODUCT(([2]高十指标计算书!$A$40:$A$137=[2]高十楼栋面积表!$B6)*([2]高十指标计算书!$D$40:$D$137=[2]高十楼栋面积表!M$3)*[2]高十指标计算书!$H$40:$H$137)</f>
        <v>0</v>
      </c>
      <c r="N6" s="3754">
        <f>SUMPRODUCT(([2]高十指标计算书!$A$40:$A$137=[2]高十楼栋面积表!$B6)*([2]高十指标计算书!$D$40:$D$137=[2]高十楼栋面积表!N$3)*[2]高十指标计算书!$H$40:$H$137)</f>
        <v>0</v>
      </c>
      <c r="O6" s="3754">
        <f>SUMPRODUCT(([2]高十指标计算书!$A$40:$A$137=[2]高十楼栋面积表!$B6)*([2]高十指标计算书!$D$40:$D$137=[2]高十楼栋面积表!O$3)*[2]高十指标计算书!$H$40:$H$137)</f>
        <v>0</v>
      </c>
      <c r="P6" s="3752"/>
    </row>
    <row r="7" spans="1:16" s="3194" customFormat="1" ht="16.5">
      <c r="A7" s="3752">
        <v>4</v>
      </c>
      <c r="B7" s="3752" t="s">
        <v>3594</v>
      </c>
      <c r="C7" s="3753">
        <f t="shared" si="0"/>
        <v>21843.019999999997</v>
      </c>
      <c r="D7" s="3753">
        <f t="shared" si="1"/>
        <v>21661.199999999997</v>
      </c>
      <c r="E7" s="3771">
        <f>SUMPRODUCT(([2]高十指标计算书!$A$40:$A$137=[2]高十楼栋面积表!$B7)*([2]高十指标计算书!$D$40:$D$137=[2]高十楼栋面积表!E$3)*[2]高十指标计算书!$H$40:$H$137)</f>
        <v>20199.559999999998</v>
      </c>
      <c r="F7" s="3766">
        <f>SUMPRODUCT(([2]高十指标计算书!$A$40:$A$137=[2]高十楼栋面积表!$B7)*([2]高十指标计算书!$D$40:$D$137=[2]高十楼栋面积表!F$3)*[2]高十指标计算书!$H$40:$H$137)</f>
        <v>1292.8599999999999</v>
      </c>
      <c r="G7" s="3766">
        <f>SUMPRODUCT(([2]高十指标计算书!$A$40:$A$137=[2]高十楼栋面积表!$B7)*([2]高十指标计算书!$D$40:$D$137=[2]高十楼栋面积表!G$3)*[2]高十指标计算书!$H$40:$H$137)</f>
        <v>71.660000000000011</v>
      </c>
      <c r="H7" s="3771">
        <f>SUMPRODUCT(([2]高十指标计算书!$A$40:$A$137=[2]高十楼栋面积表!$B7)*([2]高十指标计算书!$D$40:$D$137=[2]高十楼栋面积表!H$3)*[2]高十指标计算书!$H$40:$H$137)</f>
        <v>97.12</v>
      </c>
      <c r="I7" s="3754">
        <f>SUMPRODUCT(([2]高十指标计算书!$A$40:$A$137=[2]高十楼栋面积表!$B7)*([2]高十指标计算书!$D$40:$D$137=[2]高十楼栋面积表!I$3)*[2]高十指标计算书!$H$40:$H$137)</f>
        <v>0</v>
      </c>
      <c r="J7" s="3754">
        <f>SUMPRODUCT(([2]高十指标计算书!$A$40:$A$137=[2]高十楼栋面积表!$B7)*([2]高十指标计算书!$D$40:$D$137=[2]高十楼栋面积表!J$3)*[2]高十指标计算书!$H$40:$H$137)</f>
        <v>181.82</v>
      </c>
      <c r="K7" s="3754">
        <f>SUMPRODUCT(([2]高十指标计算书!$A$40:$A$137=[2]高十楼栋面积表!$B7)*([2]高十指标计算书!$D$40:$D$137=[2]高十楼栋面积表!K$3)*[2]高十指标计算书!$H$40:$H$137)</f>
        <v>0</v>
      </c>
      <c r="L7" s="3754">
        <f>SUMPRODUCT(([2]高十指标计算书!$A$40:$A$137=[2]高十楼栋面积表!$B7)*([2]高十指标计算书!$D$40:$D$137=[2]高十楼栋面积表!L$3)*[2]高十指标计算书!$H$40:$H$137)</f>
        <v>0</v>
      </c>
      <c r="M7" s="3754">
        <f>SUMPRODUCT(([2]高十指标计算书!$A$40:$A$137=[2]高十楼栋面积表!$B7)*([2]高十指标计算书!$D$40:$D$137=[2]高十楼栋面积表!M$3)*[2]高十指标计算书!$H$40:$H$137)</f>
        <v>0</v>
      </c>
      <c r="N7" s="3754">
        <f>SUMPRODUCT(([2]高十指标计算书!$A$40:$A$137=[2]高十楼栋面积表!$B7)*([2]高十指标计算书!$D$40:$D$137=[2]高十楼栋面积表!N$3)*[2]高十指标计算书!$H$40:$H$137)</f>
        <v>0</v>
      </c>
      <c r="O7" s="3754">
        <f>SUMPRODUCT(([2]高十指标计算书!$A$40:$A$137=[2]高十楼栋面积表!$B7)*([2]高十指标计算书!$D$40:$D$137=[2]高十楼栋面积表!O$3)*[2]高十指标计算书!$H$40:$H$137)</f>
        <v>0</v>
      </c>
      <c r="P7" s="3752"/>
    </row>
    <row r="8" spans="1:16" ht="16.5">
      <c r="A8" s="3749">
        <v>5</v>
      </c>
      <c r="B8" s="3749" t="s">
        <v>3595</v>
      </c>
      <c r="C8" s="3750">
        <f t="shared" si="0"/>
        <v>22469.929999999997</v>
      </c>
      <c r="D8" s="3750">
        <f t="shared" si="1"/>
        <v>22261.889999999996</v>
      </c>
      <c r="E8" s="3771">
        <f>SUMPRODUCT(([2]高十指标计算书!$A$40:$A$137=[2]高十楼栋面积表!$B8)*([2]高十指标计算书!$D$40:$D$137=[2]高十楼栋面积表!E$3)*[2]高十指标计算书!$H$40:$H$137)</f>
        <v>20878.719999999998</v>
      </c>
      <c r="F8" s="3766">
        <f>SUMPRODUCT(([2]高十指标计算书!$A$40:$A$137=[2]高十楼栋面积表!$B8)*([2]高十指标计算书!$D$40:$D$137=[2]高十楼栋面积表!F$3)*[2]高十指标计算书!$H$40:$H$137)</f>
        <v>1211.0899999999999</v>
      </c>
      <c r="G8" s="3766">
        <f>SUMPRODUCT(([2]高十指标计算书!$A$40:$A$137=[2]高十楼栋面积表!$B8)*([2]高十指标计算书!$D$40:$D$137=[2]高十楼栋面积表!G$3)*[2]高十指标计算书!$H$40:$H$137)</f>
        <v>74.960000000000022</v>
      </c>
      <c r="H8" s="3771">
        <f>SUMPRODUCT(([2]高十指标计算书!$A$40:$A$137=[2]高十楼栋面积表!$B8)*([2]高十指标计算书!$D$40:$D$137=[2]高十楼栋面积表!H$3)*[2]高十指标计算书!$H$40:$H$137)</f>
        <v>97.12</v>
      </c>
      <c r="I8" s="3757">
        <f>SUMPRODUCT(([2]高十指标计算书!$A$40:$A$137=[2]高十楼栋面积表!$B8)*([2]高十指标计算书!$D$40:$D$137=[2]高十楼栋面积表!I$3)*[2]高十指标计算书!$H$40:$H$137)</f>
        <v>0</v>
      </c>
      <c r="J8" s="3761">
        <f>SUMPRODUCT(([2]高十指标计算书!$A$40:$A$137=[2]高十楼栋面积表!$B8)*([2]高十指标计算书!$D$40:$D$137=[2]高十楼栋面积表!J$3)*[2]高十指标计算书!$H$40:$H$137)</f>
        <v>208.04</v>
      </c>
      <c r="K8" s="3757">
        <f>SUMPRODUCT(([2]高十指标计算书!$A$40:$A$137=[2]高十楼栋面积表!$B8)*([2]高十指标计算书!$D$40:$D$137=[2]高十楼栋面积表!K$3)*[2]高十指标计算书!$H$40:$H$137)</f>
        <v>0</v>
      </c>
      <c r="L8" s="3757">
        <f>SUMPRODUCT(([2]高十指标计算书!$A$40:$A$137=[2]高十楼栋面积表!$B8)*([2]高十指标计算书!$D$40:$D$137=[2]高十楼栋面积表!L$3)*[2]高十指标计算书!$H$40:$H$137)</f>
        <v>0</v>
      </c>
      <c r="M8" s="3761">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7">
        <f>SUMPRODUCT(([2]高十指标计算书!$A$40:$A$137=[2]高十楼栋面积表!$B8)*([2]高十指标计算书!$D$40:$D$137=[2]高十楼栋面积表!O$3)*[2]高十指标计算书!$H$40:$H$137)</f>
        <v>0</v>
      </c>
      <c r="P8" s="3749"/>
    </row>
    <row r="9" spans="1:16" ht="16.5">
      <c r="A9" s="3749">
        <v>6</v>
      </c>
      <c r="B9" s="3749" t="s">
        <v>3596</v>
      </c>
      <c r="C9" s="3750">
        <f t="shared" si="0"/>
        <v>22378.100000000002</v>
      </c>
      <c r="D9" s="3750">
        <f t="shared" si="1"/>
        <v>22273.980000000003</v>
      </c>
      <c r="E9" s="3771">
        <f>SUMPRODUCT(([2]高十指标计算书!$A$40:$A$137=[2]高十楼栋面积表!$B9)*([2]高十指标计算书!$D$40:$D$137=[2]高十楼栋面积表!E$3)*[2]高十指标计算书!$H$40:$H$137)</f>
        <v>20198.45</v>
      </c>
      <c r="F9" s="3766">
        <f>SUMPRODUCT(([2]高十指标计算书!$A$40:$A$137=[2]高十楼栋面积表!$B9)*([2]高十指标计算书!$D$40:$D$137=[2]高十楼栋面积表!F$3)*[2]高十指标计算书!$H$40:$H$137)</f>
        <v>1353.74</v>
      </c>
      <c r="G9" s="3766">
        <f>SUMPRODUCT(([2]高十指标计算书!$A$40:$A$137=[2]高十楼栋面积表!$B9)*([2]高十指标计算书!$D$40:$D$137=[2]高十楼栋面积表!G$3)*[2]高十指标计算书!$H$40:$H$137)</f>
        <v>71.660000000000011</v>
      </c>
      <c r="H9" s="3771">
        <f>SUMPRODUCT(([2]高十指标计算书!$A$40:$A$137=[2]高十楼栋面积表!$B9)*([2]高十指标计算书!$D$40:$D$137=[2]高十楼栋面积表!H$3)*[2]高十指标计算书!$H$40:$H$137)</f>
        <v>97.12</v>
      </c>
      <c r="I9" s="3757">
        <f>SUMPRODUCT(([2]高十指标计算书!$A$40:$A$137=[2]高十楼栋面积表!$B9)*([2]高十指标计算书!$D$40:$D$137=[2]高十楼栋面积表!I$3)*[2]高十指标计算书!$H$40:$H$137)</f>
        <v>546.61</v>
      </c>
      <c r="J9" s="3761">
        <f>SUMPRODUCT(([2]高十指标计算书!$A$40:$A$137=[2]高十楼栋面积表!$B9)*([2]高十指标计算书!$D$40:$D$137=[2]高十楼栋面积表!J$3)*[2]高十指标计算书!$H$40:$H$137)</f>
        <v>104.12</v>
      </c>
      <c r="K9" s="3757">
        <f>SUMPRODUCT(([2]高十指标计算书!$A$40:$A$137=[2]高十楼栋面积表!$B9)*([2]高十指标计算书!$D$40:$D$137=[2]高十楼栋面积表!K$3)*[2]高十指标计算书!$H$40:$H$137)</f>
        <v>0</v>
      </c>
      <c r="L9" s="3757">
        <f>SUMPRODUCT(([2]高十指标计算书!$A$40:$A$137=[2]高十楼栋面积表!$B9)*([2]高十指标计算书!$D$40:$D$137=[2]高十楼栋面积表!L$3)*[2]高十指标计算书!$H$40:$H$137)</f>
        <v>0</v>
      </c>
      <c r="M9" s="3761">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7">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1">
        <f>SUMPRODUCT(([2]高十指标计算书!$A$40:$A$137=[2]高十楼栋面积表!$B10)*([2]高十指标计算书!$D$40:$D$137=[2]高十楼栋面积表!E$3)*[2]高十指标计算书!$H$40:$H$137)</f>
        <v>0</v>
      </c>
      <c r="F10" s="3767">
        <f>SUMPRODUCT(([2]高十指标计算书!$A$40:$A$137=[2]高十楼栋面积表!$B10)*([2]高十指标计算书!$D$40:$D$137=[2]高十楼栋面积表!F$3)*[2]高十指标计算书!$H$40:$H$137)</f>
        <v>0</v>
      </c>
      <c r="G10" s="3766">
        <f>SUMPRODUCT(([2]高十指标计算书!$A$40:$A$137=[2]高十楼栋面积表!$B10)*([2]高十指标计算书!$D$40:$D$137=[2]高十楼栋面积表!G$3)*[2]高十指标计算书!$H$40:$H$137)</f>
        <v>0</v>
      </c>
      <c r="H10" s="3771">
        <f>SUMPRODUCT(([2]高十指标计算书!$A$40:$A$137=[2]高十楼栋面积表!$B10)*([2]高十指标计算书!$D$40:$D$137=[2]高十楼栋面积表!H$3)*[2]高十指标计算书!$H$40:$H$137)</f>
        <v>0</v>
      </c>
      <c r="I10" s="3757">
        <f>SUMPRODUCT(([2]高十指标计算书!$A$40:$A$137=[2]高十楼栋面积表!$B10)*([2]高十指标计算书!$D$40:$D$137=[2]高十楼栋面积表!I$3)*[2]高十指标计算书!$H$40:$H$137)</f>
        <v>0</v>
      </c>
      <c r="J10" s="3761">
        <f>SUMPRODUCT(([2]高十指标计算书!$A$40:$A$137=[2]高十楼栋面积表!$B10)*([2]高十指标计算书!$D$40:$D$137=[2]高十楼栋面积表!J$3)*[2]高十指标计算书!$H$40:$H$137)</f>
        <v>0</v>
      </c>
      <c r="K10" s="3757">
        <f>SUMPRODUCT(([2]高十指标计算书!$A$40:$A$137=[2]高十楼栋面积表!$B10)*([2]高十指标计算书!$D$40:$D$137=[2]高十楼栋面积表!K$3)*[2]高十指标计算书!$H$40:$H$137)</f>
        <v>0</v>
      </c>
      <c r="L10" s="3757">
        <f>SUMPRODUCT(([2]高十指标计算书!$A$40:$A$137=[2]高十楼栋面积表!$B10)*([2]高十指标计算书!$D$40:$D$137=[2]高十楼栋面积表!L$3)*[2]高十指标计算书!$H$40:$H$137)</f>
        <v>178.33</v>
      </c>
      <c r="M10" s="3761">
        <f>SUMPRODUCT(([2]高十指标计算书!$A$40:$A$137=[2]高十楼栋面积表!$B10)*([2]高十指标计算书!$D$40:$D$137=[2]高十楼栋面积表!M$3)*[2]高十指标计算书!$H$40:$H$137)</f>
        <v>1810.57</v>
      </c>
      <c r="N10" s="3751">
        <f>SUMPRODUCT(([2]高十指标计算书!$A$40:$A$137=[2]高十楼栋面积表!$B10)*([2]高十指标计算书!$D$40:$D$137=[2]高十楼栋面积表!N$3)*[2]高十指标计算书!$H$40:$H$137)</f>
        <v>28598.17</v>
      </c>
      <c r="O10" s="3757">
        <f>SUMPRODUCT(([2]高十指标计算书!$A$40:$A$137=[2]高十楼栋面积表!$B10)*([2]高十指标计算书!$D$40:$D$137=[2]高十楼栋面积表!O$3)*[2]高十指标计算书!$H$40:$H$137)</f>
        <v>0</v>
      </c>
      <c r="P10" s="3749"/>
    </row>
    <row r="11" spans="1:16" ht="33">
      <c r="A11" s="3748" t="s">
        <v>3598</v>
      </c>
      <c r="B11" s="3748">
        <f>SUM(B4:B10)</f>
        <v>0</v>
      </c>
      <c r="C11" s="3748">
        <f>SUM(C4:C10)</f>
        <v>163564.32999999999</v>
      </c>
      <c r="D11" s="3748">
        <f t="shared" ref="C11:O11" si="2">SUM(D4:D10)</f>
        <v>131992.1</v>
      </c>
      <c r="E11" s="3770">
        <f t="shared" si="2"/>
        <v>121440.08</v>
      </c>
      <c r="F11" s="3765">
        <f t="shared" si="2"/>
        <v>8627.82</v>
      </c>
      <c r="G11" s="3765">
        <f t="shared" si="2"/>
        <v>448.34000000000009</v>
      </c>
      <c r="H11" s="3770">
        <f t="shared" si="2"/>
        <v>582.72</v>
      </c>
      <c r="I11" s="3756">
        <f t="shared" si="2"/>
        <v>766.33</v>
      </c>
      <c r="J11" s="3760">
        <f t="shared" si="2"/>
        <v>985.16</v>
      </c>
      <c r="K11" s="3756">
        <f t="shared" si="2"/>
        <v>120.41</v>
      </c>
      <c r="L11" s="3756">
        <f t="shared" si="2"/>
        <v>178.33</v>
      </c>
      <c r="M11" s="3760">
        <f t="shared" si="2"/>
        <v>1810.57</v>
      </c>
      <c r="N11" s="3748">
        <f t="shared" si="2"/>
        <v>28598.17</v>
      </c>
      <c r="O11" s="4171">
        <f t="shared" si="2"/>
        <v>6.4</v>
      </c>
      <c r="P11" s="3748"/>
    </row>
    <row r="12" spans="1:16">
      <c r="A12" t="s">
        <v>3605</v>
      </c>
    </row>
    <row r="13" spans="1:16">
      <c r="A13" t="s">
        <v>3599</v>
      </c>
      <c r="C13" s="3772"/>
      <c r="E13" s="4170">
        <f>ROUND((E11+H11-E6-E7-H6-F13),2)</f>
        <v>82203.94</v>
      </c>
    </row>
    <row r="14" spans="1:16">
      <c r="A14" t="s">
        <v>3600</v>
      </c>
      <c r="C14" s="3768"/>
      <c r="E14" s="3774">
        <f>ROUND((F11+G11-F6-F7-G6-G7),2)</f>
        <v>6493.21</v>
      </c>
    </row>
    <row r="15" spans="1:16">
      <c r="A15" t="s">
        <v>3601</v>
      </c>
      <c r="E15" s="3774">
        <f>ROUND((N11*(D11-D6-D7)/D11),2)</f>
        <v>19390.11</v>
      </c>
    </row>
    <row r="16" spans="1:16">
      <c r="A16" t="s">
        <v>3602</v>
      </c>
      <c r="C16" s="3763"/>
      <c r="E16" s="4170">
        <f>ROUND((I11+K11+L11+O11),2)</f>
        <v>1071.47</v>
      </c>
    </row>
    <row r="17" spans="1:5">
      <c r="E17" s="3774"/>
    </row>
    <row r="18" spans="1:5">
      <c r="A18" t="s">
        <v>3603</v>
      </c>
      <c r="C18" s="3762"/>
      <c r="E18" s="4170">
        <f>ROUND((J11+M11-J6-J7),2)</f>
        <v>2122.73</v>
      </c>
    </row>
    <row r="19" spans="1:5">
      <c r="A19" t="s">
        <v>3604</v>
      </c>
      <c r="E19" s="3774">
        <f>ROUND((E13+E14+E15+E16+E18),2)</f>
        <v>111281.46</v>
      </c>
    </row>
    <row r="20" spans="1:5">
      <c r="E20" s="3773"/>
    </row>
    <row r="21" spans="1:5">
      <c r="A21" s="3775" t="s">
        <v>3606</v>
      </c>
      <c r="C21" s="4169"/>
      <c r="E21" s="3773">
        <f>D11-D6-D7</f>
        <v>89493.170000000013</v>
      </c>
    </row>
    <row r="22" spans="1:5">
      <c r="C22" s="4169"/>
    </row>
  </sheetData>
  <mergeCells count="1">
    <mergeCell ref="A1:P1"/>
  </mergeCells>
  <phoneticPr fontId="28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50" t="s">
        <v>203</v>
      </c>
      <c r="B2" s="3950"/>
      <c r="C2" s="3950"/>
      <c r="D2" s="1958" t="s">
        <v>204</v>
      </c>
      <c r="E2" s="106" t="s">
        <v>205</v>
      </c>
      <c r="F2" s="1967"/>
      <c r="G2" s="1193"/>
      <c r="H2" s="1194"/>
      <c r="I2" s="1195" t="s">
        <v>857</v>
      </c>
      <c r="J2" s="1967"/>
      <c r="K2" s="1967"/>
      <c r="L2" s="1967"/>
    </row>
    <row r="3" spans="1:16" ht="15.75" thickBot="1">
      <c r="A3" s="3951" t="s">
        <v>206</v>
      </c>
      <c r="B3" s="3951"/>
      <c r="C3" s="3951"/>
      <c r="D3" s="107">
        <f>'数据-基础表'!AY6</f>
        <v>20122.04</v>
      </c>
      <c r="E3" s="107">
        <f>'数据-基础表'!AZ5</f>
        <v>111281.46</v>
      </c>
      <c r="F3" s="1967"/>
      <c r="G3" s="279" t="s">
        <v>858</v>
      </c>
      <c r="H3" s="274" t="s">
        <v>859</v>
      </c>
      <c r="I3" s="1959">
        <f>ROUND('数据-基础表'!B3/'数据-基础表'!A3,2)</f>
        <v>5.53</v>
      </c>
      <c r="J3" s="1967"/>
      <c r="K3" s="1967"/>
      <c r="L3" s="1967"/>
    </row>
    <row r="4" spans="1:16" ht="15">
      <c r="A4" s="3952"/>
      <c r="B4" s="3953"/>
      <c r="C4" s="3954"/>
      <c r="D4" s="108" t="s">
        <v>204</v>
      </c>
      <c r="E4" s="109" t="s">
        <v>205</v>
      </c>
      <c r="F4" s="1967"/>
      <c r="G4" s="1196"/>
      <c r="H4" s="274" t="s">
        <v>860</v>
      </c>
      <c r="I4" s="1959">
        <f>ROUND(SUMIF('数据-基础表'!I9:AS9,"地上",'数据-基础表'!I5:AS5)/'数据-基础表'!A3,2)</f>
        <v>4.57</v>
      </c>
      <c r="J4" s="1967"/>
      <c r="K4" s="1967"/>
      <c r="L4" s="1967"/>
    </row>
    <row r="5" spans="1:16">
      <c r="A5" s="110" t="s">
        <v>207</v>
      </c>
      <c r="B5" s="3955" t="s">
        <v>230</v>
      </c>
      <c r="C5" s="3955"/>
      <c r="D5" s="111">
        <f>ROUND($D$3*E5/$E$3,2)</f>
        <v>14864.21</v>
      </c>
      <c r="E5" s="112">
        <f>SUMIF('数据-基础表'!$11:$11,"住宅",'数据-基础表'!$5:$5)</f>
        <v>82203.94</v>
      </c>
      <c r="F5" s="1967"/>
      <c r="G5" s="279" t="s">
        <v>861</v>
      </c>
      <c r="H5" s="274" t="s">
        <v>859</v>
      </c>
      <c r="I5" s="1959">
        <f>ROUND(E31/D31,2)</f>
        <v>5.53</v>
      </c>
      <c r="J5" s="1967"/>
      <c r="K5" s="1967"/>
      <c r="L5" s="1967"/>
    </row>
    <row r="6" spans="1:16" ht="15" thickBot="1">
      <c r="A6" s="113"/>
      <c r="B6" s="3955" t="s">
        <v>208</v>
      </c>
      <c r="C6" s="3955"/>
      <c r="D6" s="111">
        <f>ROUND($D$3*E6/$E$3,2)</f>
        <v>5257.83</v>
      </c>
      <c r="E6" s="112">
        <f>E3-E5</f>
        <v>29077.520000000004</v>
      </c>
      <c r="F6" s="1967"/>
      <c r="G6" s="1196"/>
      <c r="H6" s="274" t="s">
        <v>860</v>
      </c>
      <c r="I6" s="1959">
        <f>ROUND(F31/D31,2)</f>
        <v>4.57</v>
      </c>
      <c r="J6" s="1967"/>
      <c r="K6" s="1967"/>
      <c r="L6" s="1967"/>
    </row>
    <row r="7" spans="1:16" ht="15">
      <c r="A7" s="3947"/>
      <c r="B7" s="3948"/>
      <c r="C7" s="3949"/>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16038.32</v>
      </c>
      <c r="E8" s="116">
        <f>SUMIF('数据-基础表'!BB10:BK10,"地上",'数据-基础表'!BB5:BK5)</f>
        <v>88697.150000000009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3506.14</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19544.46</v>
      </c>
      <c r="E16" s="120">
        <f>SUM(E8:E15)</f>
        <v>108087.26000000001</v>
      </c>
      <c r="F16" s="1967"/>
      <c r="G16" s="1969"/>
      <c r="H16" s="967" t="s">
        <v>219</v>
      </c>
      <c r="I16" s="968"/>
      <c r="J16" s="1967"/>
      <c r="K16" s="3941" t="s">
        <v>2565</v>
      </c>
      <c r="L16" s="3942"/>
      <c r="M16" s="3942"/>
      <c r="N16" s="3942"/>
      <c r="O16" s="3942"/>
      <c r="P16" s="3943"/>
    </row>
    <row r="17" spans="1:19" ht="15">
      <c r="A17" s="121" t="s">
        <v>216</v>
      </c>
      <c r="B17" s="122" t="s">
        <v>217</v>
      </c>
      <c r="C17" s="2281" t="s">
        <v>2313</v>
      </c>
      <c r="D17" s="108" t="s">
        <v>204</v>
      </c>
      <c r="E17" s="124" t="s">
        <v>205</v>
      </c>
      <c r="F17" s="125"/>
      <c r="G17" s="1361"/>
      <c r="H17" s="969" t="s">
        <v>218</v>
      </c>
      <c r="I17" s="970" t="s">
        <v>2312</v>
      </c>
      <c r="J17" s="1967"/>
      <c r="K17" s="3944" t="s">
        <v>2566</v>
      </c>
      <c r="L17" s="3945"/>
      <c r="M17" s="3946"/>
      <c r="N17" s="3944" t="s">
        <v>2567</v>
      </c>
      <c r="O17" s="3945"/>
      <c r="P17" s="3946"/>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14864.21</v>
      </c>
      <c r="E19" s="134">
        <f t="shared" ref="E19:E26" si="2">SUM(F19:G19)</f>
        <v>82203.94</v>
      </c>
      <c r="F19" s="135">
        <f>'数据-基础表'!I13</f>
        <v>82203.94</v>
      </c>
      <c r="G19" s="1363"/>
      <c r="H19" s="973">
        <f>ROUND($D$3*I19/$E$3,2)</f>
        <v>485.66</v>
      </c>
      <c r="I19" s="116">
        <f>IF($I$17="自定义",P19,M19)</f>
        <v>2685.88</v>
      </c>
      <c r="J19" s="1967"/>
      <c r="K19" s="2570">
        <f t="shared" ref="K19:K26" si="3">ROUND(E$28*E19/E$27,2)</f>
        <v>1614.41</v>
      </c>
      <c r="L19" s="274">
        <f t="shared" ref="L19:L26" si="4">ROUND(IF(COUNTIF(C19,"*住宅*")&gt;0,E$29*E19/E$32,0),2)</f>
        <v>1071.47</v>
      </c>
      <c r="M19" s="2571">
        <f>K19+L19</f>
        <v>2685.88</v>
      </c>
      <c r="N19" s="2572"/>
      <c r="O19" s="2573"/>
      <c r="P19" s="2574">
        <f>N19+O19</f>
        <v>0</v>
      </c>
      <c r="R19" s="274">
        <f t="shared" ref="R19:S26" si="5">D19+H19</f>
        <v>15349.869999999999</v>
      </c>
      <c r="S19" s="2284">
        <f t="shared" si="5"/>
        <v>84889.82</v>
      </c>
    </row>
    <row r="20" spans="1:19">
      <c r="A20" s="138"/>
      <c r="B20" s="115" t="s">
        <v>226</v>
      </c>
      <c r="C20" s="2974" t="s">
        <v>3003</v>
      </c>
      <c r="D20" s="111">
        <f t="shared" si="1"/>
        <v>1174.1099999999999</v>
      </c>
      <c r="E20" s="134">
        <f t="shared" si="2"/>
        <v>6493.21</v>
      </c>
      <c r="F20" s="135">
        <f>'数据-基础表'!K13</f>
        <v>6493.21</v>
      </c>
      <c r="G20" s="1363"/>
      <c r="H20" s="973">
        <f t="shared" ref="H20:H26" si="6">ROUND($D$3*I20/$E$3,2)</f>
        <v>23.06</v>
      </c>
      <c r="I20" s="116">
        <f t="shared" ref="I20:I26" si="7">IF($I$17="自定义",P20,M20)</f>
        <v>127.52</v>
      </c>
      <c r="J20" s="1967"/>
      <c r="K20" s="2570">
        <f t="shared" si="3"/>
        <v>127.52</v>
      </c>
      <c r="L20" s="274">
        <f t="shared" si="4"/>
        <v>0</v>
      </c>
      <c r="M20" s="2571">
        <f t="shared" ref="M20:M26" si="8">K20+L20</f>
        <v>127.52</v>
      </c>
      <c r="N20" s="2572"/>
      <c r="O20" s="2573"/>
      <c r="P20" s="2574">
        <f t="shared" ref="P20:P26" si="9">N20+O20</f>
        <v>0</v>
      </c>
      <c r="R20" s="274">
        <f t="shared" si="5"/>
        <v>1197.1699999999998</v>
      </c>
      <c r="S20" s="2284">
        <f t="shared" si="5"/>
        <v>6620.7300000000005</v>
      </c>
    </row>
    <row r="21" spans="1:19">
      <c r="A21" s="138"/>
      <c r="B21" s="115" t="s">
        <v>226</v>
      </c>
      <c r="C21" s="2974" t="s">
        <v>3004</v>
      </c>
      <c r="D21" s="111">
        <f t="shared" si="1"/>
        <v>3506.14</v>
      </c>
      <c r="E21" s="134">
        <f t="shared" si="2"/>
        <v>19390.11</v>
      </c>
      <c r="F21" s="135"/>
      <c r="G21" s="1363">
        <f>'数据-基础表'!M13</f>
        <v>19390.11</v>
      </c>
      <c r="H21" s="973">
        <f t="shared" si="6"/>
        <v>68.86</v>
      </c>
      <c r="I21" s="116">
        <f t="shared" si="7"/>
        <v>380.8</v>
      </c>
      <c r="J21" s="1967"/>
      <c r="K21" s="2570">
        <f t="shared" si="3"/>
        <v>380.8</v>
      </c>
      <c r="L21" s="274">
        <f t="shared" si="4"/>
        <v>0</v>
      </c>
      <c r="M21" s="2571">
        <f t="shared" si="8"/>
        <v>380.8</v>
      </c>
      <c r="N21" s="2572"/>
      <c r="O21" s="2573"/>
      <c r="P21" s="2574">
        <f t="shared" si="9"/>
        <v>0</v>
      </c>
      <c r="R21" s="274">
        <f t="shared" si="5"/>
        <v>3575</v>
      </c>
      <c r="S21" s="2284">
        <f t="shared" si="5"/>
        <v>19770.91</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19544.46</v>
      </c>
      <c r="E27" s="143">
        <f>IF(SUM(E19:E26)='数据-基础表'!BA5,SUM(E19:E26),IF(F27="地上面积有误","面积有误","地下面积有误"))</f>
        <v>108087.26000000001</v>
      </c>
      <c r="F27" s="134">
        <f>IF(SUM(F19:F26)=E8,SUM(F19:F26),"地上面积有误")</f>
        <v>88697.150000000009</v>
      </c>
      <c r="G27" s="112">
        <f>SUM(G19:G26)</f>
        <v>19390.11</v>
      </c>
      <c r="H27" s="974">
        <f>SUM(H19:H26)</f>
        <v>577.58000000000004</v>
      </c>
      <c r="I27" s="975">
        <f>SUM(I19:I26)</f>
        <v>3194.2000000000003</v>
      </c>
      <c r="J27" s="1967"/>
      <c r="K27" s="2579">
        <f>SUM(K19:K26)</f>
        <v>2122.73</v>
      </c>
      <c r="L27" s="2580">
        <f>SUM(L19:L26)</f>
        <v>1071.47</v>
      </c>
      <c r="M27" s="2581">
        <f>SUM(M19:M26)</f>
        <v>3194.2000000000003</v>
      </c>
      <c r="N27" s="2579">
        <f t="shared" ref="N27:O27" si="10">SUM(N19:N26)</f>
        <v>0</v>
      </c>
      <c r="O27" s="2580">
        <f t="shared" si="10"/>
        <v>0</v>
      </c>
      <c r="P27" s="2582">
        <f>SUM(P19:P26)</f>
        <v>0</v>
      </c>
      <c r="R27" s="2288">
        <f>IF(SUM(R19:R26)=$D$3,SUM(R19:R26),SUM(R19:R26)&amp;"误差"&amp;ROUND(SUM(R19:R26)-$D$3,2))</f>
        <v>20122.039999999997</v>
      </c>
      <c r="S27" s="274">
        <f>IF(SUM(S19:S26)=$E$3,SUM(S19:S26),SUM(S19:S26)&amp;"误差"&amp;ROUND(SUM(S19:S26)-E3,2))</f>
        <v>111281.46</v>
      </c>
    </row>
    <row r="28" spans="1:19">
      <c r="A28" s="138"/>
      <c r="B28" s="115" t="s">
        <v>227</v>
      </c>
      <c r="C28" s="136" t="s">
        <v>228</v>
      </c>
      <c r="D28" s="111">
        <f>ROUND($D$3*E28/$E$3,2)</f>
        <v>383.83</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193.74</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577.56999999999994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20122.03</v>
      </c>
      <c r="E31" s="1367">
        <f>E27+E30</f>
        <v>111281.46</v>
      </c>
      <c r="F31" s="1368">
        <f>F27+F30</f>
        <v>91891.35</v>
      </c>
      <c r="G31" s="1369">
        <f>G27+G30</f>
        <v>19390.11</v>
      </c>
      <c r="H31" s="1967"/>
      <c r="I31" s="1967"/>
      <c r="J31" s="1967"/>
      <c r="K31" s="1967"/>
      <c r="L31" s="1967"/>
    </row>
    <row r="32" spans="1:19">
      <c r="A32" s="1967"/>
      <c r="B32" s="2325" t="s">
        <v>2321</v>
      </c>
      <c r="C32" s="2609"/>
      <c r="D32" s="1196"/>
      <c r="E32" s="1196">
        <f>SUMIF(C19:C26,"*住宅*",E19:E26)</f>
        <v>82203.94</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82203.94</v>
      </c>
      <c r="L6" s="3327">
        <v>1800</v>
      </c>
      <c r="M6" s="177">
        <f t="shared" ref="M6:M14" si="0">ROUND(K6*L6/10000,0)</f>
        <v>14797</v>
      </c>
      <c r="N6" s="2976">
        <v>0</v>
      </c>
      <c r="O6" s="177">
        <f>IF($N$5="成新度","——",ROUND(M6*N6,0))</f>
        <v>0</v>
      </c>
      <c r="P6" s="178">
        <f>IF($N$5="成新度","——",M6-O6)</f>
        <v>14797</v>
      </c>
      <c r="Q6" s="3328">
        <v>0.15</v>
      </c>
      <c r="R6" s="179">
        <f>SUMIF('数据-汇总表'!C$19:C$33,A6,'数据-汇总表'!R$19:R$33)</f>
        <v>15349.869999999999</v>
      </c>
      <c r="S6" s="132">
        <f>IF('数据-汇总表'!$I$17="按面积比例",SUMIF('数据-汇总表'!C$19:C$33,A6,'数据-汇总表'!K$19:K$33),SUMIF('数据-汇总表'!C$19:C$33,A6,'数据-汇总表'!N$19:N$33))</f>
        <v>1614.41</v>
      </c>
      <c r="T6" s="2217">
        <f>IF($T$4="按面积比例",IF(ISERROR(ROUND($M$14*S6/S$16,0)),"0",ROUND($M$14*S6/S$16,0)),"需自行计算录入")</f>
        <v>291</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1197.1699999999998</v>
      </c>
      <c r="S7" s="132">
        <f>IF('数据-汇总表'!$I$17="按面积比例",SUMIF('数据-汇总表'!C$19:C$33,A7,'数据-汇总表'!K$19:K$33),SUMIF('数据-汇总表'!C$19:C$33,A7,'数据-汇总表'!N$19:N$33))</f>
        <v>127.52</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3575</v>
      </c>
      <c r="S8" s="132">
        <f>IF('数据-汇总表'!$I$17="按面积比例",SUMIF('数据-汇总表'!C$19:C$33,A8,'数据-汇总表'!K$19:K$33),SUMIF('数据-汇总表'!C$19:C$33,A8,'数据-汇总表'!N$19:N$33))</f>
        <v>380.8</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111281.46</v>
      </c>
      <c r="L16" s="206">
        <f>ROUND(M16*10000/SUM(K6:K14),0)</f>
        <v>1800</v>
      </c>
      <c r="M16" s="206">
        <f>SUM(M6:M14)</f>
        <v>19838</v>
      </c>
      <c r="N16" s="207">
        <f>ROUND(SUMPRODUCT(M6:M14,N6:N14)/M16,3)</f>
        <v>0</v>
      </c>
      <c r="O16" s="206">
        <f>SUM(O6:O14)</f>
        <v>0</v>
      </c>
      <c r="P16" s="206">
        <f>SUM(P6:P14)</f>
        <v>19838</v>
      </c>
      <c r="Q16" s="208">
        <f>ROUND(SUMPRODUCT(Q6:Q13,K6:K13)/SUMPRODUCT((Q6:Q13&gt;0)*(K6:K13)),2)</f>
        <v>0.13</v>
      </c>
      <c r="R16" s="2294">
        <f>SUM(R6:R13)</f>
        <v>20122.039999999997</v>
      </c>
      <c r="S16" s="209">
        <f>SUM(S6:S13)</f>
        <v>2122.73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56" t="s">
        <v>1663</v>
      </c>
      <c r="B1" s="3957"/>
      <c r="C1" s="3957"/>
      <c r="D1" s="3957"/>
      <c r="E1" s="3957"/>
      <c r="F1" s="3957"/>
      <c r="G1" s="3957"/>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I15"/>
    </sheetView>
  </sheetViews>
  <sheetFormatPr defaultColWidth="14.625" defaultRowHeight="13.5"/>
  <cols>
    <col min="1" max="1" width="24.375" customWidth="1"/>
  </cols>
  <sheetData>
    <row r="1" spans="1:9" ht="16.5">
      <c r="A1" s="2993" t="s">
        <v>2843</v>
      </c>
      <c r="B1" s="2993">
        <f>SUM(B14:B23)</f>
        <v>173172.69</v>
      </c>
      <c r="C1" s="2994"/>
      <c r="D1" s="2994"/>
      <c r="E1" s="2994"/>
      <c r="F1" s="2994"/>
    </row>
    <row r="2" spans="1:9" ht="16.5">
      <c r="A2" s="2993" t="s">
        <v>2844</v>
      </c>
      <c r="B2" s="2993">
        <f>SUM(C14:C23)</f>
        <v>46103.41</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f ca="1">SUM(D14:D23)</f>
        <v>24537</v>
      </c>
      <c r="C5" s="2993">
        <f ca="1">ROUND(B5*10000/$B$1,0)</f>
        <v>1417</v>
      </c>
      <c r="D5" s="2993">
        <f ca="1">ROUND(B5*10000/$B$2,0)</f>
        <v>5322</v>
      </c>
      <c r="E5" s="2994"/>
      <c r="F5" s="2994"/>
    </row>
    <row r="6" spans="1:9" ht="16.5">
      <c r="A6" s="2993" t="s">
        <v>2851</v>
      </c>
      <c r="B6" s="2993">
        <f ca="1">SUM(G14:G23)</f>
        <v>24537</v>
      </c>
      <c r="C6" s="2993">
        <f t="shared" ref="C6:C8" ca="1" si="0">ROUND(B6*10000/$B$1,0)</f>
        <v>1417</v>
      </c>
      <c r="D6" s="2993">
        <f t="shared" ref="D6:D8" ca="1" si="1">ROUND(B6*10000/$B$2,0)</f>
        <v>5322</v>
      </c>
      <c r="E6" s="2994"/>
      <c r="F6" s="2994"/>
    </row>
    <row r="7" spans="1:9" ht="16.5">
      <c r="A7" s="2993" t="s">
        <v>2852</v>
      </c>
      <c r="B7" s="2993">
        <f>SUM(H14:H23)</f>
        <v>0</v>
      </c>
      <c r="C7" s="2993">
        <f t="shared" si="0"/>
        <v>0</v>
      </c>
      <c r="D7" s="2993">
        <f t="shared" si="1"/>
        <v>0</v>
      </c>
      <c r="E7" s="2994"/>
      <c r="F7" s="2994"/>
    </row>
    <row r="8" spans="1:9" ht="16.5">
      <c r="A8" s="2993" t="s">
        <v>2853</v>
      </c>
      <c r="B8" s="2993">
        <f ca="1">SUM(I14:I23)</f>
        <v>18630</v>
      </c>
      <c r="C8" s="2993">
        <f t="shared" ca="1" si="0"/>
        <v>1076</v>
      </c>
      <c r="D8" s="2993">
        <f t="shared" ca="1" si="1"/>
        <v>4041</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111281.46</v>
      </c>
      <c r="C14" s="2997">
        <f>结果表!K38</f>
        <v>20122.04</v>
      </c>
      <c r="D14" s="2997">
        <f ca="1">结果表!C42</f>
        <v>14372</v>
      </c>
      <c r="E14" s="2997">
        <f ca="1">ROUND(D14*10000/B14,0)</f>
        <v>1291</v>
      </c>
      <c r="F14" s="2997">
        <f ca="1">ROUND(D14*10000/C14,0)</f>
        <v>7142</v>
      </c>
      <c r="G14" s="2997">
        <f ca="1">结果表!C44</f>
        <v>14372</v>
      </c>
      <c r="H14" s="2997" t="str">
        <f>结果表!C45</f>
        <v>——</v>
      </c>
      <c r="I14" s="2997">
        <f ca="1">结果表!C46</f>
        <v>10178</v>
      </c>
    </row>
    <row r="15" spans="1:9" ht="16.5">
      <c r="A15" s="3000" t="s">
        <v>2860</v>
      </c>
      <c r="B15" s="3742">
        <f>[3]系统读取表!$B$14</f>
        <v>61891.23</v>
      </c>
      <c r="C15" s="3743">
        <f>'[4]数据-基础表'!$A$3</f>
        <v>25981.37</v>
      </c>
      <c r="D15" s="3742">
        <f>[5]系统读取表!$D$14</f>
        <v>10165</v>
      </c>
      <c r="E15" s="2997">
        <f t="shared" ref="E15:E23" si="2">ROUND(D15*10000/B15,0)</f>
        <v>1642</v>
      </c>
      <c r="F15" s="2997">
        <f t="shared" ref="F15:F23" si="3">ROUND(D15*10000/C15,0)</f>
        <v>3912</v>
      </c>
      <c r="G15" s="3744">
        <f>D15</f>
        <v>10165</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776" t="str">
        <f>项目基本情况!B1</f>
        <v>出让国有建设用地使用权抵押价格预评估</v>
      </c>
      <c r="C37" s="3776"/>
      <c r="D37" s="3776"/>
      <c r="E37" s="3776"/>
      <c r="F37" s="3776"/>
      <c r="G37" s="3776"/>
      <c r="H37" s="3776"/>
      <c r="I37" s="377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3994" t="str">
        <f>项目基本情况!K2</f>
        <v>出让国有建设用地使用权</v>
      </c>
      <c r="B2" s="3995"/>
      <c r="C2" s="3996"/>
      <c r="D2" s="3996"/>
      <c r="E2" s="3996"/>
      <c r="F2" s="3996"/>
      <c r="G2" s="3995"/>
      <c r="H2" s="3995"/>
      <c r="I2" s="3997"/>
      <c r="J2" s="2013"/>
      <c r="K2" s="2012"/>
      <c r="L2" s="2012"/>
      <c r="M2" s="2012"/>
      <c r="N2" s="2012"/>
      <c r="O2" s="2012"/>
      <c r="P2" s="2012"/>
      <c r="Q2" s="2012"/>
      <c r="R2" s="2012"/>
      <c r="S2" s="2012"/>
      <c r="T2" s="2012"/>
      <c r="U2" s="2012"/>
      <c r="V2" s="2012"/>
    </row>
    <row r="3" spans="1:22" ht="14.25">
      <c r="A3" s="3987" t="s">
        <v>298</v>
      </c>
      <c r="B3" s="3988"/>
      <c r="C3" s="3988"/>
      <c r="D3" s="3988"/>
      <c r="E3" s="3988"/>
      <c r="F3" s="3988"/>
      <c r="G3" s="3988"/>
      <c r="H3" s="3988"/>
      <c r="I3" s="3988"/>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59" t="s">
        <v>301</v>
      </c>
      <c r="F4" s="3960"/>
      <c r="G4" s="3960"/>
      <c r="H4" s="3960"/>
      <c r="I4" s="3989"/>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958" t="s">
        <v>302</v>
      </c>
      <c r="B5" s="3984">
        <v>25</v>
      </c>
      <c r="C5" s="3982"/>
      <c r="D5" s="3986"/>
      <c r="E5" s="260" t="s">
        <v>303</v>
      </c>
      <c r="F5" s="261"/>
      <c r="G5" s="261"/>
      <c r="H5" s="261"/>
      <c r="I5" s="262"/>
      <c r="J5" s="2013"/>
      <c r="K5" s="2012"/>
      <c r="L5" s="2012"/>
      <c r="M5" s="2012"/>
      <c r="N5" s="2012"/>
      <c r="O5" s="2012"/>
      <c r="P5" s="2012"/>
      <c r="Q5" s="2012"/>
      <c r="R5" s="2012"/>
      <c r="S5" s="2012"/>
      <c r="T5" s="2012"/>
      <c r="U5" s="2012"/>
      <c r="V5" s="2012"/>
    </row>
    <row r="6" spans="1:22" ht="14.25">
      <c r="A6" s="3958"/>
      <c r="B6" s="3984"/>
      <c r="C6" s="3985"/>
      <c r="D6" s="3986"/>
      <c r="E6" s="260" t="s">
        <v>304</v>
      </c>
      <c r="F6" s="261"/>
      <c r="G6" s="261"/>
      <c r="H6" s="261"/>
      <c r="I6" s="262"/>
      <c r="J6" s="2013"/>
      <c r="K6" s="2012"/>
      <c r="L6" s="2012"/>
      <c r="M6" s="2012"/>
      <c r="N6" s="2012"/>
      <c r="O6" s="2012"/>
      <c r="P6" s="2012"/>
      <c r="Q6" s="2012"/>
      <c r="R6" s="2012"/>
      <c r="S6" s="2012"/>
      <c r="T6" s="2012"/>
      <c r="U6" s="2012"/>
      <c r="V6" s="2012"/>
    </row>
    <row r="7" spans="1:22" ht="14.25">
      <c r="A7" s="3958"/>
      <c r="B7" s="3984"/>
      <c r="C7" s="3983"/>
      <c r="D7" s="3986"/>
      <c r="E7" s="260" t="s">
        <v>305</v>
      </c>
      <c r="F7" s="261"/>
      <c r="G7" s="261"/>
      <c r="H7" s="261"/>
      <c r="I7" s="262"/>
      <c r="J7" s="2013"/>
      <c r="K7" s="2012"/>
      <c r="L7" s="2012"/>
      <c r="M7" s="2012"/>
      <c r="N7" s="2012"/>
      <c r="O7" s="2012"/>
      <c r="P7" s="2012"/>
      <c r="Q7" s="2012"/>
      <c r="R7" s="2012"/>
      <c r="S7" s="2012"/>
      <c r="T7" s="2012"/>
      <c r="U7" s="2012"/>
      <c r="V7" s="2012"/>
    </row>
    <row r="8" spans="1:22" ht="14.25">
      <c r="A8" s="3958" t="s">
        <v>306</v>
      </c>
      <c r="B8" s="3984">
        <v>15</v>
      </c>
      <c r="C8" s="3982"/>
      <c r="D8" s="3986"/>
      <c r="E8" s="260" t="s">
        <v>307</v>
      </c>
      <c r="F8" s="261"/>
      <c r="G8" s="261"/>
      <c r="H8" s="261"/>
      <c r="I8" s="262"/>
      <c r="J8" s="2013"/>
      <c r="K8" s="2012"/>
      <c r="L8" s="2012"/>
      <c r="M8" s="2012"/>
      <c r="N8" s="2012"/>
      <c r="O8" s="2012"/>
      <c r="P8" s="2012"/>
      <c r="Q8" s="2012"/>
      <c r="R8" s="2012"/>
      <c r="S8" s="2012"/>
      <c r="T8" s="2012"/>
      <c r="U8" s="2012"/>
      <c r="V8" s="2012"/>
    </row>
    <row r="9" spans="1:22" ht="14.25">
      <c r="A9" s="3958"/>
      <c r="B9" s="3984"/>
      <c r="C9" s="3983"/>
      <c r="D9" s="3986"/>
      <c r="E9" s="260" t="s">
        <v>308</v>
      </c>
      <c r="F9" s="261"/>
      <c r="G9" s="261"/>
      <c r="H9" s="261"/>
      <c r="I9" s="262"/>
      <c r="J9" s="2013"/>
      <c r="K9" s="2012"/>
      <c r="L9" s="2012"/>
      <c r="M9" s="2012"/>
      <c r="N9" s="2012"/>
      <c r="O9" s="2012"/>
      <c r="P9" s="2012"/>
      <c r="Q9" s="2012"/>
      <c r="R9" s="2012"/>
      <c r="S9" s="2012"/>
      <c r="T9" s="2012"/>
      <c r="U9" s="2012"/>
      <c r="V9" s="2012"/>
    </row>
    <row r="10" spans="1:22" ht="14.25">
      <c r="A10" s="3958" t="s">
        <v>309</v>
      </c>
      <c r="B10" s="3984">
        <v>15</v>
      </c>
      <c r="C10" s="3982"/>
      <c r="D10" s="3986"/>
      <c r="E10" s="260" t="s">
        <v>310</v>
      </c>
      <c r="F10" s="261"/>
      <c r="G10" s="261"/>
      <c r="H10" s="261"/>
      <c r="I10" s="262"/>
      <c r="J10" s="2013"/>
      <c r="K10" s="2012"/>
      <c r="L10" s="2012"/>
      <c r="M10" s="2012"/>
      <c r="N10" s="2012"/>
      <c r="O10" s="2012"/>
      <c r="P10" s="2012"/>
      <c r="Q10" s="2012"/>
      <c r="R10" s="2012"/>
      <c r="S10" s="2012"/>
      <c r="T10" s="2012"/>
      <c r="U10" s="2012"/>
      <c r="V10" s="2012"/>
    </row>
    <row r="11" spans="1:22" ht="14.25">
      <c r="A11" s="3958"/>
      <c r="B11" s="3984"/>
      <c r="C11" s="3983"/>
      <c r="D11" s="3986"/>
      <c r="E11" s="260" t="s">
        <v>311</v>
      </c>
      <c r="F11" s="261"/>
      <c r="G11" s="261"/>
      <c r="H11" s="261"/>
      <c r="I11" s="262"/>
      <c r="J11" s="2013"/>
      <c r="K11" s="2012"/>
      <c r="L11" s="2012"/>
      <c r="M11" s="2012"/>
      <c r="N11" s="2012"/>
      <c r="O11" s="2012"/>
      <c r="P11" s="2012"/>
      <c r="Q11" s="2012"/>
      <c r="R11" s="2012"/>
      <c r="S11" s="2012"/>
      <c r="T11" s="2012"/>
      <c r="U11" s="2012"/>
      <c r="V11" s="2012"/>
    </row>
    <row r="12" spans="1:22" ht="14.25">
      <c r="A12" s="3958" t="s">
        <v>312</v>
      </c>
      <c r="B12" s="3984">
        <v>15</v>
      </c>
      <c r="C12" s="3982"/>
      <c r="D12" s="3986"/>
      <c r="E12" s="260" t="s">
        <v>313</v>
      </c>
      <c r="F12" s="261"/>
      <c r="G12" s="261"/>
      <c r="H12" s="261"/>
      <c r="I12" s="262"/>
      <c r="J12" s="2013"/>
      <c r="K12" s="2012"/>
      <c r="L12" s="2012"/>
      <c r="M12" s="2012"/>
      <c r="N12" s="2012"/>
      <c r="O12" s="2012"/>
      <c r="P12" s="2012"/>
      <c r="Q12" s="2012"/>
      <c r="R12" s="2012"/>
      <c r="S12" s="2012"/>
      <c r="T12" s="2012"/>
      <c r="U12" s="2012"/>
      <c r="V12" s="2012"/>
    </row>
    <row r="13" spans="1:22" ht="14.25">
      <c r="A13" s="3958"/>
      <c r="B13" s="3984"/>
      <c r="C13" s="3983"/>
      <c r="D13" s="3986"/>
      <c r="E13" s="260" t="s">
        <v>314</v>
      </c>
      <c r="F13" s="261"/>
      <c r="G13" s="261"/>
      <c r="H13" s="261"/>
      <c r="I13" s="262"/>
      <c r="J13" s="2013"/>
      <c r="K13" s="2012"/>
      <c r="L13" s="2012"/>
      <c r="M13" s="2012"/>
      <c r="N13" s="2012"/>
      <c r="O13" s="2012"/>
      <c r="P13" s="2012"/>
      <c r="Q13" s="2012"/>
      <c r="R13" s="2012"/>
      <c r="S13" s="2012"/>
      <c r="T13" s="2012"/>
      <c r="U13" s="2012"/>
      <c r="V13" s="2012"/>
    </row>
    <row r="14" spans="1:22" ht="14.25">
      <c r="A14" s="3958" t="s">
        <v>315</v>
      </c>
      <c r="B14" s="3984">
        <v>30</v>
      </c>
      <c r="C14" s="3982">
        <v>40</v>
      </c>
      <c r="D14" s="3986">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958"/>
      <c r="B15" s="3984"/>
      <c r="C15" s="3985"/>
      <c r="D15" s="3986"/>
      <c r="E15" s="260" t="s">
        <v>317</v>
      </c>
      <c r="F15" s="261"/>
      <c r="G15" s="261"/>
      <c r="H15" s="261"/>
      <c r="I15" s="262"/>
      <c r="J15" s="2013"/>
      <c r="K15" s="2012"/>
      <c r="L15" s="2012"/>
      <c r="M15" s="2012"/>
      <c r="N15" s="2012"/>
      <c r="O15" s="2012"/>
      <c r="P15" s="2012"/>
      <c r="Q15" s="2012"/>
      <c r="R15" s="2012"/>
      <c r="S15" s="2012"/>
      <c r="T15" s="2012"/>
      <c r="U15" s="2012"/>
      <c r="V15" s="2012"/>
    </row>
    <row r="16" spans="1:22" ht="14.25">
      <c r="A16" s="3958"/>
      <c r="B16" s="3984"/>
      <c r="C16" s="3983"/>
      <c r="D16" s="3986"/>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11637</v>
      </c>
      <c r="D19" s="270">
        <f ca="1">SUMIF(INDIRECT("'"&amp;D4&amp;"'"&amp;"!A:A"),结果表!B19,INDIRECT("'"&amp;D4&amp;"'"&amp;"!B:B"))</f>
        <v>16195</v>
      </c>
      <c r="E19" s="267" t="s">
        <v>323</v>
      </c>
      <c r="F19" s="268" t="s">
        <v>322</v>
      </c>
      <c r="G19" s="271">
        <f ca="1">ROUND(C19*$C$18+D19*$D$18,0)</f>
        <v>14372</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1046</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5783</v>
      </c>
      <c r="D21" s="151">
        <f ca="1">SUMIF(INDIRECT("'"&amp;D4&amp;"'"&amp;"!A:A"),结果表!B21,INDIRECT("'"&amp;D4&amp;"'"&amp;"!B:B"))</f>
        <v>8048</v>
      </c>
      <c r="E21" s="273"/>
      <c r="F21" s="279" t="s">
        <v>327</v>
      </c>
      <c r="G21" s="281">
        <f ca="1">ROUND(C21*$C$18+D21*$D$18,0)</f>
        <v>7142</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0.39168170490676291</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64"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965"/>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出让国有建设用地使用权价格：14372万元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大写金额：人民币壹亿肆仟叁佰柒拾贰万元整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单位面积地价：7142元/平方米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抵押价格：14372万元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大写金额：人民币壹亿肆仟叁佰柒拾贰万元整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14372</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3964" t="s">
        <v>338</v>
      </c>
      <c r="F33" s="295" t="s">
        <v>339</v>
      </c>
      <c r="G33" s="296"/>
      <c r="H33" s="979"/>
      <c r="I33" s="1254"/>
      <c r="J33" s="2012"/>
      <c r="K33" s="1253" t="str">
        <f ca="1">IF(项目基本情况!E9="——","——","抵押净值："&amp;C46&amp;"万元")</f>
        <v>抵押净值：10178万元</v>
      </c>
      <c r="L33" s="1247"/>
      <c r="M33" s="1247"/>
      <c r="N33" s="1247"/>
      <c r="O33" s="1246"/>
      <c r="P33" s="2012"/>
      <c r="V33" s="2012"/>
    </row>
    <row r="34" spans="1:26" s="1249" customFormat="1" ht="18.75" thickBot="1">
      <c r="A34" s="299"/>
      <c r="B34" s="1381" t="s">
        <v>1692</v>
      </c>
      <c r="C34" s="263">
        <f ca="1">ROUND(C32*10000/'数据-汇总表'!D3,0)</f>
        <v>7142</v>
      </c>
      <c r="D34" s="1382" t="s">
        <v>1691</v>
      </c>
      <c r="E34" s="4005"/>
      <c r="F34" s="127" t="s">
        <v>341</v>
      </c>
      <c r="G34" s="298"/>
      <c r="H34" s="105"/>
      <c r="I34" s="310"/>
      <c r="J34" s="2012"/>
      <c r="K34" s="1256" t="str">
        <f ca="1">IF(K33="——","——","大写金额：人民币"&amp;NUMBERSTRING(INT(O41*10000),2)&amp;"元整")</f>
        <v>大写金额：人民币壹亿零壹佰柒拾捌万元整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4006"/>
      <c r="F35" s="300" t="s">
        <v>342</v>
      </c>
      <c r="G35" s="981"/>
      <c r="H35" s="980" t="s">
        <v>343</v>
      </c>
      <c r="I35" s="310"/>
      <c r="J35" s="2012"/>
      <c r="K35" s="3979" t="s">
        <v>350</v>
      </c>
      <c r="L35" s="3979" t="s">
        <v>351</v>
      </c>
      <c r="M35" s="1259" t="s">
        <v>352</v>
      </c>
      <c r="N35" s="3979" t="s">
        <v>353</v>
      </c>
      <c r="O35" s="3979" t="s">
        <v>354</v>
      </c>
      <c r="P35" s="2012"/>
      <c r="V35" s="2012"/>
    </row>
    <row r="36" spans="1:26" ht="16.5" customHeight="1">
      <c r="A36" s="302" t="s">
        <v>344</v>
      </c>
      <c r="B36" s="303" t="s">
        <v>333</v>
      </c>
      <c r="C36" s="304" t="s">
        <v>345</v>
      </c>
      <c r="D36" s="304" t="s">
        <v>346</v>
      </c>
      <c r="E36" s="305" t="s">
        <v>347</v>
      </c>
      <c r="F36" s="310"/>
      <c r="G36" s="310"/>
      <c r="H36" s="310"/>
      <c r="I36" s="310"/>
      <c r="J36" s="2014"/>
      <c r="K36" s="3980"/>
      <c r="L36" s="3980"/>
      <c r="M36" s="1261" t="s">
        <v>355</v>
      </c>
      <c r="N36" s="3980"/>
      <c r="O36" s="3980"/>
      <c r="P36" s="2012"/>
      <c r="V36" s="2012"/>
    </row>
    <row r="37" spans="1:26" ht="16.5" customHeight="1" thickBot="1">
      <c r="A37" s="1255" t="s">
        <v>348</v>
      </c>
      <c r="B37" s="306"/>
      <c r="C37" s="293"/>
      <c r="D37" s="293"/>
      <c r="E37" s="294"/>
      <c r="F37" s="310"/>
      <c r="G37" s="310"/>
      <c r="H37" s="310"/>
      <c r="I37" s="310"/>
      <c r="J37" s="2014"/>
      <c r="K37" s="3981"/>
      <c r="L37" s="3981"/>
      <c r="M37" s="1262"/>
      <c r="N37" s="3981"/>
      <c r="O37" s="3981"/>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111281.46</v>
      </c>
      <c r="M38" s="1264">
        <f ca="1">C34</f>
        <v>7142</v>
      </c>
      <c r="N38" s="1264">
        <f ca="1">C33</f>
        <v>1291</v>
      </c>
      <c r="O38" s="1265">
        <f ca="1">C32</f>
        <v>14372</v>
      </c>
      <c r="P38" s="2012"/>
      <c r="V38" s="2012"/>
    </row>
    <row r="39" spans="1:26" ht="16.5" customHeight="1" thickBot="1">
      <c r="A39" s="1260"/>
      <c r="B39" s="307"/>
      <c r="C39" s="308"/>
      <c r="D39" s="308"/>
      <c r="E39" s="309"/>
      <c r="F39" s="310"/>
      <c r="G39" s="310"/>
      <c r="H39" s="310"/>
      <c r="I39" s="310"/>
      <c r="J39" s="2014"/>
      <c r="K39" s="4024" t="str">
        <f>MID(A44,3,LEN(A44)-2)</f>
        <v>抵押价格</v>
      </c>
      <c r="L39" s="4025"/>
      <c r="M39" s="4025"/>
      <c r="N39" s="4026"/>
      <c r="O39" s="1387">
        <f ca="1">C44</f>
        <v>14372</v>
      </c>
      <c r="P39" s="2012"/>
      <c r="V39" s="2012"/>
    </row>
    <row r="40" spans="1:26" ht="19.5" thickBot="1">
      <c r="A40" s="104" t="s">
        <v>873</v>
      </c>
      <c r="B40" s="310"/>
      <c r="C40" s="310"/>
      <c r="D40" s="310"/>
      <c r="E40" s="310"/>
      <c r="F40" s="310"/>
      <c r="G40" s="310"/>
      <c r="H40" s="310"/>
      <c r="I40" s="310"/>
      <c r="J40" s="2014"/>
      <c r="K40" s="4024" t="str">
        <f t="shared" ref="K40:K41" si="0">MID(A45,3,LEN(A45)-2)</f>
        <v/>
      </c>
      <c r="L40" s="4025"/>
      <c r="M40" s="4025"/>
      <c r="N40" s="4026"/>
      <c r="O40" s="1387" t="str">
        <f>C45</f>
        <v>——</v>
      </c>
      <c r="P40" s="2012"/>
      <c r="V40" s="2012"/>
    </row>
    <row r="41" spans="1:26" ht="16.5" thickBot="1">
      <c r="A41" s="311" t="s">
        <v>356</v>
      </c>
      <c r="B41" s="312"/>
      <c r="C41" s="313" t="s">
        <v>357</v>
      </c>
      <c r="D41" s="314" t="s">
        <v>358</v>
      </c>
      <c r="E41" s="314" t="s">
        <v>359</v>
      </c>
      <c r="F41" s="315" t="s">
        <v>360</v>
      </c>
      <c r="G41" s="310"/>
      <c r="H41" s="310"/>
      <c r="I41" s="310"/>
      <c r="J41" s="2014"/>
      <c r="K41" s="4024" t="str">
        <f t="shared" si="0"/>
        <v>抵押净值</v>
      </c>
      <c r="L41" s="4025"/>
      <c r="M41" s="4025"/>
      <c r="N41" s="4026"/>
      <c r="O41" s="1387">
        <f ca="1">C46</f>
        <v>10178</v>
      </c>
      <c r="P41" s="2012"/>
      <c r="V41" s="2012"/>
    </row>
    <row r="42" spans="1:26" ht="29.25">
      <c r="A42" s="3966" t="s">
        <v>2067</v>
      </c>
      <c r="B42" s="3967"/>
      <c r="C42" s="263">
        <f ca="1">C32</f>
        <v>14372</v>
      </c>
      <c r="D42" s="316">
        <f ca="1">C33</f>
        <v>1291</v>
      </c>
      <c r="E42" s="316">
        <f ca="1">C34</f>
        <v>7142</v>
      </c>
      <c r="F42" s="317">
        <f ca="1">C35</f>
        <v>476</v>
      </c>
      <c r="G42" s="310"/>
      <c r="H42" s="310"/>
      <c r="I42" s="318"/>
      <c r="J42" s="2014"/>
      <c r="K42" s="1266" t="s">
        <v>361</v>
      </c>
      <c r="L42" s="2031" t="s">
        <v>362</v>
      </c>
      <c r="M42" s="1267" t="s">
        <v>363</v>
      </c>
      <c r="N42" s="2032" t="s">
        <v>364</v>
      </c>
      <c r="O42" s="2033" t="s">
        <v>365</v>
      </c>
      <c r="P42" s="2012"/>
      <c r="V42" s="2012"/>
    </row>
    <row r="43" spans="1:26" ht="30">
      <c r="A43" s="3977" t="s">
        <v>2729</v>
      </c>
      <c r="B43" s="3978"/>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11637</v>
      </c>
      <c r="M43" s="1270">
        <f>C18</f>
        <v>0.4</v>
      </c>
      <c r="N43" s="1271">
        <f ca="1">IF(N42="测算结果/万元",G19,G20)</f>
        <v>14372</v>
      </c>
      <c r="O43" s="1272">
        <f ca="1">IF(O42="最终结果/万元",C32,C33)</f>
        <v>14372</v>
      </c>
      <c r="P43" s="2012"/>
      <c r="V43" s="2012"/>
    </row>
    <row r="44" spans="1:26" ht="30.75" thickBot="1">
      <c r="A44" s="3966" t="str">
        <f>IF(OR(项目基本情况!E8="抵押价格",项目基本情况!E8="已注销及未注销"),"3.抵押价格","——")</f>
        <v>3.抵押价格</v>
      </c>
      <c r="B44" s="3967"/>
      <c r="C44" s="263">
        <f ca="1">IF(A44="——","——",C42-C43)</f>
        <v>14372</v>
      </c>
      <c r="D44" s="316">
        <f ca="1">ROUND(C44*10000/'数据-汇总表'!E3,0)</f>
        <v>1291</v>
      </c>
      <c r="E44" s="316">
        <f ca="1">ROUND(C44*10000/'数据-汇总表'!D3,0)</f>
        <v>7142</v>
      </c>
      <c r="F44" s="317">
        <f ca="1">ROUND(C44/('数据-汇总表'!D3/666.67),0)</f>
        <v>476</v>
      </c>
      <c r="G44" s="310"/>
      <c r="H44" s="310"/>
      <c r="I44" s="318"/>
      <c r="J44" s="2014"/>
      <c r="K44" s="1273" t="str">
        <f>D4</f>
        <v>剩余法-待开发</v>
      </c>
      <c r="L44" s="1274">
        <f ca="1">IF(L42="估价结果/万元",D19,D20)</f>
        <v>16195</v>
      </c>
      <c r="M44" s="1275">
        <f>D18</f>
        <v>0.6</v>
      </c>
      <c r="N44" s="1276"/>
      <c r="O44" s="1277"/>
      <c r="P44" s="2012"/>
      <c r="V44" s="2012"/>
    </row>
    <row r="45" spans="1:26" ht="15">
      <c r="A45" s="3972" t="str">
        <f>IF(项目基本情况!E8="已注销及未注销","4.抵押担保权已注销时的抵押价格",IF(项目基本情况!E8="已注销","3.抵押担保权已注销时的抵押价格","——"))</f>
        <v>——</v>
      </c>
      <c r="B45" s="3973"/>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968" t="str">
        <f>IF(项目基本情况!E9="抵押净值",IF(A45="——","4.抵押净值","5.抵押净值"),"——")</f>
        <v>4.抵押净值</v>
      </c>
      <c r="B46" s="3969"/>
      <c r="C46" s="319">
        <f ca="1">IF(A46="——","——",O79)</f>
        <v>10178</v>
      </c>
      <c r="D46" s="316">
        <f ca="1">ROUND(C46*10000/'数据-汇总表'!E3,0)</f>
        <v>915</v>
      </c>
      <c r="E46" s="316">
        <f ca="1">ROUND(C46*10000/'数据-汇总表'!D3,0)</f>
        <v>5058</v>
      </c>
      <c r="F46" s="317">
        <f ca="1">ROUND(C46/('数据-汇总表'!D3/666.67),0)</f>
        <v>337</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4013" t="s">
        <v>374</v>
      </c>
      <c r="B63" s="4014"/>
      <c r="C63" s="4015"/>
      <c r="D63" s="340">
        <f ca="1">ROUND(C42*F63,0)</f>
        <v>14372</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3974" t="s">
        <v>378</v>
      </c>
      <c r="B64" s="3975"/>
      <c r="C64" s="3975"/>
      <c r="D64" s="3975"/>
      <c r="E64" s="3975"/>
      <c r="F64" s="3975"/>
      <c r="G64" s="3976"/>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970" t="s">
        <v>386</v>
      </c>
      <c r="B66" s="3971"/>
      <c r="C66" s="3971"/>
      <c r="D66" s="260">
        <f ca="1">IF(H66="情况1",0,IF(H66="情况2",D70,IF(H66="情况3",D71,IF(H66="情况4",D72))))</f>
        <v>753</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4028" t="s">
        <v>385</v>
      </c>
      <c r="M66" s="4029"/>
      <c r="N66" s="2421"/>
      <c r="O66" s="2422"/>
      <c r="P66" s="2423"/>
      <c r="Q66" s="2012"/>
      <c r="R66" s="2012"/>
      <c r="S66" s="2012"/>
      <c r="T66" s="2012"/>
      <c r="U66" s="2012"/>
      <c r="V66" s="2012"/>
    </row>
    <row r="67" spans="1:22" ht="25.5" customHeight="1">
      <c r="A67" s="351" t="s">
        <v>390</v>
      </c>
      <c r="B67" s="3961" t="s">
        <v>391</v>
      </c>
      <c r="C67" s="3961"/>
      <c r="D67" s="352">
        <v>0</v>
      </c>
      <c r="E67" s="41" t="s">
        <v>392</v>
      </c>
      <c r="F67" s="62" t="s">
        <v>21</v>
      </c>
      <c r="G67" s="4016"/>
      <c r="H67" s="310"/>
      <c r="I67" s="1287"/>
      <c r="J67" s="2019"/>
      <c r="K67" s="1960">
        <v>2</v>
      </c>
      <c r="L67" s="4027" t="s">
        <v>389</v>
      </c>
      <c r="M67" s="4027"/>
      <c r="N67" s="1320">
        <f>'数据-取费表'!B2</f>
        <v>43671</v>
      </c>
      <c r="O67" s="1320"/>
      <c r="P67" s="1320"/>
      <c r="Q67" s="2012"/>
      <c r="R67" s="2012"/>
      <c r="S67" s="2012"/>
      <c r="T67" s="2012"/>
      <c r="U67" s="2012"/>
      <c r="V67" s="2012"/>
    </row>
    <row r="68" spans="1:22" ht="25.5" customHeight="1">
      <c r="A68" s="353"/>
      <c r="B68" s="3961" t="s">
        <v>394</v>
      </c>
      <c r="C68" s="3961"/>
      <c r="D68" s="354"/>
      <c r="E68" s="77"/>
      <c r="F68" s="355"/>
      <c r="G68" s="4017"/>
      <c r="H68" s="310"/>
      <c r="I68" s="1287"/>
      <c r="J68" s="2019"/>
      <c r="K68" s="1960">
        <v>3</v>
      </c>
      <c r="L68" s="4027" t="s">
        <v>393</v>
      </c>
      <c r="M68" s="4027"/>
      <c r="N68" s="1288">
        <f ca="1">C42</f>
        <v>14372</v>
      </c>
      <c r="O68" s="1288"/>
      <c r="P68" s="1288"/>
      <c r="Q68" s="2012"/>
      <c r="R68" s="2012"/>
      <c r="S68" s="2012"/>
      <c r="T68" s="2012"/>
      <c r="U68" s="2012"/>
      <c r="V68" s="2012"/>
    </row>
    <row r="69" spans="1:22" ht="12" customHeight="1">
      <c r="A69" s="356"/>
      <c r="B69" s="3961" t="s">
        <v>395</v>
      </c>
      <c r="C69" s="3961"/>
      <c r="D69" s="357"/>
      <c r="E69" s="73"/>
      <c r="F69" s="355"/>
      <c r="G69" s="4018"/>
      <c r="H69" s="310"/>
      <c r="I69" s="1287"/>
      <c r="J69" s="2019"/>
      <c r="K69" s="1289">
        <v>4</v>
      </c>
      <c r="L69" s="4032" t="s">
        <v>2882</v>
      </c>
      <c r="M69" s="4033"/>
      <c r="N69" s="1290">
        <f ca="1">C44</f>
        <v>14372</v>
      </c>
      <c r="O69" s="1290"/>
      <c r="P69" s="1290"/>
      <c r="Q69" s="2012"/>
      <c r="R69" s="2012"/>
      <c r="S69" s="2012"/>
      <c r="T69" s="2012"/>
      <c r="U69" s="2012"/>
      <c r="V69" s="2012"/>
    </row>
    <row r="70" spans="1:22" ht="24" customHeight="1">
      <c r="A70" s="358" t="s">
        <v>396</v>
      </c>
      <c r="B70" s="3961" t="s">
        <v>397</v>
      </c>
      <c r="C70" s="3961"/>
      <c r="D70" s="357">
        <f ca="1">ROUND(D63*'数据-取费表'!B41/(1+'数据-取费表'!C42),0)</f>
        <v>753</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3962" t="s">
        <v>405</v>
      </c>
      <c r="C71" s="3963"/>
      <c r="D71" s="357">
        <f ca="1">ROUND(D63*'数据-取费表'!B41/(1+'数据-取费表'!C42),0)</f>
        <v>753</v>
      </c>
      <c r="E71" s="17" t="s">
        <v>398</v>
      </c>
      <c r="F71" s="359">
        <f>'数据-取费表'!B41</f>
        <v>5.5000000000000007E-2</v>
      </c>
      <c r="G71" s="360"/>
      <c r="H71" s="310"/>
      <c r="I71" s="1287"/>
      <c r="J71" s="2019"/>
      <c r="K71" s="3009" t="s">
        <v>399</v>
      </c>
      <c r="L71" s="4034" t="s">
        <v>400</v>
      </c>
      <c r="M71" s="4034"/>
      <c r="N71" s="3009" t="s">
        <v>401</v>
      </c>
      <c r="O71" s="3009" t="s">
        <v>402</v>
      </c>
      <c r="P71" s="3009" t="s">
        <v>403</v>
      </c>
      <c r="Q71" s="2012"/>
      <c r="R71" s="2012"/>
      <c r="S71" s="2012"/>
      <c r="T71" s="2012"/>
      <c r="U71" s="2012"/>
      <c r="V71" s="2012"/>
    </row>
    <row r="72" spans="1:22" ht="12" customHeight="1">
      <c r="A72" s="358" t="s">
        <v>407</v>
      </c>
      <c r="B72" s="3962" t="s">
        <v>408</v>
      </c>
      <c r="C72" s="3963"/>
      <c r="D72" s="357">
        <f ca="1">C86</f>
        <v>643</v>
      </c>
      <c r="E72" s="73" t="s">
        <v>409</v>
      </c>
      <c r="F72" s="359">
        <f>'数据-取费表'!B41</f>
        <v>5.5000000000000007E-2</v>
      </c>
      <c r="G72" s="360"/>
      <c r="H72" s="1293"/>
      <c r="I72" s="1287"/>
      <c r="J72" s="2019"/>
      <c r="K72" s="1960">
        <v>1</v>
      </c>
      <c r="L72" s="4009" t="s">
        <v>406</v>
      </c>
      <c r="M72" s="4009"/>
      <c r="N72" s="1291">
        <f ca="1">D66</f>
        <v>753</v>
      </c>
      <c r="O72" s="1843" t="str">
        <f>E66</f>
        <v>销售额×税（费）率</v>
      </c>
      <c r="P72" s="1292">
        <f>F66</f>
        <v>5.5000000000000007E-2</v>
      </c>
      <c r="Q72" s="2012"/>
      <c r="R72" s="2012"/>
      <c r="S72" s="2012"/>
      <c r="T72" s="2012"/>
      <c r="U72" s="2012"/>
      <c r="V72" s="2012"/>
    </row>
    <row r="73" spans="1:22" ht="24" customHeight="1">
      <c r="A73" s="4003" t="s">
        <v>411</v>
      </c>
      <c r="B73" s="3971"/>
      <c r="C73" s="3971"/>
      <c r="D73" s="361">
        <f ca="1">IF(H73="个人住宅",0,ROUND(D63*I73,0))</f>
        <v>7</v>
      </c>
      <c r="E73" s="17" t="s">
        <v>412</v>
      </c>
      <c r="F73" s="359">
        <f>IF(H73="正常",I73,"免征")</f>
        <v>5.0000000000000001E-4</v>
      </c>
      <c r="G73" s="360"/>
      <c r="H73" s="191" t="s">
        <v>3012</v>
      </c>
      <c r="I73" s="359">
        <f>'数据-取费表'!B49</f>
        <v>5.0000000000000001E-4</v>
      </c>
      <c r="J73" s="2019"/>
      <c r="K73" s="1960">
        <v>2</v>
      </c>
      <c r="L73" s="4009" t="s">
        <v>410</v>
      </c>
      <c r="M73" s="4009"/>
      <c r="N73" s="1291">
        <f t="shared" ref="N73:P74" ca="1" si="1">D73</f>
        <v>7</v>
      </c>
      <c r="O73" s="1843" t="str">
        <f t="shared" si="1"/>
        <v>销售额×税（费）率</v>
      </c>
      <c r="P73" s="1292">
        <f t="shared" si="1"/>
        <v>5.0000000000000001E-4</v>
      </c>
      <c r="Q73" s="2012"/>
      <c r="R73" s="2012"/>
      <c r="S73" s="2012"/>
      <c r="T73" s="2012"/>
      <c r="U73" s="2012"/>
      <c r="V73" s="2012"/>
    </row>
    <row r="74" spans="1:22" ht="24.75">
      <c r="A74" s="4003" t="s">
        <v>415</v>
      </c>
      <c r="B74" s="3971"/>
      <c r="C74" s="3971"/>
      <c r="D74" s="361">
        <f ca="1">IF(H74="个人住宅",D75,D76)</f>
        <v>3434</v>
      </c>
      <c r="E74" s="17" t="s">
        <v>416</v>
      </c>
      <c r="F74" s="359" t="str">
        <f>IF(H74="正常",F76,"免征")</f>
        <v>——</v>
      </c>
      <c r="G74" s="982" t="s">
        <v>417</v>
      </c>
      <c r="H74" s="362" t="s">
        <v>413</v>
      </c>
      <c r="I74" s="42"/>
      <c r="J74" s="2019"/>
      <c r="K74" s="1960">
        <v>3</v>
      </c>
      <c r="L74" s="4009" t="s">
        <v>414</v>
      </c>
      <c r="M74" s="4009"/>
      <c r="N74" s="1291">
        <f t="shared" ca="1" si="1"/>
        <v>3434</v>
      </c>
      <c r="O74" s="1843" t="str">
        <f t="shared" si="1"/>
        <v>增值额×税（费）率</v>
      </c>
      <c r="P74" s="1294" t="str">
        <f t="shared" si="1"/>
        <v>——</v>
      </c>
      <c r="Q74" s="2012"/>
      <c r="R74" s="2012"/>
      <c r="S74" s="2012"/>
      <c r="T74" s="2012"/>
      <c r="U74" s="2012"/>
      <c r="V74" s="2012"/>
    </row>
    <row r="75" spans="1:22" ht="12.75">
      <c r="A75" s="358" t="s">
        <v>418</v>
      </c>
      <c r="B75" s="3959" t="s">
        <v>419</v>
      </c>
      <c r="C75" s="3989"/>
      <c r="D75" s="363">
        <v>0</v>
      </c>
      <c r="E75" s="41" t="s">
        <v>420</v>
      </c>
      <c r="F75" s="364"/>
      <c r="G75" s="360"/>
      <c r="H75" s="42"/>
      <c r="I75" s="42"/>
      <c r="J75" s="2019"/>
      <c r="K75" s="3002" t="str">
        <f>IF(H77="非个人房产","",4)</f>
        <v/>
      </c>
      <c r="L75" s="4009" t="str">
        <f>IF(H77="非个人房产","——","个人所得税")</f>
        <v>——</v>
      </c>
      <c r="M75" s="4009"/>
      <c r="N75" s="1295" t="str">
        <f>D77</f>
        <v>——</v>
      </c>
      <c r="O75" s="1856" t="str">
        <f>E77</f>
        <v>——</v>
      </c>
      <c r="P75" s="1296" t="str">
        <f>F77</f>
        <v>——</v>
      </c>
      <c r="Q75" s="2012"/>
      <c r="R75" s="2012"/>
      <c r="S75" s="2012"/>
      <c r="T75" s="2012"/>
      <c r="U75" s="2012"/>
      <c r="V75" s="2012"/>
    </row>
    <row r="76" spans="1:22" ht="24.75">
      <c r="A76" s="358" t="s">
        <v>396</v>
      </c>
      <c r="B76" s="3959" t="s">
        <v>422</v>
      </c>
      <c r="C76" s="3960"/>
      <c r="D76" s="361">
        <f ca="1">IF(H76="转让取得",C99,C115)</f>
        <v>3434</v>
      </c>
      <c r="E76" s="17" t="s">
        <v>423</v>
      </c>
      <c r="F76" s="53" t="s">
        <v>21</v>
      </c>
      <c r="G76" s="360"/>
      <c r="H76" s="362" t="s">
        <v>424</v>
      </c>
      <c r="I76" s="42"/>
      <c r="J76" s="2019"/>
      <c r="K76" s="3002" t="str">
        <f>IF(项目基本情况!K6="上海银行",IF(K75="",4,K75+1),"")</f>
        <v/>
      </c>
      <c r="L76" s="4020" t="str">
        <f>IF(项目基本情况!K6="上海银行","其他处置费用","")</f>
        <v/>
      </c>
      <c r="M76" s="4021"/>
      <c r="N76" s="1291" t="str">
        <f>IF(项目基本情况!K6="上海银行",N89,"")</f>
        <v/>
      </c>
      <c r="O76" s="4022" t="str">
        <f>IF(项目基本情况!K6="上海银行","包含处置中涉及的律师、诉讼、拍卖、评估等费用","")</f>
        <v/>
      </c>
      <c r="P76" s="4023"/>
      <c r="Q76" s="2012"/>
      <c r="R76" s="2012"/>
      <c r="S76" s="2012"/>
      <c r="T76" s="2012"/>
      <c r="U76" s="2012"/>
      <c r="V76" s="2012"/>
    </row>
    <row r="77" spans="1:22" ht="24.75" thickBot="1">
      <c r="A77" s="4011" t="s">
        <v>426</v>
      </c>
      <c r="B77" s="4012"/>
      <c r="C77" s="4012"/>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4010">
        <f>IF(AND(K75="",K76=""),4,IF(项目基本情况!K6="上海银行",K76+1,K75+1))</f>
        <v>4</v>
      </c>
      <c r="L77" s="4009" t="s">
        <v>2883</v>
      </c>
      <c r="M77" s="3008" t="s">
        <v>421</v>
      </c>
      <c r="N77" s="1297"/>
      <c r="O77" s="1298">
        <f ca="1">SUMIF(N72:N76,"&lt;9e307")</f>
        <v>4194</v>
      </c>
      <c r="P77" s="1299"/>
      <c r="Q77" s="3006">
        <f ca="1">O77/N69</f>
        <v>0.29181742276649042</v>
      </c>
      <c r="R77" s="2012"/>
      <c r="S77" s="2012"/>
      <c r="T77" s="2012"/>
      <c r="U77" s="2012"/>
      <c r="V77" s="2012"/>
    </row>
    <row r="78" spans="1:22" ht="12" customHeight="1">
      <c r="A78" s="1300"/>
      <c r="B78" s="310"/>
      <c r="C78" s="310"/>
      <c r="D78" s="310"/>
      <c r="E78" s="42"/>
      <c r="F78" s="42"/>
      <c r="G78" s="42"/>
      <c r="H78" s="1002"/>
      <c r="I78" s="310"/>
      <c r="J78" s="2019"/>
      <c r="K78" s="4010"/>
      <c r="L78" s="4009"/>
      <c r="M78" s="3008" t="s">
        <v>425</v>
      </c>
      <c r="N78" s="1297"/>
      <c r="O78" s="1298" t="str">
        <f ca="1">NUMBERSTRING(INT(O77*10000),2)&amp;"元整"</f>
        <v>肆仟壹佰玖拾肆万元整</v>
      </c>
      <c r="P78" s="1299"/>
      <c r="Q78" s="2012"/>
      <c r="R78" s="2012"/>
      <c r="S78" s="2012"/>
      <c r="T78" s="2012"/>
      <c r="U78" s="2012"/>
      <c r="V78" s="2012"/>
    </row>
    <row r="79" spans="1:22" ht="13.5" thickBot="1">
      <c r="A79" s="4004" t="s">
        <v>427</v>
      </c>
      <c r="B79" s="4004"/>
      <c r="C79" s="4004"/>
      <c r="D79" s="4004"/>
      <c r="E79" s="4004"/>
      <c r="F79" s="42"/>
      <c r="G79" s="42"/>
      <c r="H79" s="1002"/>
      <c r="I79" s="310"/>
      <c r="J79" s="2019"/>
      <c r="K79" s="4030">
        <f>K77+1</f>
        <v>5</v>
      </c>
      <c r="L79" s="4009" t="s">
        <v>2884</v>
      </c>
      <c r="M79" s="3008" t="s">
        <v>421</v>
      </c>
      <c r="N79" s="1297"/>
      <c r="O79" s="1298">
        <f ca="1">N69-O77</f>
        <v>10178</v>
      </c>
      <c r="P79" s="1299"/>
      <c r="Q79" s="2012"/>
      <c r="R79" s="2012"/>
      <c r="S79" s="2012"/>
      <c r="T79" s="2012"/>
      <c r="U79" s="2012"/>
      <c r="V79" s="2012"/>
    </row>
    <row r="80" spans="1:22" ht="25.5">
      <c r="A80" s="3999" t="s">
        <v>428</v>
      </c>
      <c r="B80" s="4000"/>
      <c r="C80" s="993"/>
      <c r="D80" s="993" t="s">
        <v>429</v>
      </c>
      <c r="E80" s="369" t="s">
        <v>430</v>
      </c>
      <c r="F80" s="42"/>
      <c r="G80" s="42"/>
      <c r="H80" s="1002"/>
      <c r="I80" s="310"/>
      <c r="J80" s="2012"/>
      <c r="K80" s="4031"/>
      <c r="L80" s="4009"/>
      <c r="M80" s="3008" t="s">
        <v>425</v>
      </c>
      <c r="N80" s="1297"/>
      <c r="O80" s="1298" t="str">
        <f ca="1">NUMBERSTRING(INT(O79*10000),2)&amp;"元整"</f>
        <v>壹亿零壹佰柒拾捌万元整</v>
      </c>
      <c r="P80" s="1299"/>
      <c r="Q80" s="2012"/>
      <c r="R80" s="2012"/>
      <c r="S80" s="2012"/>
      <c r="T80" s="2012"/>
      <c r="U80" s="2012"/>
      <c r="V80" s="2012"/>
    </row>
    <row r="81" spans="1:26" ht="13.5" thickBot="1">
      <c r="A81" s="380" t="s">
        <v>1823</v>
      </c>
      <c r="B81" s="370" t="s">
        <v>431</v>
      </c>
      <c r="C81" s="371">
        <f ca="1">ROUND((C82+C83)/(1+'数据-取费表'!C42),0)</f>
        <v>13688</v>
      </c>
      <c r="D81" s="372"/>
      <c r="E81" s="373"/>
      <c r="F81" s="42"/>
      <c r="G81" s="42"/>
      <c r="H81" s="1002"/>
      <c r="I81" s="310"/>
      <c r="J81" s="2012"/>
      <c r="K81" s="3002">
        <f>K79+1</f>
        <v>6</v>
      </c>
      <c r="L81" s="4007" t="s">
        <v>2885</v>
      </c>
      <c r="M81" s="4008"/>
      <c r="N81" s="1301"/>
      <c r="O81" s="1302">
        <f ca="1">ROUND(O79*10000/'数据-汇总表'!E3,0)</f>
        <v>915</v>
      </c>
      <c r="P81" s="1303"/>
      <c r="Q81" s="2012"/>
      <c r="R81" s="2012"/>
      <c r="S81" s="2012"/>
      <c r="T81" s="2012"/>
      <c r="U81" s="2012"/>
      <c r="V81" s="2012"/>
    </row>
    <row r="82" spans="1:26" ht="13.5" thickTop="1">
      <c r="A82" s="374" t="s">
        <v>1824</v>
      </c>
      <c r="B82" s="375" t="s">
        <v>432</v>
      </c>
      <c r="C82" s="376">
        <f ca="1">D63</f>
        <v>14372</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4019" t="s">
        <v>2873</v>
      </c>
      <c r="L83" s="3014" t="s">
        <v>2874</v>
      </c>
      <c r="M83" s="3004">
        <f ca="1">IF(N69&gt;10000,N69*0.5%,IF(AND(N69&gt;1000,N69&lt;=10000),N69*1%,IF(AND(N69&gt;100,N69&lt;=1000),N69*3%,IF(AND(N69&gt;10,N69&lt;=100),N69*5%,N69*8%))))</f>
        <v>71.86</v>
      </c>
      <c r="N83" s="53">
        <f ca="1">ROUND(M83,1)</f>
        <v>71.900000000000006</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4019"/>
      <c r="L84" s="3014" t="s">
        <v>2875</v>
      </c>
      <c r="M84" s="3004">
        <f ca="1">IF(N69&gt;2000,N69*0.5%,IF(AND(N69&gt;1000,N69&lt;=2000),N69*0.6%,IF(AND(N69&gt;500,N69&lt;=1000),N69*0.7%,IF(AND(N69&gt;200,N69&lt;=500),N69*0.8%,IF(AND(N69&gt;100,N69&lt;=200),N69*0.9%,IF(AND(N69&gt;50,N69&lt;=100),N69*1%,IF(AND(N69&gt;20,N69&lt;=50),N69*1.5%,IF(AND(N69&gt;10,N69&lt;=20),N69*2%,IF(AND(N69&gt;1,N69&lt;=10),N69*2.5%)))))))))</f>
        <v>71.86</v>
      </c>
      <c r="N84" s="53">
        <f t="shared" ref="N84:N85" ca="1" si="2">ROUND(M84,1)</f>
        <v>71.900000000000006</v>
      </c>
      <c r="O84" s="2012" t="s">
        <v>2876</v>
      </c>
      <c r="P84" s="2012">
        <f ca="1">O79+[5]结果表!$O$79</f>
        <v>18603</v>
      </c>
      <c r="Q84" s="2012"/>
      <c r="R84" s="2012"/>
      <c r="S84" s="2012"/>
      <c r="T84" s="2012"/>
      <c r="U84" s="2012"/>
      <c r="V84" s="2012"/>
    </row>
    <row r="85" spans="1:26" ht="12.75">
      <c r="A85" s="380" t="s">
        <v>1827</v>
      </c>
      <c r="B85" s="381" t="s">
        <v>435</v>
      </c>
      <c r="C85" s="384">
        <f ca="1">C81-C84</f>
        <v>11688</v>
      </c>
      <c r="D85" s="377" t="s">
        <v>19</v>
      </c>
      <c r="E85" s="378"/>
      <c r="F85" s="42"/>
      <c r="G85" s="42"/>
      <c r="H85" s="1002"/>
      <c r="I85" s="310"/>
      <c r="J85" s="2012"/>
      <c r="K85" s="4019"/>
      <c r="L85" s="3014" t="s">
        <v>2877</v>
      </c>
      <c r="M85" s="3004">
        <f ca="1">IF(N69&gt;1000,N69*0.1%,IF(AND(N69&gt;500,N69&lt;=1000),N69*0.5%,IF(AND(N69&gt;50,N69&lt;=500),N69*1%,IF(AND(N69&gt;1,N69&lt;=50),N69*1.5%))))</f>
        <v>14.372</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643</v>
      </c>
      <c r="D86" s="388">
        <f>'数据-取费表'!B41</f>
        <v>5.5000000000000007E-2</v>
      </c>
      <c r="E86" s="389"/>
      <c r="F86" s="42"/>
      <c r="G86" s="42"/>
      <c r="H86" s="1002"/>
      <c r="I86" s="310"/>
      <c r="J86" s="2012"/>
      <c r="K86" s="4019"/>
      <c r="L86" s="3014" t="s">
        <v>2878</v>
      </c>
      <c r="M86" s="3004">
        <f ca="1">N69*0.5%</f>
        <v>71.86</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4019"/>
      <c r="L87" s="3014" t="s">
        <v>2880</v>
      </c>
      <c r="M87" s="3004">
        <f ca="1">IF(N69&gt;=10000,(8.25+(N69-10000)*0.01%),IF(AND(N69&gt;=8000,N69&lt;10000),(7.85+(N69-8000)*0.02%),IF(AND(N69&gt;=5000,N69&lt;8000),(6.65+(N69-5000)*0.04%),IF(AND(N69&gt;=2000,N69&lt;5000),(4.25+(PN69-2000)*0.08%),IF(AND(N69&gt;=1000,N69&lt;2000),(2.75+(N69-1000)*0.15%),IF(AND(N69&gt;=100,N69&lt;1000),(0.5+(N69-100)*0.25%),IF(AND(N69&gt;0,N69&lt;100),N69*0.5%)))))))</f>
        <v>8.6872000000000007</v>
      </c>
      <c r="N87" s="53">
        <f ca="1">ROUND(M87*0.9,1)</f>
        <v>7.8</v>
      </c>
      <c r="O87" s="3007"/>
      <c r="P87" s="310"/>
      <c r="Q87" s="2012"/>
      <c r="R87" s="2012"/>
      <c r="S87" s="2012"/>
      <c r="T87" s="2012"/>
      <c r="U87" s="2012"/>
      <c r="V87" s="2012"/>
      <c r="W87" s="291"/>
      <c r="X87" s="291"/>
      <c r="Y87" s="291"/>
      <c r="Z87" s="291"/>
    </row>
    <row r="88" spans="1:26" s="1309" customFormat="1" ht="15" thickBot="1">
      <c r="A88" s="4001" t="s">
        <v>437</v>
      </c>
      <c r="B88" s="4002"/>
      <c r="C88" s="4002"/>
      <c r="D88" s="4002"/>
      <c r="E88" s="4002"/>
      <c r="F88" s="4002"/>
      <c r="G88" s="4002"/>
      <c r="H88" s="4002"/>
      <c r="I88" s="1310"/>
      <c r="J88" s="2020"/>
      <c r="K88" s="4019"/>
      <c r="L88" s="3014" t="s">
        <v>2881</v>
      </c>
      <c r="M88" s="3004">
        <f ca="1">IF(N69&gt;10000,N69*0.5%,IF(AND(N69&gt;5000,N69&lt;=10000),N69*1%,IF(AND(N69&gt;1000,N69&lt;=5000),N69*2%,IF(AND(N69&gt;200,N69&lt;=1000),N69*3%,N69*5%))))</f>
        <v>71.86</v>
      </c>
      <c r="N88" s="53">
        <f ca="1">ROUND(M88,1)</f>
        <v>71.900000000000006</v>
      </c>
      <c r="O88" s="3007"/>
      <c r="P88" s="11"/>
      <c r="Q88" s="2017"/>
      <c r="R88" s="2017"/>
      <c r="S88" s="2017"/>
      <c r="T88" s="2017"/>
      <c r="U88" s="2017"/>
      <c r="V88" s="2017"/>
      <c r="W88" s="2021"/>
      <c r="X88" s="2021"/>
      <c r="Y88" s="2021"/>
      <c r="Z88" s="2021"/>
    </row>
    <row r="89" spans="1:26" s="1309" customFormat="1" ht="14.25">
      <c r="A89" s="3999" t="s">
        <v>428</v>
      </c>
      <c r="B89" s="4000"/>
      <c r="C89" s="993"/>
      <c r="D89" s="993" t="s">
        <v>429</v>
      </c>
      <c r="E89" s="390" t="s">
        <v>438</v>
      </c>
      <c r="F89" s="391"/>
      <c r="G89" s="391"/>
      <c r="H89" s="392"/>
      <c r="I89" s="1311"/>
      <c r="J89" s="2022"/>
      <c r="K89" s="4019"/>
      <c r="L89" s="3014" t="s">
        <v>27</v>
      </c>
      <c r="M89" s="3005"/>
      <c r="N89" s="53">
        <f ca="1">ROUND(SUM(N83:N88),0)</f>
        <v>238</v>
      </c>
      <c r="O89" s="3015">
        <f ca="1">N89/N69</f>
        <v>1.6559977734483717E-2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13688</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62" t="s">
        <v>447</v>
      </c>
      <c r="F94" s="3961"/>
      <c r="G94" s="3961"/>
      <c r="H94" s="399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3990" t="s">
        <v>2428</v>
      </c>
      <c r="F96" s="3991"/>
      <c r="G96" s="3991"/>
      <c r="H96" s="3992"/>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11059</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4.2065424115633316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5715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01" t="s">
        <v>454</v>
      </c>
      <c r="B101" s="4002"/>
      <c r="C101" s="4002"/>
      <c r="D101" s="4002"/>
      <c r="E101" s="4002"/>
      <c r="F101" s="4002"/>
      <c r="G101" s="4002"/>
      <c r="H101" s="4002"/>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999" t="s">
        <v>428</v>
      </c>
      <c r="B102" s="4000"/>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13688</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5246.58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3993" t="s">
        <v>462</v>
      </c>
      <c r="F109" s="3991"/>
      <c r="G109" s="3991"/>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3993" t="s">
        <v>464</v>
      </c>
      <c r="F110" s="3991"/>
      <c r="G110" s="3991"/>
      <c r="H110" s="3992"/>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3990" t="s">
        <v>2428</v>
      </c>
      <c r="F111" s="3991"/>
      <c r="G111" s="3991"/>
      <c r="H111" s="3992"/>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993" t="s">
        <v>2453</v>
      </c>
      <c r="F112" s="3991"/>
      <c r="G112" s="3991"/>
      <c r="H112" s="3992"/>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8441</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1.6088575796042375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3434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0" zoomScale="80" zoomScaleNormal="95" zoomScaleSheetLayoutView="80" workbookViewId="0">
      <selection activeCell="E58" sqref="E58"/>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11637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5783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386</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44" t="s">
        <v>522</v>
      </c>
      <c r="D6" s="4045"/>
      <c r="E6" s="4044" t="s">
        <v>523</v>
      </c>
      <c r="F6" s="4045"/>
      <c r="G6" s="4044" t="s">
        <v>524</v>
      </c>
      <c r="H6" s="4045"/>
      <c r="I6" s="4044" t="s">
        <v>525</v>
      </c>
      <c r="J6" s="4045"/>
      <c r="K6" s="513" t="s">
        <v>526</v>
      </c>
      <c r="L6" s="2117"/>
      <c r="M6" s="2116"/>
      <c r="N6" s="2116"/>
      <c r="O6" s="2118"/>
      <c r="P6" s="4046" t="s">
        <v>527</v>
      </c>
      <c r="Q6" s="4047"/>
      <c r="R6" s="4052" t="s">
        <v>523</v>
      </c>
      <c r="S6" s="4053"/>
      <c r="T6" s="4052" t="s">
        <v>524</v>
      </c>
      <c r="U6" s="4053"/>
      <c r="V6" s="4039" t="s">
        <v>525</v>
      </c>
      <c r="W6" s="4039"/>
      <c r="X6" s="1552"/>
      <c r="Y6" s="4052" t="s">
        <v>527</v>
      </c>
      <c r="Z6" s="4053"/>
      <c r="AA6" s="4041" t="s">
        <v>523</v>
      </c>
      <c r="AB6" s="4042" t="s">
        <v>524</v>
      </c>
      <c r="AC6" s="4041" t="s">
        <v>525</v>
      </c>
    </row>
    <row r="7" spans="1:30" ht="39" customHeight="1">
      <c r="A7" s="514"/>
      <c r="B7" s="515"/>
      <c r="C7" s="4060" t="s">
        <v>2926</v>
      </c>
      <c r="D7" s="4061"/>
      <c r="E7" s="4060" t="str">
        <f>Sheet2!A2</f>
        <v>工业园区南区G9-02/01(规划编号E-53-02)地块</v>
      </c>
      <c r="F7" s="4061"/>
      <c r="G7" s="4060" t="str">
        <f>Sheet2!A8</f>
        <v>组团江北新城分区D6-6号地块</v>
      </c>
      <c r="H7" s="4061"/>
      <c r="I7" s="4060" t="str">
        <f>Sheet2!A16</f>
        <v>江北新城组团两桥片区分区B-92-01/01地块</v>
      </c>
      <c r="J7" s="4061"/>
      <c r="K7" s="513"/>
      <c r="L7" s="2117"/>
      <c r="M7" s="2116"/>
      <c r="N7" s="2116"/>
      <c r="O7" s="2118"/>
      <c r="P7" s="4048"/>
      <c r="Q7" s="4049"/>
      <c r="R7" s="4054"/>
      <c r="S7" s="4055"/>
      <c r="T7" s="4054"/>
      <c r="U7" s="4055"/>
      <c r="V7" s="4039"/>
      <c r="W7" s="4039"/>
      <c r="X7" s="1552"/>
      <c r="Y7" s="4054"/>
      <c r="Z7" s="4055"/>
      <c r="AA7" s="4042"/>
      <c r="AB7" s="4042"/>
      <c r="AC7" s="4042"/>
    </row>
    <row r="8" spans="1:30" ht="21" thickBot="1">
      <c r="A8" s="514"/>
      <c r="B8" s="515"/>
      <c r="C8" s="4062" t="s">
        <v>2930</v>
      </c>
      <c r="D8" s="4063"/>
      <c r="E8" s="4062" t="s">
        <v>2930</v>
      </c>
      <c r="F8" s="4063"/>
      <c r="G8" s="4058" t="s">
        <v>2930</v>
      </c>
      <c r="H8" s="4059"/>
      <c r="I8" s="4058" t="s">
        <v>2930</v>
      </c>
      <c r="J8" s="4059"/>
      <c r="K8" s="513" t="s">
        <v>528</v>
      </c>
      <c r="L8" s="2117"/>
      <c r="M8" s="2116"/>
      <c r="N8" s="2116"/>
      <c r="O8" s="2118"/>
      <c r="P8" s="4050"/>
      <c r="Q8" s="4051"/>
      <c r="R8" s="4054"/>
      <c r="S8" s="4055"/>
      <c r="T8" s="4056"/>
      <c r="U8" s="4057"/>
      <c r="V8" s="4039"/>
      <c r="W8" s="4039"/>
      <c r="X8" s="1552"/>
      <c r="Y8" s="4056"/>
      <c r="Z8" s="4057"/>
      <c r="AA8" s="4043"/>
      <c r="AB8" s="4043"/>
      <c r="AC8" s="4043"/>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69" t="s">
        <v>530</v>
      </c>
      <c r="Q9" s="4071"/>
      <c r="R9" s="1553" t="s">
        <v>8</v>
      </c>
      <c r="S9" s="1554">
        <f t="shared" ref="S9:S17" si="0">F9</f>
        <v>99</v>
      </c>
      <c r="T9" s="1553" t="s">
        <v>8</v>
      </c>
      <c r="U9" s="1554">
        <f t="shared" ref="U9:U17" si="1">H9</f>
        <v>98</v>
      </c>
      <c r="V9" s="1553" t="s">
        <v>8</v>
      </c>
      <c r="W9" s="1554">
        <f t="shared" ref="W9:W17" si="2">J9</f>
        <v>97</v>
      </c>
      <c r="X9" s="1555"/>
      <c r="Y9" s="4069" t="s">
        <v>530</v>
      </c>
      <c r="Z9" s="4070"/>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069" t="s">
        <v>533</v>
      </c>
      <c r="Q10" s="4070"/>
      <c r="R10" s="1553" t="s">
        <v>8</v>
      </c>
      <c r="S10" s="1554">
        <f t="shared" si="0"/>
        <v>100</v>
      </c>
      <c r="T10" s="1553" t="s">
        <v>8</v>
      </c>
      <c r="U10" s="1554">
        <f t="shared" si="1"/>
        <v>100</v>
      </c>
      <c r="V10" s="1553" t="s">
        <v>8</v>
      </c>
      <c r="W10" s="1554">
        <f t="shared" si="2"/>
        <v>100</v>
      </c>
      <c r="X10" s="1555"/>
      <c r="Y10" s="4069" t="s">
        <v>533</v>
      </c>
      <c r="Z10" s="4070"/>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38" t="s">
        <v>535</v>
      </c>
      <c r="Q11" s="1146" t="str">
        <f t="shared" ref="Q11:Q17" si="6">B11</f>
        <v>用途</v>
      </c>
      <c r="R11" s="1553" t="s">
        <v>8</v>
      </c>
      <c r="S11" s="1554">
        <f t="shared" si="0"/>
        <v>100</v>
      </c>
      <c r="T11" s="1553" t="s">
        <v>8</v>
      </c>
      <c r="U11" s="1554">
        <f t="shared" si="1"/>
        <v>100</v>
      </c>
      <c r="V11" s="1553" t="s">
        <v>8</v>
      </c>
      <c r="W11" s="1554">
        <f t="shared" si="2"/>
        <v>100</v>
      </c>
      <c r="X11" s="1555"/>
      <c r="Y11" s="3984"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38"/>
      <c r="Q12" s="1146" t="str">
        <f t="shared" si="6"/>
        <v>土地使用年限（年）</v>
      </c>
      <c r="R12" s="1553" t="s">
        <v>8</v>
      </c>
      <c r="S12" s="1554">
        <f t="shared" si="0"/>
        <v>104</v>
      </c>
      <c r="T12" s="1553" t="s">
        <v>8</v>
      </c>
      <c r="U12" s="1554">
        <f t="shared" si="1"/>
        <v>104</v>
      </c>
      <c r="V12" s="1553" t="s">
        <v>8</v>
      </c>
      <c r="W12" s="1554">
        <f t="shared" si="2"/>
        <v>104</v>
      </c>
      <c r="X12" s="1555"/>
      <c r="Y12" s="3984"/>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38"/>
      <c r="Q13" s="1146" t="str">
        <f t="shared" si="6"/>
        <v>容积率</v>
      </c>
      <c r="R13" s="1553" t="s">
        <v>8</v>
      </c>
      <c r="S13" s="1554">
        <f t="shared" si="0"/>
        <v>109</v>
      </c>
      <c r="T13" s="1553" t="s">
        <v>8</v>
      </c>
      <c r="U13" s="1554">
        <f t="shared" si="1"/>
        <v>106</v>
      </c>
      <c r="V13" s="1553" t="s">
        <v>8</v>
      </c>
      <c r="W13" s="1554">
        <f t="shared" si="2"/>
        <v>106</v>
      </c>
      <c r="X13" s="1555"/>
      <c r="Y13" s="3984"/>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38"/>
      <c r="Q14" s="1146" t="str">
        <f t="shared" si="6"/>
        <v>配建</v>
      </c>
      <c r="R14" s="1553" t="s">
        <v>8</v>
      </c>
      <c r="S14" s="1554">
        <f t="shared" si="0"/>
        <v>100</v>
      </c>
      <c r="T14" s="1553" t="s">
        <v>8</v>
      </c>
      <c r="U14" s="1554">
        <f t="shared" si="1"/>
        <v>100</v>
      </c>
      <c r="V14" s="1553" t="s">
        <v>8</v>
      </c>
      <c r="W14" s="1554">
        <f t="shared" si="2"/>
        <v>100</v>
      </c>
      <c r="X14" s="1555"/>
      <c r="Y14" s="3984"/>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38"/>
      <c r="Q15" s="1146">
        <f t="shared" si="6"/>
        <v>111</v>
      </c>
      <c r="R15" s="1553" t="s">
        <v>8</v>
      </c>
      <c r="S15" s="1554">
        <f t="shared" si="0"/>
        <v>100</v>
      </c>
      <c r="T15" s="1553" t="s">
        <v>8</v>
      </c>
      <c r="U15" s="1554">
        <f t="shared" si="1"/>
        <v>100</v>
      </c>
      <c r="V15" s="1553" t="s">
        <v>8</v>
      </c>
      <c r="W15" s="1554">
        <f t="shared" si="2"/>
        <v>100</v>
      </c>
      <c r="X15" s="1555"/>
      <c r="Y15" s="3984"/>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38"/>
      <c r="Q16" s="1146">
        <f t="shared" si="6"/>
        <v>111</v>
      </c>
      <c r="R16" s="1553" t="s">
        <v>8</v>
      </c>
      <c r="S16" s="1554">
        <f t="shared" si="0"/>
        <v>100</v>
      </c>
      <c r="T16" s="1553" t="s">
        <v>8</v>
      </c>
      <c r="U16" s="1554">
        <f t="shared" si="1"/>
        <v>100</v>
      </c>
      <c r="V16" s="1553" t="s">
        <v>8</v>
      </c>
      <c r="W16" s="1554">
        <f t="shared" si="2"/>
        <v>100</v>
      </c>
      <c r="X16" s="1555"/>
      <c r="Y16" s="3984"/>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072" t="s">
        <v>540</v>
      </c>
      <c r="Q17" s="1557" t="str">
        <f t="shared" si="6"/>
        <v>居住社区成熟度</v>
      </c>
      <c r="R17" s="1558" t="s">
        <v>8</v>
      </c>
      <c r="S17" s="1559">
        <f t="shared" si="0"/>
        <v>100</v>
      </c>
      <c r="T17" s="1558" t="s">
        <v>8</v>
      </c>
      <c r="U17" s="1559">
        <f t="shared" si="1"/>
        <v>100</v>
      </c>
      <c r="V17" s="1558" t="s">
        <v>8</v>
      </c>
      <c r="W17" s="1559">
        <f t="shared" si="2"/>
        <v>100</v>
      </c>
      <c r="X17" s="1552"/>
      <c r="Y17" s="4072"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073"/>
      <c r="Q18" s="1557"/>
      <c r="R18" s="1558"/>
      <c r="S18" s="1559"/>
      <c r="T18" s="1558"/>
      <c r="U18" s="1559"/>
      <c r="V18" s="1558"/>
      <c r="W18" s="1559"/>
      <c r="X18" s="1552"/>
      <c r="Y18" s="4073"/>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073"/>
      <c r="Q19" s="1557" t="str">
        <f>B19</f>
        <v>商业繁华度</v>
      </c>
      <c r="R19" s="1558" t="s">
        <v>8</v>
      </c>
      <c r="S19" s="1559">
        <f>F19</f>
        <v>98</v>
      </c>
      <c r="T19" s="1558" t="s">
        <v>8</v>
      </c>
      <c r="U19" s="1559">
        <f>H19</f>
        <v>100</v>
      </c>
      <c r="V19" s="1558" t="s">
        <v>8</v>
      </c>
      <c r="W19" s="1559">
        <f>J19</f>
        <v>100</v>
      </c>
      <c r="X19" s="1552"/>
      <c r="Y19" s="4073"/>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073"/>
      <c r="Q20" s="1557"/>
      <c r="R20" s="1558"/>
      <c r="S20" s="1559"/>
      <c r="T20" s="1558"/>
      <c r="U20" s="1559"/>
      <c r="V20" s="1558"/>
      <c r="W20" s="1559"/>
      <c r="X20" s="1552"/>
      <c r="Y20" s="4073"/>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73"/>
      <c r="Q21" s="1557" t="str">
        <f>B21</f>
        <v>办公集聚程度</v>
      </c>
      <c r="R21" s="1558" t="s">
        <v>8</v>
      </c>
      <c r="S21" s="1559">
        <f>F21</f>
        <v>100</v>
      </c>
      <c r="T21" s="1558" t="s">
        <v>8</v>
      </c>
      <c r="U21" s="1559">
        <f>H21</f>
        <v>100</v>
      </c>
      <c r="V21" s="1558" t="s">
        <v>8</v>
      </c>
      <c r="W21" s="1559">
        <f>J21</f>
        <v>100</v>
      </c>
      <c r="X21" s="1552"/>
      <c r="Y21" s="4073"/>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073"/>
      <c r="Q22" s="1557"/>
      <c r="R22" s="1558"/>
      <c r="S22" s="1559"/>
      <c r="T22" s="1558"/>
      <c r="U22" s="1559"/>
      <c r="V22" s="1558"/>
      <c r="W22" s="1559"/>
      <c r="X22" s="1552"/>
      <c r="Y22" s="4073"/>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073"/>
      <c r="Q23" s="1557" t="str">
        <f>B23</f>
        <v>交通便捷度</v>
      </c>
      <c r="R23" s="1558" t="s">
        <v>8</v>
      </c>
      <c r="S23" s="1559">
        <f>F23</f>
        <v>100</v>
      </c>
      <c r="T23" s="1558" t="s">
        <v>8</v>
      </c>
      <c r="U23" s="1559">
        <f>H23</f>
        <v>100</v>
      </c>
      <c r="V23" s="1558" t="s">
        <v>8</v>
      </c>
      <c r="W23" s="1559">
        <f>J23</f>
        <v>100</v>
      </c>
      <c r="X23" s="1552"/>
      <c r="Y23" s="4073"/>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073"/>
      <c r="Q24" s="1557"/>
      <c r="R24" s="1558"/>
      <c r="S24" s="1559"/>
      <c r="T24" s="1558"/>
      <c r="U24" s="1559"/>
      <c r="V24" s="1558"/>
      <c r="W24" s="1559"/>
      <c r="X24" s="1552"/>
      <c r="Y24" s="4073"/>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073"/>
      <c r="Q25" s="1557" t="str">
        <f t="shared" ref="Q25:Q39" si="8">B25</f>
        <v>区域土地利用方向</v>
      </c>
      <c r="R25" s="1558" t="s">
        <v>8</v>
      </c>
      <c r="S25" s="1559">
        <f>F25</f>
        <v>100</v>
      </c>
      <c r="T25" s="1558" t="s">
        <v>8</v>
      </c>
      <c r="U25" s="1559">
        <f>H25</f>
        <v>100</v>
      </c>
      <c r="V25" s="1558" t="s">
        <v>8</v>
      </c>
      <c r="W25" s="1559">
        <f>J25</f>
        <v>100</v>
      </c>
      <c r="X25" s="1552"/>
      <c r="Y25" s="4073"/>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073"/>
      <c r="Q26" s="1557"/>
      <c r="R26" s="1558"/>
      <c r="S26" s="1559"/>
      <c r="T26" s="1558"/>
      <c r="U26" s="1559"/>
      <c r="V26" s="1558"/>
      <c r="W26" s="1559"/>
      <c r="X26" s="1552"/>
      <c r="Y26" s="4073"/>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073"/>
      <c r="Q27" s="1557" t="str">
        <f t="shared" si="8"/>
        <v>自然及人文环境状况</v>
      </c>
      <c r="R27" s="1558" t="s">
        <v>8</v>
      </c>
      <c r="S27" s="1559">
        <f>F27</f>
        <v>96</v>
      </c>
      <c r="T27" s="1558" t="s">
        <v>8</v>
      </c>
      <c r="U27" s="1559">
        <f>H27</f>
        <v>100</v>
      </c>
      <c r="V27" s="1558" t="s">
        <v>8</v>
      </c>
      <c r="W27" s="1559">
        <f>J27</f>
        <v>100</v>
      </c>
      <c r="X27" s="1552"/>
      <c r="Y27" s="4073"/>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073"/>
      <c r="Q28" s="1557"/>
      <c r="R28" s="1558"/>
      <c r="S28" s="1559"/>
      <c r="T28" s="1558"/>
      <c r="U28" s="1559"/>
      <c r="V28" s="1558"/>
      <c r="W28" s="1559"/>
      <c r="X28" s="1552"/>
      <c r="Y28" s="4073"/>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073"/>
      <c r="Q29" s="1146" t="str">
        <f t="shared" si="8"/>
        <v>公共配套设施</v>
      </c>
      <c r="R29" s="1553" t="s">
        <v>8</v>
      </c>
      <c r="S29" s="1554">
        <f>F29</f>
        <v>100</v>
      </c>
      <c r="T29" s="1553" t="s">
        <v>8</v>
      </c>
      <c r="U29" s="1554">
        <f>H29</f>
        <v>102</v>
      </c>
      <c r="V29" s="1553" t="s">
        <v>8</v>
      </c>
      <c r="W29" s="1554">
        <f>J29</f>
        <v>102</v>
      </c>
      <c r="X29" s="1555"/>
      <c r="Y29" s="4073"/>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073"/>
      <c r="Q30" s="1146"/>
      <c r="R30" s="1553"/>
      <c r="S30" s="1554"/>
      <c r="T30" s="1553"/>
      <c r="U30" s="1554"/>
      <c r="V30" s="1553"/>
      <c r="W30" s="1554"/>
      <c r="X30" s="1555"/>
      <c r="Y30" s="4073"/>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073"/>
      <c r="Q31" s="2541" t="str">
        <f t="shared" ref="Q31" si="9">B31</f>
        <v>基础设施水平</v>
      </c>
      <c r="R31" s="1553" t="s">
        <v>8</v>
      </c>
      <c r="S31" s="1554">
        <f>F31</f>
        <v>100</v>
      </c>
      <c r="T31" s="1553" t="s">
        <v>8</v>
      </c>
      <c r="U31" s="1554">
        <f>H31</f>
        <v>100</v>
      </c>
      <c r="V31" s="1553" t="s">
        <v>8</v>
      </c>
      <c r="W31" s="1554">
        <f>J31</f>
        <v>100</v>
      </c>
      <c r="X31" s="1555"/>
      <c r="Y31" s="4073"/>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073"/>
      <c r="Q32" s="2541"/>
      <c r="R32" s="1553"/>
      <c r="S32" s="1554"/>
      <c r="T32" s="1553"/>
      <c r="U32" s="1554"/>
      <c r="V32" s="1553"/>
      <c r="W32" s="1554"/>
      <c r="X32" s="1555"/>
      <c r="Y32" s="4073"/>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7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73"/>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073"/>
      <c r="Q34" s="1557" t="str">
        <f t="shared" si="8"/>
        <v>毗邻道路的类型与等级</v>
      </c>
      <c r="R34" s="1558" t="s">
        <v>8</v>
      </c>
      <c r="S34" s="1559">
        <f t="shared" si="10"/>
        <v>101</v>
      </c>
      <c r="T34" s="1558" t="s">
        <v>8</v>
      </c>
      <c r="U34" s="1559">
        <f t="shared" si="11"/>
        <v>100</v>
      </c>
      <c r="V34" s="1558" t="s">
        <v>8</v>
      </c>
      <c r="W34" s="1559">
        <f t="shared" si="12"/>
        <v>100</v>
      </c>
      <c r="X34" s="1552"/>
      <c r="Y34" s="4073"/>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073"/>
      <c r="Q35" s="1557"/>
      <c r="R35" s="1558"/>
      <c r="S35" s="1559"/>
      <c r="T35" s="1558"/>
      <c r="U35" s="1559"/>
      <c r="V35" s="1558"/>
      <c r="W35" s="1559"/>
      <c r="X35" s="1552"/>
      <c r="Y35" s="4073"/>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73"/>
      <c r="Q36" s="1557" t="str">
        <f t="shared" si="8"/>
        <v>土地级别</v>
      </c>
      <c r="R36" s="1558" t="s">
        <v>8</v>
      </c>
      <c r="S36" s="1559">
        <f t="shared" si="10"/>
        <v>100</v>
      </c>
      <c r="T36" s="1558" t="s">
        <v>8</v>
      </c>
      <c r="U36" s="1559">
        <f t="shared" si="11"/>
        <v>100</v>
      </c>
      <c r="V36" s="1558" t="s">
        <v>8</v>
      </c>
      <c r="W36" s="1559">
        <f t="shared" si="12"/>
        <v>100</v>
      </c>
      <c r="X36" s="1552"/>
      <c r="Y36" s="4073"/>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73"/>
      <c r="Q37" s="1557">
        <f t="shared" si="8"/>
        <v>111</v>
      </c>
      <c r="R37" s="1558" t="s">
        <v>8</v>
      </c>
      <c r="S37" s="1559">
        <f t="shared" si="10"/>
        <v>100</v>
      </c>
      <c r="T37" s="1558" t="s">
        <v>8</v>
      </c>
      <c r="U37" s="1559">
        <f t="shared" si="11"/>
        <v>100</v>
      </c>
      <c r="V37" s="1558" t="s">
        <v>8</v>
      </c>
      <c r="W37" s="1559">
        <f t="shared" si="12"/>
        <v>100</v>
      </c>
      <c r="X37" s="1552"/>
      <c r="Y37" s="4073"/>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74" t="s">
        <v>550</v>
      </c>
      <c r="Q38" s="1557">
        <f t="shared" si="8"/>
        <v>111</v>
      </c>
      <c r="R38" s="1558" t="s">
        <v>8</v>
      </c>
      <c r="S38" s="1559">
        <f t="shared" si="10"/>
        <v>100</v>
      </c>
      <c r="T38" s="1558" t="s">
        <v>8</v>
      </c>
      <c r="U38" s="1559">
        <f t="shared" si="11"/>
        <v>100</v>
      </c>
      <c r="V38" s="1558" t="s">
        <v>8</v>
      </c>
      <c r="W38" s="1559">
        <f t="shared" si="12"/>
        <v>100</v>
      </c>
      <c r="X38" s="1552"/>
      <c r="Y38" s="4075"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75"/>
      <c r="Q39" s="1557">
        <f t="shared" si="8"/>
        <v>111</v>
      </c>
      <c r="R39" s="1562" t="s">
        <v>8</v>
      </c>
      <c r="S39" s="1563">
        <f t="shared" si="10"/>
        <v>100</v>
      </c>
      <c r="T39" s="1562" t="s">
        <v>8</v>
      </c>
      <c r="U39" s="1563">
        <f t="shared" si="11"/>
        <v>100</v>
      </c>
      <c r="V39" s="1562" t="s">
        <v>8</v>
      </c>
      <c r="W39" s="1563">
        <f t="shared" si="12"/>
        <v>100</v>
      </c>
      <c r="X39" s="1564"/>
      <c r="Y39" s="4075"/>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75"/>
      <c r="Q40" s="1557" t="str">
        <f>B40</f>
        <v>宗地面积</v>
      </c>
      <c r="R40" s="1558" t="s">
        <v>8</v>
      </c>
      <c r="S40" s="1559">
        <f t="shared" si="10"/>
        <v>100</v>
      </c>
      <c r="T40" s="1558" t="s">
        <v>8</v>
      </c>
      <c r="U40" s="1559">
        <f t="shared" si="11"/>
        <v>102</v>
      </c>
      <c r="V40" s="1558" t="s">
        <v>8</v>
      </c>
      <c r="W40" s="1559">
        <f t="shared" si="12"/>
        <v>102</v>
      </c>
      <c r="X40" s="1552"/>
      <c r="Y40" s="4075"/>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075"/>
      <c r="Q41" s="1557" t="str">
        <f t="shared" ref="Q41:Q47" si="14">B41</f>
        <v>宗地形状</v>
      </c>
      <c r="R41" s="1558" t="s">
        <v>8</v>
      </c>
      <c r="S41" s="1559">
        <f t="shared" si="10"/>
        <v>100</v>
      </c>
      <c r="T41" s="1558" t="s">
        <v>8</v>
      </c>
      <c r="U41" s="1559">
        <f t="shared" si="11"/>
        <v>100</v>
      </c>
      <c r="V41" s="1558" t="s">
        <v>8</v>
      </c>
      <c r="W41" s="1559">
        <f t="shared" si="12"/>
        <v>100</v>
      </c>
      <c r="X41" s="1552"/>
      <c r="Y41" s="4075"/>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075"/>
      <c r="Q42" s="1557" t="str">
        <f t="shared" si="14"/>
        <v>临街宽度及深度</v>
      </c>
      <c r="R42" s="1558" t="s">
        <v>8</v>
      </c>
      <c r="S42" s="1559">
        <f t="shared" si="10"/>
        <v>100</v>
      </c>
      <c r="T42" s="1558" t="s">
        <v>8</v>
      </c>
      <c r="U42" s="1559">
        <f t="shared" si="11"/>
        <v>100</v>
      </c>
      <c r="V42" s="1558" t="s">
        <v>8</v>
      </c>
      <c r="W42" s="1559">
        <f t="shared" si="12"/>
        <v>100</v>
      </c>
      <c r="X42" s="1552"/>
      <c r="Y42" s="4075"/>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075"/>
      <c r="Q43" s="1557" t="str">
        <f t="shared" si="14"/>
        <v>宗地开发程度</v>
      </c>
      <c r="R43" s="1553" t="s">
        <v>8</v>
      </c>
      <c r="S43" s="1554">
        <f t="shared" si="10"/>
        <v>98</v>
      </c>
      <c r="T43" s="1553" t="s">
        <v>8</v>
      </c>
      <c r="U43" s="1554">
        <f t="shared" si="11"/>
        <v>98</v>
      </c>
      <c r="V43" s="1553" t="s">
        <v>8</v>
      </c>
      <c r="W43" s="1554">
        <f t="shared" si="12"/>
        <v>98</v>
      </c>
      <c r="X43" s="1555"/>
      <c r="Y43" s="4075"/>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075" t="s">
        <v>550</v>
      </c>
      <c r="Q44" s="1557" t="str">
        <f t="shared" si="14"/>
        <v>工程地质条件</v>
      </c>
      <c r="R44" s="1558" t="s">
        <v>8</v>
      </c>
      <c r="S44" s="1559">
        <f t="shared" si="10"/>
        <v>100</v>
      </c>
      <c r="T44" s="1558" t="s">
        <v>8</v>
      </c>
      <c r="U44" s="1559">
        <f t="shared" si="11"/>
        <v>100</v>
      </c>
      <c r="V44" s="1558" t="s">
        <v>8</v>
      </c>
      <c r="W44" s="1559">
        <f t="shared" si="12"/>
        <v>100</v>
      </c>
      <c r="X44" s="1552"/>
      <c r="Y44" s="4075"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75"/>
      <c r="Q45" s="1557">
        <f t="shared" si="14"/>
        <v>111</v>
      </c>
      <c r="R45" s="1558" t="s">
        <v>8</v>
      </c>
      <c r="S45" s="1559">
        <f t="shared" si="10"/>
        <v>100</v>
      </c>
      <c r="T45" s="1558" t="s">
        <v>8</v>
      </c>
      <c r="U45" s="1559">
        <f t="shared" si="11"/>
        <v>100</v>
      </c>
      <c r="V45" s="1558" t="s">
        <v>8</v>
      </c>
      <c r="W45" s="1559">
        <f t="shared" si="12"/>
        <v>100</v>
      </c>
      <c r="X45" s="1552"/>
      <c r="Y45" s="4075"/>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75"/>
      <c r="Q46" s="1557">
        <f t="shared" si="14"/>
        <v>111</v>
      </c>
      <c r="R46" s="1558" t="s">
        <v>8</v>
      </c>
      <c r="S46" s="1559">
        <f t="shared" si="10"/>
        <v>100</v>
      </c>
      <c r="T46" s="1558" t="s">
        <v>8</v>
      </c>
      <c r="U46" s="1559">
        <f t="shared" si="11"/>
        <v>100</v>
      </c>
      <c r="V46" s="1558" t="s">
        <v>8</v>
      </c>
      <c r="W46" s="1559">
        <f t="shared" si="12"/>
        <v>100</v>
      </c>
      <c r="X46" s="1552"/>
      <c r="Y46" s="4075"/>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75"/>
      <c r="Q47" s="1557">
        <f t="shared" si="14"/>
        <v>111</v>
      </c>
      <c r="R47" s="1562" t="s">
        <v>8</v>
      </c>
      <c r="S47" s="1563">
        <f t="shared" si="10"/>
        <v>100</v>
      </c>
      <c r="T47" s="1562" t="s">
        <v>8</v>
      </c>
      <c r="U47" s="1563">
        <f t="shared" si="11"/>
        <v>100</v>
      </c>
      <c r="V47" s="1562" t="s">
        <v>8</v>
      </c>
      <c r="W47" s="1563">
        <f t="shared" si="12"/>
        <v>100</v>
      </c>
      <c r="X47" s="1564"/>
      <c r="Y47" s="4075"/>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38" t="str">
        <f>A48</f>
        <v>成交单价</v>
      </c>
      <c r="Q48" s="4038"/>
      <c r="R48" s="4039">
        <f>E48</f>
        <v>1459.99</v>
      </c>
      <c r="S48" s="4039"/>
      <c r="T48" s="4039">
        <f>G48</f>
        <v>1296.1500000000001</v>
      </c>
      <c r="U48" s="4039"/>
      <c r="V48" s="4039">
        <f>I48</f>
        <v>1485</v>
      </c>
      <c r="W48" s="4039"/>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38" t="str">
        <f>A49</f>
        <v>比较价格（元/平方米）</v>
      </c>
      <c r="Q49" s="4038"/>
      <c r="R49" s="4040">
        <f>ROUND(PRODUCT(R48,AA9:AA47),0)</f>
        <v>1397</v>
      </c>
      <c r="S49" s="4040"/>
      <c r="T49" s="4040">
        <f>ROUND(PRODUCT(T48,AB9:AB47),0)</f>
        <v>1177</v>
      </c>
      <c r="U49" s="4040"/>
      <c r="V49" s="4040">
        <f>ROUND(PRODUCT(V48,AC9:AC47),0)</f>
        <v>1362</v>
      </c>
      <c r="W49" s="4040"/>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35" t="str">
        <f>A50</f>
        <v>估价对象XX用房的比较价格（楼面单价，元/平方米）</v>
      </c>
      <c r="Q50" s="4036"/>
      <c r="R50" s="4037">
        <f>ROUND(AVERAGE(R49:V49),0)</f>
        <v>1312</v>
      </c>
      <c r="S50" s="4037"/>
      <c r="T50" s="4037"/>
      <c r="U50" s="4037"/>
      <c r="V50" s="4037"/>
      <c r="W50" s="403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64" t="s">
        <v>2281</v>
      </c>
      <c r="H57" s="4065"/>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88697.150000000009</v>
      </c>
      <c r="F58" s="635">
        <f t="shared" ref="F58:F67" si="15">ROUND(B58*E58/10000,0)</f>
        <v>11637</v>
      </c>
      <c r="G58" s="4066"/>
      <c r="H58" s="406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068"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06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06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06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108087.26000000001</v>
      </c>
      <c r="F68" s="643">
        <f>IF(B48="楼面地价",SUM(F58:F67),ROUND(C50*E68/10000,0))</f>
        <v>11637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16195</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8048</v>
      </c>
      <c r="C4" s="427"/>
      <c r="D4" s="421"/>
      <c r="E4" s="421"/>
      <c r="F4" s="421"/>
      <c r="G4" s="421"/>
      <c r="H4" s="421"/>
      <c r="I4" s="421"/>
      <c r="J4" s="421"/>
      <c r="K4" s="421"/>
    </row>
    <row r="5" spans="1:31" s="2025" customFormat="1" ht="18" customHeight="1" thickBot="1">
      <c r="A5" s="428"/>
      <c r="B5" s="429">
        <f ca="1">ROUND(B2/(IF(B1="",'数据-汇总表'!D3,INDIRECT("'数据-取费表'!R"&amp;$K$1))/666.67),0)</f>
        <v>537</v>
      </c>
      <c r="C5" s="430" t="s">
        <v>469</v>
      </c>
      <c r="D5" s="421"/>
      <c r="E5" s="421"/>
      <c r="F5" s="421"/>
      <c r="G5" s="421"/>
      <c r="H5" s="421"/>
      <c r="I5" s="421"/>
      <c r="J5" s="421"/>
      <c r="K5" s="421"/>
    </row>
    <row r="6" spans="1:31" s="2095" customFormat="1" ht="16.5" customHeight="1">
      <c r="A6" s="2782" t="s">
        <v>1842</v>
      </c>
      <c r="B6" s="2783"/>
      <c r="C6" s="2784">
        <f ca="1">SUM(C10:K10)</f>
        <v>53497</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82203.94</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43272</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19838</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444</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1335</v>
      </c>
      <c r="D16" s="2798">
        <f ca="1">IF(B1="",'数据-汇总表'!E3,INDIRECT("'数据-取费表'!K"&amp;$K$1)+INDIRECT("'数据-取费表'!S"&amp;$K$1))</f>
        <v>111281.46</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298</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22510</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111281.46</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2003</v>
      </c>
      <c r="D20" s="2808"/>
      <c r="E20" s="2762"/>
      <c r="F20" s="2809"/>
      <c r="G20" s="3036"/>
      <c r="H20" s="2764"/>
      <c r="I20" s="2765" t="s">
        <v>2650</v>
      </c>
      <c r="J20" s="2771"/>
      <c r="K20" s="2772"/>
    </row>
    <row r="21" spans="1:14" s="2100" customFormat="1" ht="13.5" customHeight="1">
      <c r="A21" s="2796" t="s">
        <v>1856</v>
      </c>
      <c r="B21" s="2797" t="s">
        <v>491</v>
      </c>
      <c r="C21" s="53">
        <f ca="1">ROUND(D21*E21/10000,0)</f>
        <v>1480</v>
      </c>
      <c r="D21" s="2798">
        <f ca="1">IF(B1="",'数据-汇总表'!E5,IF(INDIRECT("'数据-取费表'!c"&amp;$K$1)="住宅",INDIRECT("'数据-取费表'!k"&amp;$K$1),0))</f>
        <v>82203.94</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368</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1220</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1220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2802</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29705</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29705</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3339</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3339</v>
      </c>
      <c r="D35" s="1613"/>
      <c r="E35" s="2818"/>
      <c r="F35" s="1614"/>
      <c r="G35" s="2776"/>
      <c r="H35" s="2777"/>
      <c r="I35" s="2777"/>
      <c r="J35" s="2777"/>
      <c r="K35" s="2778"/>
    </row>
    <row r="36" spans="1:11" s="2069" customFormat="1" ht="13.5" customHeight="1" thickBot="1">
      <c r="A36" s="283" t="s">
        <v>1844</v>
      </c>
      <c r="B36" s="2780"/>
      <c r="C36" s="2819">
        <f ca="1">ROUND((C6-C30-C33)/(1+D30+D33),0)</f>
        <v>16195</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19838</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444</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1335</v>
      </c>
      <c r="D16" s="450">
        <f ca="1">IF(B1="",'数据-汇总表'!E3,INDIRECT("'数据-取费表'!K"&amp;$K$1)+INDIRECT("'数据-取费表'!S"&amp;$K$1))</f>
        <v>111281.46</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298</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22510</v>
      </c>
      <c r="D18" s="460"/>
      <c r="E18" s="461"/>
      <c r="F18" s="461"/>
      <c r="G18" s="1322" t="s">
        <v>2432</v>
      </c>
      <c r="H18" s="446"/>
      <c r="I18" s="446"/>
      <c r="J18" s="446"/>
      <c r="K18" s="447"/>
    </row>
    <row r="19" spans="1:14" s="2103" customFormat="1" ht="13.5" customHeight="1">
      <c r="A19" s="1618" t="s">
        <v>1854</v>
      </c>
      <c r="B19" s="458" t="s">
        <v>493</v>
      </c>
      <c r="C19" s="459">
        <f ca="1">ROUND(C18*F19,0)</f>
        <v>338</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1085</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1085</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2970</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2970</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28931</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44" t="s">
        <v>522</v>
      </c>
      <c r="D6" s="4045"/>
      <c r="E6" s="4078" t="s">
        <v>523</v>
      </c>
      <c r="F6" s="4079"/>
      <c r="G6" s="4044" t="s">
        <v>524</v>
      </c>
      <c r="H6" s="4045"/>
      <c r="I6" s="4044" t="s">
        <v>525</v>
      </c>
      <c r="J6" s="4045"/>
      <c r="K6" s="513" t="s">
        <v>526</v>
      </c>
      <c r="L6" s="2117"/>
      <c r="M6" s="2118"/>
      <c r="N6" s="2118"/>
      <c r="O6" s="2118"/>
      <c r="P6" s="4046" t="s">
        <v>527</v>
      </c>
      <c r="Q6" s="4047"/>
      <c r="R6" s="4052" t="s">
        <v>523</v>
      </c>
      <c r="S6" s="4053"/>
      <c r="T6" s="4052" t="s">
        <v>524</v>
      </c>
      <c r="U6" s="4053"/>
      <c r="V6" s="4039" t="s">
        <v>525</v>
      </c>
      <c r="W6" s="4039"/>
      <c r="X6" s="1552"/>
      <c r="Y6" s="4052" t="s">
        <v>527</v>
      </c>
      <c r="Z6" s="4053"/>
      <c r="AA6" s="4041" t="s">
        <v>523</v>
      </c>
      <c r="AB6" s="4042" t="s">
        <v>524</v>
      </c>
      <c r="AC6" s="4041" t="s">
        <v>525</v>
      </c>
    </row>
    <row r="7" spans="1:29" ht="15">
      <c r="A7" s="514"/>
      <c r="B7" s="515"/>
      <c r="C7" s="4060" t="s">
        <v>2926</v>
      </c>
      <c r="D7" s="4061"/>
      <c r="E7" s="4080" t="s">
        <v>2927</v>
      </c>
      <c r="F7" s="4081"/>
      <c r="G7" s="4060" t="s">
        <v>2928</v>
      </c>
      <c r="H7" s="4061"/>
      <c r="I7" s="4060" t="s">
        <v>2929</v>
      </c>
      <c r="J7" s="4061"/>
      <c r="K7" s="513"/>
      <c r="L7" s="2117"/>
      <c r="M7" s="2118"/>
      <c r="N7" s="2118"/>
      <c r="O7" s="2118"/>
      <c r="P7" s="4048"/>
      <c r="Q7" s="4049"/>
      <c r="R7" s="4054"/>
      <c r="S7" s="4055"/>
      <c r="T7" s="4054"/>
      <c r="U7" s="4055"/>
      <c r="V7" s="4039"/>
      <c r="W7" s="4039"/>
      <c r="X7" s="1552"/>
      <c r="Y7" s="4054"/>
      <c r="Z7" s="4055"/>
      <c r="AA7" s="4042"/>
      <c r="AB7" s="4042"/>
      <c r="AC7" s="4042"/>
    </row>
    <row r="8" spans="1:29" ht="15.75" thickBot="1">
      <c r="A8" s="516"/>
      <c r="B8" s="517"/>
      <c r="C8" s="4058" t="s">
        <v>2930</v>
      </c>
      <c r="D8" s="4059"/>
      <c r="E8" s="4076" t="s">
        <v>2930</v>
      </c>
      <c r="F8" s="4077"/>
      <c r="G8" s="4058" t="s">
        <v>2930</v>
      </c>
      <c r="H8" s="4059"/>
      <c r="I8" s="4058" t="s">
        <v>2930</v>
      </c>
      <c r="J8" s="4059"/>
      <c r="K8" s="513" t="s">
        <v>528</v>
      </c>
      <c r="L8" s="2117"/>
      <c r="M8" s="2118"/>
      <c r="N8" s="2118"/>
      <c r="O8" s="2118"/>
      <c r="P8" s="4050"/>
      <c r="Q8" s="4051"/>
      <c r="R8" s="4054"/>
      <c r="S8" s="4055"/>
      <c r="T8" s="4056"/>
      <c r="U8" s="4057"/>
      <c r="V8" s="4039"/>
      <c r="W8" s="4039"/>
      <c r="X8" s="1552"/>
      <c r="Y8" s="4056"/>
      <c r="Z8" s="4057"/>
      <c r="AA8" s="4043"/>
      <c r="AB8" s="4043"/>
      <c r="AC8" s="4043"/>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69" t="s">
        <v>530</v>
      </c>
      <c r="Q9" s="4071"/>
      <c r="R9" s="1553" t="s">
        <v>8</v>
      </c>
      <c r="S9" s="1554">
        <f t="shared" ref="S9:S17" si="0">F9</f>
        <v>0</v>
      </c>
      <c r="T9" s="1553" t="s">
        <v>8</v>
      </c>
      <c r="U9" s="1554">
        <f t="shared" ref="U9:U17" si="1">H9</f>
        <v>0</v>
      </c>
      <c r="V9" s="1553" t="s">
        <v>8</v>
      </c>
      <c r="W9" s="1554">
        <f t="shared" ref="W9:W17" si="2">J9</f>
        <v>0</v>
      </c>
      <c r="X9" s="1555"/>
      <c r="Y9" s="4069" t="s">
        <v>530</v>
      </c>
      <c r="Z9" s="4070"/>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69" t="s">
        <v>533</v>
      </c>
      <c r="Q10" s="4070"/>
      <c r="R10" s="1553" t="s">
        <v>8</v>
      </c>
      <c r="S10" s="1554">
        <f t="shared" si="0"/>
        <v>0</v>
      </c>
      <c r="T10" s="1553" t="s">
        <v>8</v>
      </c>
      <c r="U10" s="1554">
        <f t="shared" si="1"/>
        <v>0</v>
      </c>
      <c r="V10" s="1553" t="s">
        <v>8</v>
      </c>
      <c r="W10" s="1554">
        <f t="shared" si="2"/>
        <v>0</v>
      </c>
      <c r="X10" s="1555"/>
      <c r="Y10" s="4069" t="s">
        <v>533</v>
      </c>
      <c r="Z10" s="4070"/>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38" t="s">
        <v>535</v>
      </c>
      <c r="Q11" s="1146" t="str">
        <f t="shared" ref="Q11:Q17" si="6">B11</f>
        <v>用途</v>
      </c>
      <c r="R11" s="1553" t="s">
        <v>8</v>
      </c>
      <c r="S11" s="1554">
        <f t="shared" si="0"/>
        <v>100</v>
      </c>
      <c r="T11" s="1553" t="s">
        <v>8</v>
      </c>
      <c r="U11" s="1554">
        <f t="shared" si="1"/>
        <v>100</v>
      </c>
      <c r="V11" s="1553" t="s">
        <v>8</v>
      </c>
      <c r="W11" s="1554">
        <f t="shared" si="2"/>
        <v>100</v>
      </c>
      <c r="X11" s="1555"/>
      <c r="Y11" s="3984"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38"/>
      <c r="Q12" s="1146" t="str">
        <f t="shared" si="6"/>
        <v>土地使用年限（年）</v>
      </c>
      <c r="R12" s="1553" t="s">
        <v>8</v>
      </c>
      <c r="S12" s="1554">
        <f t="shared" si="0"/>
        <v>104</v>
      </c>
      <c r="T12" s="1553" t="s">
        <v>8</v>
      </c>
      <c r="U12" s="1554">
        <f t="shared" si="1"/>
        <v>104</v>
      </c>
      <c r="V12" s="1553" t="s">
        <v>8</v>
      </c>
      <c r="W12" s="1554">
        <f t="shared" si="2"/>
        <v>104</v>
      </c>
      <c r="X12" s="1555"/>
      <c r="Y12" s="3984"/>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38"/>
      <c r="Q13" s="1146" t="str">
        <f t="shared" si="6"/>
        <v>容积率</v>
      </c>
      <c r="R13" s="1553" t="s">
        <v>8</v>
      </c>
      <c r="S13" s="1554" t="e">
        <f t="shared" si="0"/>
        <v>#N/A</v>
      </c>
      <c r="T13" s="1553" t="s">
        <v>8</v>
      </c>
      <c r="U13" s="1554" t="e">
        <f t="shared" si="1"/>
        <v>#N/A</v>
      </c>
      <c r="V13" s="1553" t="s">
        <v>8</v>
      </c>
      <c r="W13" s="1554" t="e">
        <f t="shared" si="2"/>
        <v>#N/A</v>
      </c>
      <c r="X13" s="1555"/>
      <c r="Y13" s="3984"/>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38"/>
      <c r="Q14" s="1146">
        <f t="shared" si="6"/>
        <v>111</v>
      </c>
      <c r="R14" s="1553" t="s">
        <v>8</v>
      </c>
      <c r="S14" s="1554">
        <f t="shared" si="0"/>
        <v>100</v>
      </c>
      <c r="T14" s="1553" t="s">
        <v>8</v>
      </c>
      <c r="U14" s="1554">
        <f t="shared" si="1"/>
        <v>100</v>
      </c>
      <c r="V14" s="1553" t="s">
        <v>8</v>
      </c>
      <c r="W14" s="1554">
        <f t="shared" si="2"/>
        <v>100</v>
      </c>
      <c r="X14" s="1555"/>
      <c r="Y14" s="3984"/>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38"/>
      <c r="Q15" s="1146">
        <f t="shared" si="6"/>
        <v>111</v>
      </c>
      <c r="R15" s="1553" t="s">
        <v>8</v>
      </c>
      <c r="S15" s="1554">
        <f t="shared" si="0"/>
        <v>100</v>
      </c>
      <c r="T15" s="1553" t="s">
        <v>8</v>
      </c>
      <c r="U15" s="1554">
        <f t="shared" si="1"/>
        <v>100</v>
      </c>
      <c r="V15" s="1553" t="s">
        <v>8</v>
      </c>
      <c r="W15" s="1554">
        <f t="shared" si="2"/>
        <v>100</v>
      </c>
      <c r="X15" s="1555"/>
      <c r="Y15" s="3984"/>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38"/>
      <c r="Q16" s="1146">
        <f t="shared" si="6"/>
        <v>111</v>
      </c>
      <c r="R16" s="1553" t="s">
        <v>8</v>
      </c>
      <c r="S16" s="1554">
        <f t="shared" si="0"/>
        <v>100</v>
      </c>
      <c r="T16" s="1553" t="s">
        <v>8</v>
      </c>
      <c r="U16" s="1554">
        <f t="shared" si="1"/>
        <v>100</v>
      </c>
      <c r="V16" s="1553" t="s">
        <v>8</v>
      </c>
      <c r="W16" s="1554">
        <f t="shared" si="2"/>
        <v>100</v>
      </c>
      <c r="X16" s="1555"/>
      <c r="Y16" s="3984"/>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72" t="s">
        <v>540</v>
      </c>
      <c r="Q17" s="1557" t="str">
        <f t="shared" si="6"/>
        <v>产业集聚程度</v>
      </c>
      <c r="R17" s="1558" t="s">
        <v>8</v>
      </c>
      <c r="S17" s="1559">
        <f t="shared" si="0"/>
        <v>100</v>
      </c>
      <c r="T17" s="1558" t="s">
        <v>8</v>
      </c>
      <c r="U17" s="1559">
        <f t="shared" si="1"/>
        <v>100</v>
      </c>
      <c r="V17" s="1558" t="s">
        <v>8</v>
      </c>
      <c r="W17" s="1559">
        <f t="shared" si="2"/>
        <v>100</v>
      </c>
      <c r="X17" s="1552"/>
      <c r="Y17" s="4072"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73"/>
      <c r="Q18" s="1557"/>
      <c r="R18" s="1558"/>
      <c r="S18" s="1559"/>
      <c r="T18" s="1558"/>
      <c r="U18" s="1559"/>
      <c r="V18" s="1558"/>
      <c r="W18" s="1559"/>
      <c r="X18" s="1552"/>
      <c r="Y18" s="4073"/>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73"/>
      <c r="Q19" s="1557" t="str">
        <f>B19</f>
        <v>交通便捷度</v>
      </c>
      <c r="R19" s="1558" t="s">
        <v>8</v>
      </c>
      <c r="S19" s="1559">
        <f>F19</f>
        <v>100</v>
      </c>
      <c r="T19" s="1558" t="s">
        <v>8</v>
      </c>
      <c r="U19" s="1559">
        <f>H19</f>
        <v>100</v>
      </c>
      <c r="V19" s="1558" t="s">
        <v>8</v>
      </c>
      <c r="W19" s="1559">
        <f>J19</f>
        <v>100</v>
      </c>
      <c r="X19" s="1552"/>
      <c r="Y19" s="4073"/>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73"/>
      <c r="Q20" s="1557"/>
      <c r="R20" s="1558"/>
      <c r="S20" s="1559"/>
      <c r="T20" s="1558"/>
      <c r="U20" s="1559"/>
      <c r="V20" s="1558"/>
      <c r="W20" s="1559"/>
      <c r="X20" s="1552"/>
      <c r="Y20" s="4073"/>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73"/>
      <c r="Q21" s="1557" t="str">
        <f t="shared" ref="Q21:Q35" si="8">B21</f>
        <v>区域土地利用方向</v>
      </c>
      <c r="R21" s="1558" t="s">
        <v>8</v>
      </c>
      <c r="S21" s="1559">
        <f>F21</f>
        <v>100</v>
      </c>
      <c r="T21" s="1558" t="s">
        <v>8</v>
      </c>
      <c r="U21" s="1559">
        <f>H21</f>
        <v>100</v>
      </c>
      <c r="V21" s="1558" t="s">
        <v>8</v>
      </c>
      <c r="W21" s="1559">
        <f>J21</f>
        <v>100</v>
      </c>
      <c r="X21" s="1552"/>
      <c r="Y21" s="4073"/>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73"/>
      <c r="Q22" s="1557"/>
      <c r="R22" s="1558"/>
      <c r="S22" s="1559"/>
      <c r="T22" s="1558"/>
      <c r="U22" s="1559"/>
      <c r="V22" s="1558"/>
      <c r="W22" s="1559"/>
      <c r="X22" s="1552"/>
      <c r="Y22" s="4073"/>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73"/>
      <c r="Q23" s="1557" t="str">
        <f t="shared" si="8"/>
        <v>环境状况</v>
      </c>
      <c r="R23" s="1558" t="s">
        <v>8</v>
      </c>
      <c r="S23" s="1559">
        <f>F23</f>
        <v>100</v>
      </c>
      <c r="T23" s="1558" t="s">
        <v>8</v>
      </c>
      <c r="U23" s="1559">
        <f>H23</f>
        <v>100</v>
      </c>
      <c r="V23" s="1558" t="s">
        <v>8</v>
      </c>
      <c r="W23" s="1559">
        <f>J23</f>
        <v>100</v>
      </c>
      <c r="X23" s="1552"/>
      <c r="Y23" s="4073"/>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73"/>
      <c r="Q24" s="1557"/>
      <c r="R24" s="1558"/>
      <c r="S24" s="1559"/>
      <c r="T24" s="1558"/>
      <c r="U24" s="1559"/>
      <c r="V24" s="1558"/>
      <c r="W24" s="1559"/>
      <c r="X24" s="1552"/>
      <c r="Y24" s="4073"/>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73"/>
      <c r="Q25" s="1146" t="str">
        <f t="shared" si="8"/>
        <v>公共配套设施</v>
      </c>
      <c r="R25" s="1553" t="s">
        <v>8</v>
      </c>
      <c r="S25" s="1554">
        <f>F25</f>
        <v>100</v>
      </c>
      <c r="T25" s="1553" t="s">
        <v>8</v>
      </c>
      <c r="U25" s="1554">
        <f>H25</f>
        <v>100</v>
      </c>
      <c r="V25" s="1553" t="s">
        <v>8</v>
      </c>
      <c r="W25" s="1554">
        <f>J25</f>
        <v>100</v>
      </c>
      <c r="X25" s="1555"/>
      <c r="Y25" s="4073"/>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73"/>
      <c r="Q26" s="1146"/>
      <c r="R26" s="1553"/>
      <c r="S26" s="1554"/>
      <c r="T26" s="1553"/>
      <c r="U26" s="1554"/>
      <c r="V26" s="1553"/>
      <c r="W26" s="1554"/>
      <c r="X26" s="1555"/>
      <c r="Y26" s="4073"/>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73"/>
      <c r="Q27" s="2541" t="str">
        <f t="shared" ref="Q27" si="9">B27</f>
        <v>基础设施水平</v>
      </c>
      <c r="R27" s="1553" t="s">
        <v>8</v>
      </c>
      <c r="S27" s="1554">
        <f>F27</f>
        <v>100</v>
      </c>
      <c r="T27" s="1553" t="s">
        <v>8</v>
      </c>
      <c r="U27" s="1554">
        <f>H27</f>
        <v>100</v>
      </c>
      <c r="V27" s="1553" t="s">
        <v>8</v>
      </c>
      <c r="W27" s="1554">
        <f>J27</f>
        <v>100</v>
      </c>
      <c r="X27" s="1555"/>
      <c r="Y27" s="4073"/>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73"/>
      <c r="Q28" s="2541"/>
      <c r="R28" s="1553"/>
      <c r="S28" s="1554"/>
      <c r="T28" s="1553"/>
      <c r="U28" s="1554"/>
      <c r="V28" s="1553"/>
      <c r="W28" s="1554"/>
      <c r="X28" s="1555"/>
      <c r="Y28" s="4073"/>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7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73"/>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73"/>
      <c r="Q30" s="1557" t="str">
        <f t="shared" si="8"/>
        <v>毗邻道路的类型与等级</v>
      </c>
      <c r="R30" s="1558" t="s">
        <v>8</v>
      </c>
      <c r="S30" s="1559">
        <f t="shared" si="10"/>
        <v>100</v>
      </c>
      <c r="T30" s="1558" t="s">
        <v>8</v>
      </c>
      <c r="U30" s="1559">
        <f t="shared" si="11"/>
        <v>100</v>
      </c>
      <c r="V30" s="1558" t="s">
        <v>8</v>
      </c>
      <c r="W30" s="1559">
        <f t="shared" si="12"/>
        <v>100</v>
      </c>
      <c r="X30" s="1552"/>
      <c r="Y30" s="4073"/>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73"/>
      <c r="Q31" s="1557"/>
      <c r="R31" s="1558"/>
      <c r="S31" s="1559"/>
      <c r="T31" s="1558"/>
      <c r="U31" s="1559"/>
      <c r="V31" s="1558"/>
      <c r="W31" s="1559"/>
      <c r="X31" s="1552"/>
      <c r="Y31" s="4073"/>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73"/>
      <c r="Q32" s="1557" t="str">
        <f t="shared" si="8"/>
        <v>土地级别</v>
      </c>
      <c r="R32" s="1558" t="s">
        <v>8</v>
      </c>
      <c r="S32" s="1559">
        <f t="shared" si="10"/>
        <v>100</v>
      </c>
      <c r="T32" s="1558" t="s">
        <v>8</v>
      </c>
      <c r="U32" s="1559">
        <f t="shared" si="11"/>
        <v>100</v>
      </c>
      <c r="V32" s="1558" t="s">
        <v>8</v>
      </c>
      <c r="W32" s="1559">
        <f t="shared" si="12"/>
        <v>100</v>
      </c>
      <c r="X32" s="1552"/>
      <c r="Y32" s="4073"/>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73"/>
      <c r="Q33" s="1557">
        <f t="shared" si="8"/>
        <v>111</v>
      </c>
      <c r="R33" s="1558" t="s">
        <v>8</v>
      </c>
      <c r="S33" s="1559">
        <f t="shared" si="10"/>
        <v>100</v>
      </c>
      <c r="T33" s="1558" t="s">
        <v>8</v>
      </c>
      <c r="U33" s="1559">
        <f t="shared" si="11"/>
        <v>100</v>
      </c>
      <c r="V33" s="1558" t="s">
        <v>8</v>
      </c>
      <c r="W33" s="1559">
        <f t="shared" si="12"/>
        <v>100</v>
      </c>
      <c r="X33" s="1552"/>
      <c r="Y33" s="4073"/>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74" t="s">
        <v>550</v>
      </c>
      <c r="Q34" s="1557">
        <f t="shared" si="8"/>
        <v>111</v>
      </c>
      <c r="R34" s="1558" t="s">
        <v>8</v>
      </c>
      <c r="S34" s="1559">
        <f t="shared" si="10"/>
        <v>100</v>
      </c>
      <c r="T34" s="1558" t="s">
        <v>8</v>
      </c>
      <c r="U34" s="1559">
        <f t="shared" si="11"/>
        <v>100</v>
      </c>
      <c r="V34" s="1558" t="s">
        <v>8</v>
      </c>
      <c r="W34" s="1559">
        <f t="shared" si="12"/>
        <v>100</v>
      </c>
      <c r="X34" s="1552"/>
      <c r="Y34" s="4075"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75"/>
      <c r="Q35" s="1557">
        <f t="shared" si="8"/>
        <v>111</v>
      </c>
      <c r="R35" s="1562" t="s">
        <v>8</v>
      </c>
      <c r="S35" s="1563">
        <f t="shared" si="10"/>
        <v>100</v>
      </c>
      <c r="T35" s="1562" t="s">
        <v>8</v>
      </c>
      <c r="U35" s="1563">
        <f t="shared" si="11"/>
        <v>100</v>
      </c>
      <c r="V35" s="1562" t="s">
        <v>8</v>
      </c>
      <c r="W35" s="1563">
        <f t="shared" si="12"/>
        <v>100</v>
      </c>
      <c r="X35" s="1564"/>
      <c r="Y35" s="4075"/>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75"/>
      <c r="Q36" s="1557" t="str">
        <f>B36</f>
        <v>宗地面积</v>
      </c>
      <c r="R36" s="1558" t="s">
        <v>8</v>
      </c>
      <c r="S36" s="1559" t="e">
        <f t="shared" si="10"/>
        <v>#N/A</v>
      </c>
      <c r="T36" s="1558" t="s">
        <v>8</v>
      </c>
      <c r="U36" s="1559" t="e">
        <f t="shared" si="11"/>
        <v>#N/A</v>
      </c>
      <c r="V36" s="1558" t="s">
        <v>8</v>
      </c>
      <c r="W36" s="1559" t="e">
        <f t="shared" si="12"/>
        <v>#N/A</v>
      </c>
      <c r="X36" s="1552"/>
      <c r="Y36" s="4075"/>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75"/>
      <c r="Q37" s="1557" t="str">
        <f t="shared" ref="Q37:Q42" si="14">B37</f>
        <v>宗地形状</v>
      </c>
      <c r="R37" s="1558" t="s">
        <v>8</v>
      </c>
      <c r="S37" s="1559">
        <f t="shared" si="10"/>
        <v>100</v>
      </c>
      <c r="T37" s="1558" t="s">
        <v>8</v>
      </c>
      <c r="U37" s="1559">
        <f t="shared" si="11"/>
        <v>100</v>
      </c>
      <c r="V37" s="1558" t="s">
        <v>8</v>
      </c>
      <c r="W37" s="1559">
        <f t="shared" si="12"/>
        <v>100</v>
      </c>
      <c r="X37" s="1552"/>
      <c r="Y37" s="4075"/>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75"/>
      <c r="Q38" s="1557" t="str">
        <f t="shared" si="14"/>
        <v>宗地开发程度</v>
      </c>
      <c r="R38" s="1553" t="s">
        <v>8</v>
      </c>
      <c r="S38" s="1554">
        <f t="shared" si="10"/>
        <v>100</v>
      </c>
      <c r="T38" s="1553" t="s">
        <v>8</v>
      </c>
      <c r="U38" s="1554">
        <f t="shared" si="11"/>
        <v>100</v>
      </c>
      <c r="V38" s="1553" t="s">
        <v>8</v>
      </c>
      <c r="W38" s="1554">
        <f t="shared" si="12"/>
        <v>100</v>
      </c>
      <c r="X38" s="1555"/>
      <c r="Y38" s="4075"/>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75" t="s">
        <v>601</v>
      </c>
      <c r="Q39" s="1557" t="str">
        <f t="shared" si="14"/>
        <v>工程地质条件</v>
      </c>
      <c r="R39" s="1558" t="s">
        <v>8</v>
      </c>
      <c r="S39" s="1559">
        <f t="shared" si="10"/>
        <v>100</v>
      </c>
      <c r="T39" s="1558" t="s">
        <v>8</v>
      </c>
      <c r="U39" s="1559">
        <f t="shared" si="11"/>
        <v>100</v>
      </c>
      <c r="V39" s="1558" t="s">
        <v>8</v>
      </c>
      <c r="W39" s="1559">
        <f t="shared" si="12"/>
        <v>100</v>
      </c>
      <c r="X39" s="1552"/>
      <c r="Y39" s="4075"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75"/>
      <c r="Q40" s="1557">
        <f t="shared" si="14"/>
        <v>111</v>
      </c>
      <c r="R40" s="1558" t="s">
        <v>8</v>
      </c>
      <c r="S40" s="1559">
        <f t="shared" si="10"/>
        <v>100</v>
      </c>
      <c r="T40" s="1558" t="s">
        <v>8</v>
      </c>
      <c r="U40" s="1559">
        <f t="shared" si="11"/>
        <v>100</v>
      </c>
      <c r="V40" s="1558" t="s">
        <v>8</v>
      </c>
      <c r="W40" s="1559">
        <f t="shared" si="12"/>
        <v>100</v>
      </c>
      <c r="X40" s="1552"/>
      <c r="Y40" s="4075"/>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75"/>
      <c r="Q41" s="1557">
        <f t="shared" si="14"/>
        <v>111</v>
      </c>
      <c r="R41" s="1558" t="s">
        <v>8</v>
      </c>
      <c r="S41" s="1559">
        <f t="shared" si="10"/>
        <v>100</v>
      </c>
      <c r="T41" s="1558" t="s">
        <v>8</v>
      </c>
      <c r="U41" s="1559">
        <f t="shared" si="11"/>
        <v>100</v>
      </c>
      <c r="V41" s="1558" t="s">
        <v>8</v>
      </c>
      <c r="W41" s="1559">
        <f t="shared" si="12"/>
        <v>100</v>
      </c>
      <c r="X41" s="1552"/>
      <c r="Y41" s="4075"/>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75"/>
      <c r="Q42" s="1557">
        <f t="shared" si="14"/>
        <v>111</v>
      </c>
      <c r="R42" s="1562" t="s">
        <v>8</v>
      </c>
      <c r="S42" s="1563">
        <f t="shared" si="10"/>
        <v>100</v>
      </c>
      <c r="T42" s="1562" t="s">
        <v>8</v>
      </c>
      <c r="U42" s="1563">
        <f t="shared" si="11"/>
        <v>100</v>
      </c>
      <c r="V42" s="1562" t="s">
        <v>8</v>
      </c>
      <c r="W42" s="1563">
        <f t="shared" si="12"/>
        <v>100</v>
      </c>
      <c r="X42" s="1564"/>
      <c r="Y42" s="4075"/>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38" t="str">
        <f>A43</f>
        <v>成交单价</v>
      </c>
      <c r="Q43" s="4038"/>
      <c r="R43" s="4039">
        <f>E43</f>
        <v>0</v>
      </c>
      <c r="S43" s="4039"/>
      <c r="T43" s="4039">
        <f>G43</f>
        <v>0</v>
      </c>
      <c r="U43" s="4039"/>
      <c r="V43" s="4039">
        <f>I43</f>
        <v>0</v>
      </c>
      <c r="W43" s="4039"/>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38" t="str">
        <f>A44</f>
        <v>比较价格（元/平方米）</v>
      </c>
      <c r="Q44" s="4038"/>
      <c r="R44" s="4040" t="e">
        <f>ROUND(PRODUCT(R43,AA9:AA42),0)</f>
        <v>#DIV/0!</v>
      </c>
      <c r="S44" s="4040"/>
      <c r="T44" s="4040" t="e">
        <f>ROUND(PRODUCT(T43,AB9:AB42),0)</f>
        <v>#DIV/0!</v>
      </c>
      <c r="U44" s="4040"/>
      <c r="V44" s="4040" t="e">
        <f>ROUND(PRODUCT(V43,AC9:AC42),0)</f>
        <v>#DIV/0!</v>
      </c>
      <c r="W44" s="4040"/>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35" t="str">
        <f>A45</f>
        <v>估价对象XX用房的比较价格（楼面单价，元/平方米）</v>
      </c>
      <c r="Q45" s="4036"/>
      <c r="R45" s="4037" t="e">
        <f>ROUND(AVERAGE(R44:V44),0)</f>
        <v>#DIV/0!</v>
      </c>
      <c r="S45" s="4037"/>
      <c r="T45" s="4037"/>
      <c r="U45" s="4037"/>
      <c r="V45" s="4037"/>
      <c r="W45" s="403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082" t="s">
        <v>2284</v>
      </c>
      <c r="H52" s="4083"/>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88697.150000000009</v>
      </c>
      <c r="F53" s="1934" t="e">
        <f t="shared" ref="F53:F62" si="15">ROUND(B53*E53/10000,0)</f>
        <v>#DIV/0!</v>
      </c>
      <c r="G53" s="4084"/>
      <c r="H53" s="408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086"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08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08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08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098"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099"/>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088" t="s">
        <v>2782</v>
      </c>
      <c r="X8" s="4089"/>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099"/>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087"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099"/>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08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099"/>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087"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098"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087"/>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100"/>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087"/>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100"/>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101"/>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098" t="s">
        <v>1838</v>
      </c>
      <c r="B16" s="1422" t="s">
        <v>950</v>
      </c>
      <c r="C16" s="1051" t="e">
        <f>ROUND(IF(F17="与级别开发程度一致",0,(G17-E17)/C17),0)</f>
        <v>#DIV/0!</v>
      </c>
      <c r="D16" s="4095" t="s">
        <v>954</v>
      </c>
      <c r="E16" s="4096"/>
      <c r="F16" s="4095" t="s">
        <v>951</v>
      </c>
      <c r="G16" s="4096"/>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102"/>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105"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106"/>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106"/>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107"/>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103" t="s">
        <v>1633</v>
      </c>
      <c r="B90" s="4103"/>
      <c r="C90" s="4103"/>
      <c r="D90" s="4103"/>
      <c r="E90" s="4103"/>
      <c r="F90" s="4103"/>
      <c r="G90" s="4103"/>
      <c r="H90" s="4103"/>
      <c r="I90" s="4103"/>
      <c r="J90" s="4103"/>
      <c r="K90" s="2413"/>
      <c r="L90" s="2413"/>
      <c r="M90" s="2413"/>
      <c r="N90" s="2413"/>
    </row>
    <row r="91" spans="1:40">
      <c r="A91" s="4104" t="s">
        <v>1443</v>
      </c>
      <c r="B91" s="4104" t="s">
        <v>1634</v>
      </c>
      <c r="C91" s="1135" t="s">
        <v>1635</v>
      </c>
      <c r="D91" s="1136"/>
      <c r="E91" s="1136"/>
      <c r="F91" s="1136"/>
      <c r="G91" s="1136"/>
      <c r="H91" s="1136"/>
      <c r="I91" s="1136"/>
      <c r="J91" s="1137"/>
      <c r="K91" s="1129"/>
      <c r="L91" s="1129"/>
      <c r="M91" s="1129"/>
      <c r="N91" s="1129"/>
    </row>
    <row r="92" spans="1:40">
      <c r="A92" s="4104"/>
      <c r="B92" s="410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090"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09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09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09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09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09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091"/>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09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090"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091"/>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091"/>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091"/>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091"/>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091"/>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091"/>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091"/>
      <c r="B108" s="4093"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092"/>
      <c r="B109" s="4094"/>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097" t="s">
        <v>1639</v>
      </c>
      <c r="B110" s="4097"/>
      <c r="C110" s="4097"/>
      <c r="D110" s="4097"/>
      <c r="E110" s="4097"/>
      <c r="F110" s="4097"/>
      <c r="G110" s="4097"/>
      <c r="H110" s="4097"/>
      <c r="I110" s="4097"/>
      <c r="J110" s="4097"/>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104" t="s">
        <v>1007</v>
      </c>
      <c r="B18" s="1149" t="s">
        <v>1446</v>
      </c>
      <c r="C18" s="1126" t="s">
        <v>1447</v>
      </c>
      <c r="D18" s="1127"/>
      <c r="E18" s="1149">
        <v>1</v>
      </c>
      <c r="F18" s="1128" t="s">
        <v>1448</v>
      </c>
      <c r="G18" s="1129"/>
      <c r="H18" s="1100"/>
      <c r="I18" s="1100"/>
    </row>
    <row r="19" spans="1:9" s="1583" customFormat="1" ht="19.5" customHeight="1">
      <c r="A19" s="4104"/>
      <c r="B19" s="4104" t="s">
        <v>1449</v>
      </c>
      <c r="C19" s="1126" t="s">
        <v>1450</v>
      </c>
      <c r="D19" s="1127"/>
      <c r="E19" s="1149">
        <v>0.9</v>
      </c>
      <c r="F19" s="1128" t="s">
        <v>1451</v>
      </c>
      <c r="G19" s="1129"/>
      <c r="H19" s="1100"/>
      <c r="I19" s="1100"/>
    </row>
    <row r="20" spans="1:9" s="1583" customFormat="1" ht="19.5" customHeight="1">
      <c r="A20" s="4104"/>
      <c r="B20" s="4104"/>
      <c r="C20" s="1126" t="s">
        <v>1452</v>
      </c>
      <c r="D20" s="1127"/>
      <c r="E20" s="1149">
        <v>1.1000000000000001</v>
      </c>
      <c r="F20" s="1128" t="s">
        <v>1453</v>
      </c>
      <c r="G20" s="1129"/>
      <c r="H20" s="1100"/>
      <c r="I20" s="1100"/>
    </row>
    <row r="21" spans="1:9" s="1583" customFormat="1" ht="19.5" customHeight="1">
      <c r="A21" s="4104"/>
      <c r="B21" s="4104"/>
      <c r="C21" s="1126" t="s">
        <v>1454</v>
      </c>
      <c r="D21" s="1127"/>
      <c r="E21" s="1149">
        <v>0.8</v>
      </c>
      <c r="F21" s="1128" t="s">
        <v>1455</v>
      </c>
      <c r="G21" s="1129"/>
      <c r="H21" s="1100"/>
      <c r="I21" s="1100"/>
    </row>
    <row r="22" spans="1:9" s="1583" customFormat="1" ht="19.5" customHeight="1">
      <c r="A22" s="4104"/>
      <c r="B22" s="4104"/>
      <c r="C22" s="1126" t="s">
        <v>1456</v>
      </c>
      <c r="D22" s="1127"/>
      <c r="E22" s="1149">
        <v>0.5</v>
      </c>
      <c r="F22" s="1128"/>
      <c r="G22" s="1129"/>
      <c r="H22" s="1100"/>
      <c r="I22" s="1100"/>
    </row>
    <row r="23" spans="1:9" s="1583" customFormat="1" ht="19.5" customHeight="1">
      <c r="A23" s="4104" t="s">
        <v>1029</v>
      </c>
      <c r="B23" s="1149" t="s">
        <v>1446</v>
      </c>
      <c r="C23" s="1126" t="s">
        <v>1457</v>
      </c>
      <c r="D23" s="1127"/>
      <c r="E23" s="1149">
        <v>1</v>
      </c>
      <c r="F23" s="1128" t="s">
        <v>1458</v>
      </c>
      <c r="G23" s="1129"/>
      <c r="H23" s="1100"/>
      <c r="I23" s="1100"/>
    </row>
    <row r="24" spans="1:9" s="1583" customFormat="1" ht="19.5" customHeight="1">
      <c r="A24" s="4104"/>
      <c r="B24" s="4104" t="s">
        <v>1449</v>
      </c>
      <c r="C24" s="1126" t="s">
        <v>1459</v>
      </c>
      <c r="D24" s="1127"/>
      <c r="E24" s="1149">
        <v>0.5</v>
      </c>
      <c r="F24" s="1128"/>
      <c r="G24" s="1129"/>
      <c r="H24" s="1100"/>
      <c r="I24" s="1100"/>
    </row>
    <row r="25" spans="1:9" s="1583" customFormat="1" ht="19.5" customHeight="1">
      <c r="A25" s="4104"/>
      <c r="B25" s="4104"/>
      <c r="C25" s="1126" t="s">
        <v>1460</v>
      </c>
      <c r="D25" s="1127"/>
      <c r="E25" s="1149">
        <v>1.1000000000000001</v>
      </c>
      <c r="F25" s="1128"/>
      <c r="G25" s="1129"/>
      <c r="H25" s="1100"/>
      <c r="I25" s="1100"/>
    </row>
    <row r="26" spans="1:9" s="1583" customFormat="1" ht="19.5" customHeight="1">
      <c r="A26" s="4104"/>
      <c r="B26" s="4104"/>
      <c r="C26" s="1126" t="s">
        <v>1461</v>
      </c>
      <c r="D26" s="1127"/>
      <c r="E26" s="1149">
        <v>1.1000000000000001</v>
      </c>
      <c r="F26" s="1128"/>
      <c r="G26" s="1129"/>
      <c r="H26" s="1100"/>
      <c r="I26" s="1100"/>
    </row>
    <row r="27" spans="1:9" s="1583" customFormat="1" ht="19.5" customHeight="1">
      <c r="A27" s="4104"/>
      <c r="B27" s="4104"/>
      <c r="C27" s="1126" t="s">
        <v>1462</v>
      </c>
      <c r="D27" s="1127"/>
      <c r="E27" s="1149">
        <v>0.9</v>
      </c>
      <c r="F27" s="1128" t="s">
        <v>1463</v>
      </c>
      <c r="G27" s="1129"/>
      <c r="H27" s="1100"/>
      <c r="I27" s="1100"/>
    </row>
    <row r="28" spans="1:9" s="1583" customFormat="1" ht="19.5" customHeight="1">
      <c r="A28" s="4104"/>
      <c r="B28" s="4104"/>
      <c r="C28" s="1126" t="s">
        <v>1464</v>
      </c>
      <c r="D28" s="1127"/>
      <c r="E28" s="1149">
        <v>0.9</v>
      </c>
      <c r="F28" s="1128" t="s">
        <v>1465</v>
      </c>
      <c r="G28" s="1129"/>
      <c r="H28" s="1100"/>
      <c r="I28" s="1100"/>
    </row>
    <row r="29" spans="1:9" s="1583" customFormat="1" ht="19.5" customHeight="1">
      <c r="A29" s="4104"/>
      <c r="B29" s="4104"/>
      <c r="C29" s="1126" t="s">
        <v>1466</v>
      </c>
      <c r="D29" s="1127"/>
      <c r="E29" s="1149">
        <v>0.9</v>
      </c>
      <c r="F29" s="1128" t="s">
        <v>1467</v>
      </c>
      <c r="G29" s="1129"/>
      <c r="H29" s="1100"/>
      <c r="I29" s="1100"/>
    </row>
    <row r="30" spans="1:9" s="1583" customFormat="1" ht="19.5" customHeight="1">
      <c r="A30" s="4104"/>
      <c r="B30" s="4104"/>
      <c r="C30" s="1126" t="s">
        <v>1468</v>
      </c>
      <c r="D30" s="1127"/>
      <c r="E30" s="1149">
        <v>0.9</v>
      </c>
      <c r="F30" s="1128" t="s">
        <v>1469</v>
      </c>
      <c r="G30" s="1129"/>
      <c r="H30" s="1100"/>
      <c r="I30" s="1100"/>
    </row>
    <row r="31" spans="1:9" s="1583" customFormat="1" ht="19.5" customHeight="1">
      <c r="A31" s="4104"/>
      <c r="B31" s="4104"/>
      <c r="C31" s="1126" t="s">
        <v>1470</v>
      </c>
      <c r="D31" s="1127"/>
      <c r="E31" s="1149">
        <v>0.8</v>
      </c>
      <c r="F31" s="1128" t="s">
        <v>1471</v>
      </c>
      <c r="G31" s="1129"/>
      <c r="H31" s="1100"/>
      <c r="I31" s="1100"/>
    </row>
    <row r="32" spans="1:9" s="1583" customFormat="1" ht="19.5" customHeight="1">
      <c r="A32" s="4104"/>
      <c r="B32" s="4104"/>
      <c r="C32" s="1126" t="s">
        <v>1472</v>
      </c>
      <c r="D32" s="1127"/>
      <c r="E32" s="1149">
        <v>0.8</v>
      </c>
      <c r="F32" s="1128" t="s">
        <v>1473</v>
      </c>
      <c r="G32" s="1129"/>
      <c r="H32" s="1100"/>
      <c r="I32" s="1100"/>
    </row>
    <row r="33" spans="1:9" s="1583" customFormat="1" ht="19.5" customHeight="1">
      <c r="A33" s="4104" t="s">
        <v>1474</v>
      </c>
      <c r="B33" s="1149" t="s">
        <v>1446</v>
      </c>
      <c r="C33" s="1126" t="s">
        <v>1475</v>
      </c>
      <c r="D33" s="1127"/>
      <c r="E33" s="1149">
        <v>1</v>
      </c>
      <c r="F33" s="1128" t="s">
        <v>1476</v>
      </c>
      <c r="G33" s="1129"/>
      <c r="H33" s="1100"/>
      <c r="I33" s="1100"/>
    </row>
    <row r="34" spans="1:9" s="1583" customFormat="1" ht="19.5" customHeight="1">
      <c r="A34" s="4104"/>
      <c r="B34" s="1149" t="s">
        <v>1449</v>
      </c>
      <c r="C34" s="1126" t="s">
        <v>1477</v>
      </c>
      <c r="D34" s="1127"/>
      <c r="E34" s="1149">
        <v>1.5</v>
      </c>
      <c r="F34" s="1128" t="s">
        <v>1478</v>
      </c>
      <c r="G34" s="1129"/>
      <c r="H34" s="1100"/>
      <c r="I34" s="1100"/>
    </row>
    <row r="35" spans="1:9" s="1583" customFormat="1" ht="19.5" customHeight="1">
      <c r="A35" s="4104" t="s">
        <v>1432</v>
      </c>
      <c r="B35" s="1149" t="s">
        <v>1446</v>
      </c>
      <c r="C35" s="1126" t="s">
        <v>1479</v>
      </c>
      <c r="D35" s="1127"/>
      <c r="E35" s="1149">
        <v>1</v>
      </c>
      <c r="F35" s="1128" t="s">
        <v>1480</v>
      </c>
      <c r="G35" s="1129"/>
      <c r="H35" s="1100"/>
      <c r="I35" s="1100"/>
    </row>
    <row r="36" spans="1:9" s="1583" customFormat="1" ht="19.5" customHeight="1">
      <c r="A36" s="4104"/>
      <c r="B36" s="4104" t="s">
        <v>1449</v>
      </c>
      <c r="C36" s="1126" t="s">
        <v>1481</v>
      </c>
      <c r="D36" s="1127"/>
      <c r="E36" s="1149">
        <v>1</v>
      </c>
      <c r="F36" s="1128" t="s">
        <v>1482</v>
      </c>
      <c r="G36" s="1129"/>
      <c r="H36" s="1100"/>
      <c r="I36" s="1100"/>
    </row>
    <row r="37" spans="1:9" s="1583" customFormat="1" ht="19.5" customHeight="1">
      <c r="A37" s="4104"/>
      <c r="B37" s="4104"/>
      <c r="C37" s="1126" t="s">
        <v>1483</v>
      </c>
      <c r="D37" s="1127"/>
      <c r="E37" s="1149">
        <v>1.5</v>
      </c>
      <c r="F37" s="1128" t="s">
        <v>1484</v>
      </c>
      <c r="G37" s="1129"/>
      <c r="H37" s="1100"/>
      <c r="I37" s="1100"/>
    </row>
    <row r="38" spans="1:9" s="1583" customFormat="1" ht="19.5" customHeight="1">
      <c r="A38" s="4104"/>
      <c r="B38" s="4104"/>
      <c r="C38" s="1126" t="s">
        <v>1485</v>
      </c>
      <c r="D38" s="1127"/>
      <c r="E38" s="1149">
        <v>1</v>
      </c>
      <c r="F38" s="1128" t="s">
        <v>1486</v>
      </c>
      <c r="G38" s="1129"/>
      <c r="H38" s="1100"/>
      <c r="I38" s="1100"/>
    </row>
    <row r="39" spans="1:9" s="1583" customFormat="1" ht="19.5" customHeight="1">
      <c r="A39" s="4104"/>
      <c r="B39" s="4104"/>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104" t="s">
        <v>1501</v>
      </c>
      <c r="C61" s="1063" t="s">
        <v>1502</v>
      </c>
      <c r="D61" s="1063" t="s">
        <v>1503</v>
      </c>
      <c r="E61" s="1134">
        <v>0.5</v>
      </c>
      <c r="F61" s="1149">
        <v>80</v>
      </c>
      <c r="H61" s="1100">
        <f>SUMIF(C59:C119,基准地价!C8,E59:E119)</f>
        <v>0</v>
      </c>
    </row>
    <row r="62" spans="1:8" s="1100" customFormat="1" ht="24">
      <c r="A62" s="1149">
        <v>2</v>
      </c>
      <c r="B62" s="4104"/>
      <c r="C62" s="1063" t="s">
        <v>1504</v>
      </c>
      <c r="D62" s="1063" t="s">
        <v>1505</v>
      </c>
      <c r="E62" s="1134">
        <v>0.5</v>
      </c>
      <c r="F62" s="1149">
        <v>80</v>
      </c>
    </row>
    <row r="63" spans="1:8" s="1100" customFormat="1" ht="36">
      <c r="A63" s="1149">
        <v>3</v>
      </c>
      <c r="B63" s="4104"/>
      <c r="C63" s="1063" t="s">
        <v>1506</v>
      </c>
      <c r="D63" s="1063" t="s">
        <v>1507</v>
      </c>
      <c r="E63" s="1134">
        <v>0.5</v>
      </c>
      <c r="F63" s="1149">
        <v>80</v>
      </c>
    </row>
    <row r="64" spans="1:8" s="1100" customFormat="1" ht="36">
      <c r="A64" s="1149">
        <v>4</v>
      </c>
      <c r="B64" s="4104"/>
      <c r="C64" s="1063" t="s">
        <v>1508</v>
      </c>
      <c r="D64" s="1063" t="s">
        <v>1509</v>
      </c>
      <c r="E64" s="1134">
        <v>0.4</v>
      </c>
      <c r="F64" s="1149">
        <v>60</v>
      </c>
    </row>
    <row r="65" spans="1:6" s="1100" customFormat="1" ht="36">
      <c r="A65" s="1149">
        <v>5</v>
      </c>
      <c r="B65" s="4104"/>
      <c r="C65" s="1063" t="s">
        <v>1510</v>
      </c>
      <c r="D65" s="1063" t="s">
        <v>1511</v>
      </c>
      <c r="E65" s="1134">
        <v>0.2</v>
      </c>
      <c r="F65" s="1149">
        <v>30</v>
      </c>
    </row>
    <row r="66" spans="1:6" s="1100" customFormat="1" ht="36">
      <c r="A66" s="1149">
        <v>6</v>
      </c>
      <c r="B66" s="4104"/>
      <c r="C66" s="1063" t="s">
        <v>1512</v>
      </c>
      <c r="D66" s="1063" t="s">
        <v>1513</v>
      </c>
      <c r="E66" s="1134">
        <v>0.3</v>
      </c>
      <c r="F66" s="1149">
        <v>50</v>
      </c>
    </row>
    <row r="67" spans="1:6" s="1100" customFormat="1" ht="36">
      <c r="A67" s="1149">
        <v>7</v>
      </c>
      <c r="B67" s="4104"/>
      <c r="C67" s="1063" t="s">
        <v>1514</v>
      </c>
      <c r="D67" s="1063" t="s">
        <v>1515</v>
      </c>
      <c r="E67" s="1134">
        <v>0.2</v>
      </c>
      <c r="F67" s="1149">
        <v>30</v>
      </c>
    </row>
    <row r="68" spans="1:6" s="1100" customFormat="1" ht="36">
      <c r="A68" s="1149">
        <v>8</v>
      </c>
      <c r="B68" s="4104"/>
      <c r="C68" s="1063" t="s">
        <v>1516</v>
      </c>
      <c r="D68" s="1063" t="s">
        <v>1517</v>
      </c>
      <c r="E68" s="1134">
        <v>0.2</v>
      </c>
      <c r="F68" s="1149">
        <v>30</v>
      </c>
    </row>
    <row r="69" spans="1:6" s="1100" customFormat="1" ht="36">
      <c r="A69" s="1149">
        <v>9</v>
      </c>
      <c r="B69" s="4104"/>
      <c r="C69" s="1063" t="s">
        <v>1518</v>
      </c>
      <c r="D69" s="1063" t="s">
        <v>1519</v>
      </c>
      <c r="E69" s="1134">
        <v>0.2</v>
      </c>
      <c r="F69" s="1149">
        <v>30</v>
      </c>
    </row>
    <row r="70" spans="1:6" s="1100" customFormat="1" ht="48">
      <c r="A70" s="1149">
        <v>10</v>
      </c>
      <c r="B70" s="4104"/>
      <c r="C70" s="1063" t="s">
        <v>1520</v>
      </c>
      <c r="D70" s="1063" t="s">
        <v>1521</v>
      </c>
      <c r="E70" s="1134">
        <v>0.2</v>
      </c>
      <c r="F70" s="1149">
        <v>30</v>
      </c>
    </row>
    <row r="71" spans="1:6" s="1100" customFormat="1" ht="48">
      <c r="A71" s="1149">
        <v>11</v>
      </c>
      <c r="B71" s="4104"/>
      <c r="C71" s="1063" t="s">
        <v>1522</v>
      </c>
      <c r="D71" s="1063" t="s">
        <v>1523</v>
      </c>
      <c r="E71" s="1134">
        <v>0.2</v>
      </c>
      <c r="F71" s="1149">
        <v>30</v>
      </c>
    </row>
    <row r="72" spans="1:6" s="1100" customFormat="1" ht="36">
      <c r="A72" s="1149">
        <v>12</v>
      </c>
      <c r="B72" s="4104"/>
      <c r="C72" s="1063" t="s">
        <v>1524</v>
      </c>
      <c r="D72" s="1063" t="s">
        <v>1525</v>
      </c>
      <c r="E72" s="1134">
        <v>0.5</v>
      </c>
      <c r="F72" s="1149">
        <v>80</v>
      </c>
    </row>
    <row r="73" spans="1:6" s="1100" customFormat="1" ht="24">
      <c r="A73" s="1149">
        <v>13</v>
      </c>
      <c r="B73" s="4104"/>
      <c r="C73" s="1063" t="s">
        <v>1526</v>
      </c>
      <c r="D73" s="1063" t="s">
        <v>1527</v>
      </c>
      <c r="E73" s="1134">
        <v>0.4</v>
      </c>
      <c r="F73" s="1149">
        <v>60</v>
      </c>
    </row>
    <row r="74" spans="1:6" s="1100" customFormat="1" ht="24">
      <c r="A74" s="1149">
        <v>14</v>
      </c>
      <c r="B74" s="4104"/>
      <c r="C74" s="1063" t="s">
        <v>1528</v>
      </c>
      <c r="D74" s="1063" t="s">
        <v>1529</v>
      </c>
      <c r="E74" s="1134">
        <v>0.2</v>
      </c>
      <c r="F74" s="1149">
        <v>30</v>
      </c>
    </row>
    <row r="75" spans="1:6" s="1100" customFormat="1" ht="24">
      <c r="A75" s="1149">
        <v>15</v>
      </c>
      <c r="B75" s="4104"/>
      <c r="C75" s="1063" t="s">
        <v>1530</v>
      </c>
      <c r="D75" s="1063" t="s">
        <v>1531</v>
      </c>
      <c r="E75" s="1134">
        <v>0.2</v>
      </c>
      <c r="F75" s="1149">
        <v>30</v>
      </c>
    </row>
    <row r="76" spans="1:6" s="1100" customFormat="1" ht="24">
      <c r="A76" s="1149">
        <v>16</v>
      </c>
      <c r="B76" s="4104" t="s">
        <v>1532</v>
      </c>
      <c r="C76" s="1063" t="s">
        <v>1533</v>
      </c>
      <c r="D76" s="1063" t="s">
        <v>1534</v>
      </c>
      <c r="E76" s="1134">
        <v>0.5</v>
      </c>
      <c r="F76" s="1149">
        <v>80</v>
      </c>
    </row>
    <row r="77" spans="1:6" s="1100" customFormat="1" ht="24">
      <c r="A77" s="1149">
        <v>17</v>
      </c>
      <c r="B77" s="4104"/>
      <c r="C77" s="1063" t="s">
        <v>1535</v>
      </c>
      <c r="D77" s="1063" t="s">
        <v>1536</v>
      </c>
      <c r="E77" s="1134">
        <v>0.5</v>
      </c>
      <c r="F77" s="1149">
        <v>80</v>
      </c>
    </row>
    <row r="78" spans="1:6" s="1100" customFormat="1" ht="24">
      <c r="A78" s="1149">
        <v>18</v>
      </c>
      <c r="B78" s="4104"/>
      <c r="C78" s="1063" t="s">
        <v>1537</v>
      </c>
      <c r="D78" s="1063" t="s">
        <v>1538</v>
      </c>
      <c r="E78" s="1134">
        <v>0.2</v>
      </c>
      <c r="F78" s="1149">
        <v>30</v>
      </c>
    </row>
    <row r="79" spans="1:6" s="1100" customFormat="1" ht="24">
      <c r="A79" s="1149">
        <v>19</v>
      </c>
      <c r="B79" s="4104"/>
      <c r="C79" s="1063" t="s">
        <v>1539</v>
      </c>
      <c r="D79" s="1063" t="s">
        <v>1540</v>
      </c>
      <c r="E79" s="1134">
        <v>0.5</v>
      </c>
      <c r="F79" s="1149">
        <v>80</v>
      </c>
    </row>
    <row r="80" spans="1:6" s="1100" customFormat="1" ht="36">
      <c r="A80" s="1149">
        <v>20</v>
      </c>
      <c r="B80" s="4104"/>
      <c r="C80" s="1063" t="s">
        <v>1541</v>
      </c>
      <c r="D80" s="1063" t="s">
        <v>1542</v>
      </c>
      <c r="E80" s="1134">
        <v>0.2</v>
      </c>
      <c r="F80" s="1149">
        <v>30</v>
      </c>
    </row>
    <row r="81" spans="1:6" s="1100" customFormat="1" ht="36">
      <c r="A81" s="1149">
        <v>21</v>
      </c>
      <c r="B81" s="4104"/>
      <c r="C81" s="1063" t="s">
        <v>1543</v>
      </c>
      <c r="D81" s="1063" t="s">
        <v>1544</v>
      </c>
      <c r="E81" s="1134">
        <v>0.2</v>
      </c>
      <c r="F81" s="1149">
        <v>30</v>
      </c>
    </row>
    <row r="82" spans="1:6" s="1100" customFormat="1" ht="48">
      <c r="A82" s="1149">
        <v>22</v>
      </c>
      <c r="B82" s="4104"/>
      <c r="C82" s="1063" t="s">
        <v>1545</v>
      </c>
      <c r="D82" s="1063" t="s">
        <v>1546</v>
      </c>
      <c r="E82" s="1134">
        <v>0.2</v>
      </c>
      <c r="F82" s="1149">
        <v>30</v>
      </c>
    </row>
    <row r="83" spans="1:6" s="1100" customFormat="1" ht="48">
      <c r="A83" s="1149">
        <v>23</v>
      </c>
      <c r="B83" s="4104"/>
      <c r="C83" s="1063" t="s">
        <v>1547</v>
      </c>
      <c r="D83" s="1063" t="s">
        <v>1548</v>
      </c>
      <c r="E83" s="1134">
        <v>0.2</v>
      </c>
      <c r="F83" s="1149">
        <v>30</v>
      </c>
    </row>
    <row r="84" spans="1:6" s="1100" customFormat="1" ht="36">
      <c r="A84" s="1149">
        <v>24</v>
      </c>
      <c r="B84" s="4104"/>
      <c r="C84" s="1063" t="s">
        <v>1549</v>
      </c>
      <c r="D84" s="1063" t="s">
        <v>1550</v>
      </c>
      <c r="E84" s="1134">
        <v>0.2</v>
      </c>
      <c r="F84" s="1149">
        <v>30</v>
      </c>
    </row>
    <row r="85" spans="1:6" s="1100" customFormat="1" ht="36">
      <c r="A85" s="1149">
        <v>25</v>
      </c>
      <c r="B85" s="4104"/>
      <c r="C85" s="1063" t="s">
        <v>1551</v>
      </c>
      <c r="D85" s="1063" t="s">
        <v>1552</v>
      </c>
      <c r="E85" s="1134">
        <v>0.5</v>
      </c>
      <c r="F85" s="1149">
        <v>80</v>
      </c>
    </row>
    <row r="86" spans="1:6" s="1100" customFormat="1" ht="36">
      <c r="A86" s="1149">
        <v>26</v>
      </c>
      <c r="B86" s="4104"/>
      <c r="C86" s="1063" t="s">
        <v>1553</v>
      </c>
      <c r="D86" s="1063" t="s">
        <v>1554</v>
      </c>
      <c r="E86" s="1134">
        <v>0.2</v>
      </c>
      <c r="F86" s="1149">
        <v>30</v>
      </c>
    </row>
    <row r="87" spans="1:6" s="1100" customFormat="1" ht="36">
      <c r="A87" s="1149">
        <v>27</v>
      </c>
      <c r="B87" s="4104"/>
      <c r="C87" s="1063" t="s">
        <v>1555</v>
      </c>
      <c r="D87" s="1063" t="s">
        <v>1556</v>
      </c>
      <c r="E87" s="1134">
        <v>0.2</v>
      </c>
      <c r="F87" s="1149">
        <v>30</v>
      </c>
    </row>
    <row r="88" spans="1:6" s="1100" customFormat="1" ht="36">
      <c r="A88" s="1149">
        <v>28</v>
      </c>
      <c r="B88" s="4104"/>
      <c r="C88" s="1063" t="s">
        <v>1557</v>
      </c>
      <c r="D88" s="1063" t="s">
        <v>1558</v>
      </c>
      <c r="E88" s="1134">
        <v>0.2</v>
      </c>
      <c r="F88" s="1149">
        <v>30</v>
      </c>
    </row>
    <row r="89" spans="1:6" s="1100" customFormat="1" ht="24">
      <c r="A89" s="1149">
        <v>29</v>
      </c>
      <c r="B89" s="4104"/>
      <c r="C89" s="1063" t="s">
        <v>1559</v>
      </c>
      <c r="D89" s="1063" t="s">
        <v>1560</v>
      </c>
      <c r="E89" s="1134">
        <v>0.2</v>
      </c>
      <c r="F89" s="1149">
        <v>30</v>
      </c>
    </row>
    <row r="90" spans="1:6" s="1100" customFormat="1" ht="24">
      <c r="A90" s="1149">
        <v>30</v>
      </c>
      <c r="B90" s="4104"/>
      <c r="C90" s="1063" t="s">
        <v>1561</v>
      </c>
      <c r="D90" s="1063" t="s">
        <v>1562</v>
      </c>
      <c r="E90" s="1134">
        <v>0.2</v>
      </c>
      <c r="F90" s="1149">
        <v>30</v>
      </c>
    </row>
    <row r="91" spans="1:6" s="1100" customFormat="1" ht="36">
      <c r="A91" s="1149">
        <v>31</v>
      </c>
      <c r="B91" s="4104"/>
      <c r="C91" s="1063" t="s">
        <v>1563</v>
      </c>
      <c r="D91" s="1063" t="s">
        <v>1564</v>
      </c>
      <c r="E91" s="1134">
        <v>0.2</v>
      </c>
      <c r="F91" s="1149">
        <v>30</v>
      </c>
    </row>
    <row r="92" spans="1:6" s="1100" customFormat="1" ht="24">
      <c r="A92" s="1149">
        <v>32</v>
      </c>
      <c r="B92" s="4104" t="s">
        <v>1565</v>
      </c>
      <c r="C92" s="1149" t="s">
        <v>1566</v>
      </c>
      <c r="D92" s="1063" t="s">
        <v>1567</v>
      </c>
      <c r="E92" s="1134">
        <v>0.2</v>
      </c>
      <c r="F92" s="1149">
        <v>30</v>
      </c>
    </row>
    <row r="93" spans="1:6" s="1100" customFormat="1" ht="36">
      <c r="A93" s="1149">
        <v>33</v>
      </c>
      <c r="B93" s="4104"/>
      <c r="C93" s="1149" t="s">
        <v>1568</v>
      </c>
      <c r="D93" s="1063" t="s">
        <v>1569</v>
      </c>
      <c r="E93" s="1134">
        <v>0.2</v>
      </c>
      <c r="F93" s="1149">
        <v>30</v>
      </c>
    </row>
    <row r="94" spans="1:6" s="1100" customFormat="1" ht="48">
      <c r="A94" s="1149">
        <v>34</v>
      </c>
      <c r="B94" s="4104"/>
      <c r="C94" s="1149" t="s">
        <v>1570</v>
      </c>
      <c r="D94" s="1063" t="s">
        <v>1571</v>
      </c>
      <c r="E94" s="1134">
        <v>0.2</v>
      </c>
      <c r="F94" s="1149">
        <v>30</v>
      </c>
    </row>
    <row r="95" spans="1:6" s="1100" customFormat="1" ht="36">
      <c r="A95" s="1149">
        <v>35</v>
      </c>
      <c r="B95" s="4104"/>
      <c r="C95" s="1149" t="s">
        <v>1572</v>
      </c>
      <c r="D95" s="1063" t="s">
        <v>1573</v>
      </c>
      <c r="E95" s="1134">
        <v>0.2</v>
      </c>
      <c r="F95" s="1149">
        <v>30</v>
      </c>
    </row>
    <row r="96" spans="1:6" s="1100" customFormat="1" ht="48">
      <c r="A96" s="1149">
        <v>36</v>
      </c>
      <c r="B96" s="4104"/>
      <c r="C96" s="1063" t="s">
        <v>1574</v>
      </c>
      <c r="D96" s="1063" t="s">
        <v>1575</v>
      </c>
      <c r="E96" s="1134">
        <v>0.2</v>
      </c>
      <c r="F96" s="1149">
        <v>30</v>
      </c>
    </row>
    <row r="97" spans="1:6" s="1100" customFormat="1" ht="36">
      <c r="A97" s="1149">
        <v>37</v>
      </c>
      <c r="B97" s="4104"/>
      <c r="C97" s="1149" t="s">
        <v>1576</v>
      </c>
      <c r="D97" s="1063" t="s">
        <v>1577</v>
      </c>
      <c r="E97" s="1134">
        <v>0.2</v>
      </c>
      <c r="F97" s="1149">
        <v>30</v>
      </c>
    </row>
    <row r="98" spans="1:6" s="1100" customFormat="1" ht="36">
      <c r="A98" s="1149">
        <v>38</v>
      </c>
      <c r="B98" s="4104"/>
      <c r="C98" s="1149" t="s">
        <v>1578</v>
      </c>
      <c r="D98" s="1063" t="s">
        <v>1579</v>
      </c>
      <c r="E98" s="1134">
        <v>0.2</v>
      </c>
      <c r="F98" s="1149">
        <v>30</v>
      </c>
    </row>
    <row r="99" spans="1:6" s="1100" customFormat="1" ht="36">
      <c r="A99" s="1149">
        <v>39</v>
      </c>
      <c r="B99" s="4104" t="s">
        <v>1580</v>
      </c>
      <c r="C99" s="1149" t="s">
        <v>1581</v>
      </c>
      <c r="D99" s="1063" t="s">
        <v>1582</v>
      </c>
      <c r="E99" s="1134">
        <v>0.3</v>
      </c>
      <c r="F99" s="1149">
        <v>50</v>
      </c>
    </row>
    <row r="100" spans="1:6" s="1100" customFormat="1" ht="24">
      <c r="A100" s="1149">
        <v>40</v>
      </c>
      <c r="B100" s="4104"/>
      <c r="C100" s="1149" t="s">
        <v>1583</v>
      </c>
      <c r="D100" s="1063" t="s">
        <v>1584</v>
      </c>
      <c r="E100" s="1134">
        <v>0.2</v>
      </c>
      <c r="F100" s="1149">
        <v>30</v>
      </c>
    </row>
    <row r="101" spans="1:6" s="1100" customFormat="1" ht="36">
      <c r="A101" s="1149">
        <v>41</v>
      </c>
      <c r="B101" s="410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104" t="s">
        <v>1595</v>
      </c>
      <c r="C105" s="1149" t="s">
        <v>1596</v>
      </c>
      <c r="D105" s="1063" t="s">
        <v>1597</v>
      </c>
      <c r="E105" s="1134">
        <v>0.2</v>
      </c>
      <c r="F105" s="1149">
        <v>30</v>
      </c>
    </row>
    <row r="106" spans="1:6" s="1100" customFormat="1" ht="36">
      <c r="A106" s="1149">
        <v>46</v>
      </c>
      <c r="B106" s="4104"/>
      <c r="C106" s="1149" t="s">
        <v>1598</v>
      </c>
      <c r="D106" s="1063" t="s">
        <v>1599</v>
      </c>
      <c r="E106" s="1134">
        <v>0.2</v>
      </c>
      <c r="F106" s="1149">
        <v>30</v>
      </c>
    </row>
    <row r="107" spans="1:6" s="1100" customFormat="1" ht="36">
      <c r="A107" s="1149">
        <v>47</v>
      </c>
      <c r="B107" s="4104" t="s">
        <v>1600</v>
      </c>
      <c r="C107" s="1149" t="s">
        <v>1601</v>
      </c>
      <c r="D107" s="1063" t="s">
        <v>1602</v>
      </c>
      <c r="E107" s="1134">
        <v>0.3</v>
      </c>
      <c r="F107" s="1149">
        <v>50</v>
      </c>
    </row>
    <row r="108" spans="1:6" s="1100" customFormat="1" ht="36">
      <c r="A108" s="1149">
        <v>48</v>
      </c>
      <c r="B108" s="410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104" t="s">
        <v>1611</v>
      </c>
      <c r="C111" s="1149" t="s">
        <v>1612</v>
      </c>
      <c r="D111" s="1063" t="s">
        <v>1613</v>
      </c>
      <c r="E111" s="1134">
        <v>0.2</v>
      </c>
      <c r="F111" s="1149">
        <v>30</v>
      </c>
    </row>
    <row r="112" spans="1:6" s="1100" customFormat="1" ht="24">
      <c r="A112" s="1149">
        <v>52</v>
      </c>
      <c r="B112" s="4104"/>
      <c r="C112" s="1149" t="s">
        <v>1614</v>
      </c>
      <c r="D112" s="1063" t="s">
        <v>1615</v>
      </c>
      <c r="E112" s="1134">
        <v>0.2</v>
      </c>
      <c r="F112" s="1149">
        <v>30</v>
      </c>
    </row>
    <row r="113" spans="1:14" s="1100" customFormat="1" ht="24">
      <c r="A113" s="1149">
        <v>53</v>
      </c>
      <c r="B113" s="410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104" t="s">
        <v>1624</v>
      </c>
      <c r="C116" s="1149" t="s">
        <v>1625</v>
      </c>
      <c r="D116" s="1063" t="s">
        <v>1626</v>
      </c>
      <c r="E116" s="1134">
        <v>0.2</v>
      </c>
      <c r="F116" s="1149">
        <v>30</v>
      </c>
    </row>
    <row r="117" spans="1:14" ht="36">
      <c r="A117" s="1149">
        <v>57</v>
      </c>
      <c r="B117" s="410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103" t="s">
        <v>1633</v>
      </c>
      <c r="B121" s="4103"/>
      <c r="C121" s="4103"/>
      <c r="D121" s="4103"/>
      <c r="E121" s="4103"/>
      <c r="F121" s="4103"/>
      <c r="G121" s="4103"/>
      <c r="H121" s="4103"/>
      <c r="I121" s="4103"/>
      <c r="J121" s="410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08" t="s">
        <v>1039</v>
      </c>
      <c r="B1" s="4108"/>
      <c r="C1" s="4108"/>
      <c r="D1" s="4108"/>
      <c r="E1" s="4108"/>
      <c r="F1" s="410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09" t="s">
        <v>1052</v>
      </c>
      <c r="B2" s="4109"/>
      <c r="C2" s="4109"/>
      <c r="D2" s="4109"/>
      <c r="E2" s="4109"/>
      <c r="F2" s="410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1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1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12" t="s">
        <v>2079</v>
      </c>
      <c r="B1" s="4112"/>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111281.46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根据《国有土地使用证》[]，估价对象（分摊）出让国有建设用地使用权面积为20122.04平方米。根据《建设工程规划许可证》[]、《出让合同》[]，估价对象规划建筑面积为111281.46平方米。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20" t="s">
        <v>2575</v>
      </c>
      <c r="C1" s="4120"/>
      <c r="D1" s="4120"/>
      <c r="E1" s="4120"/>
      <c r="F1" s="4120"/>
      <c r="G1" s="4119" t="s">
        <v>2576</v>
      </c>
      <c r="H1" s="4119"/>
      <c r="I1" s="4119"/>
      <c r="J1" s="4119"/>
      <c r="K1" s="4119"/>
      <c r="L1" s="4119"/>
      <c r="N1" s="4119" t="s">
        <v>2577</v>
      </c>
      <c r="O1" s="4119"/>
      <c r="P1" s="4119"/>
      <c r="Q1" s="4119"/>
      <c r="R1" s="2617"/>
      <c r="S1" s="4119" t="s">
        <v>2578</v>
      </c>
      <c r="T1" s="4119"/>
      <c r="U1" s="4119"/>
      <c r="V1" s="4119"/>
      <c r="X1" s="4118" t="s">
        <v>2638</v>
      </c>
      <c r="Y1" s="4119"/>
      <c r="Z1" s="4119"/>
      <c r="AA1" s="4119"/>
      <c r="AB1" s="4119"/>
      <c r="AD1" s="4118" t="s">
        <v>2642</v>
      </c>
      <c r="AE1" s="4119"/>
      <c r="AF1" s="4119"/>
      <c r="AG1" s="4119"/>
      <c r="AH1" s="4119"/>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14">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14"/>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14"/>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15"/>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13">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14"/>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14"/>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15"/>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13">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14"/>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14"/>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17"/>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16">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14"/>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14"/>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17"/>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16">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14"/>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14"/>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17"/>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21">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22"/>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22"/>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23"/>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16">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14"/>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14"/>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17"/>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16">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14">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14">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17">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16">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14">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14">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17">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16">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14">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14">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17">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16">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14">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14">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17">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16">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14">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14">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17">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16">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14">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14">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17">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16">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14">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14">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17">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16">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14">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14">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17">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16">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14">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14">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17">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16">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14">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14">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17">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25" t="s">
        <v>2462</v>
      </c>
      <c r="C8" s="1809">
        <f ca="1">ROUND(F8*F10*F9*(1-F11)/10000,0)</f>
        <v>0</v>
      </c>
      <c r="D8" s="1806" t="s">
        <v>2533</v>
      </c>
      <c r="E8" s="61" t="s">
        <v>637</v>
      </c>
      <c r="F8" s="784">
        <f ca="1">INDIRECT("'数据-取费表'!u"&amp;$G$1)</f>
        <v>0</v>
      </c>
      <c r="G8" s="1577"/>
      <c r="H8" s="2467" t="s">
        <v>1824</v>
      </c>
      <c r="I8" s="4125" t="s">
        <v>2462</v>
      </c>
      <c r="J8" s="782">
        <f ca="1">ROUND(M8*M10*M9*(1-M11)/10000,0)</f>
        <v>0</v>
      </c>
      <c r="K8" s="340" t="s">
        <v>2533</v>
      </c>
      <c r="L8" s="783" t="s">
        <v>1738</v>
      </c>
      <c r="M8" s="784">
        <f ca="1">INDIRECT("'数据-取费表'!z"&amp;$G$1)</f>
        <v>0</v>
      </c>
    </row>
    <row r="9" spans="1:25" ht="18" customHeight="1">
      <c r="A9" s="2463"/>
      <c r="B9" s="4126"/>
      <c r="C9" s="1810"/>
      <c r="D9" s="1807"/>
      <c r="E9" s="61" t="s">
        <v>638</v>
      </c>
      <c r="F9" s="784">
        <f ca="1">IF(INDIRECT("'数据-取费表'!ah"&amp;$G$1)="",INDIRECT("'数据-取费表'!k"&amp;$G$1),INDIRECT("'数据-取费表'!ah"&amp;$G$1))</f>
        <v>0</v>
      </c>
      <c r="G9" s="1577"/>
      <c r="H9" s="2452"/>
      <c r="I9" s="4126"/>
      <c r="J9" s="787"/>
      <c r="K9" s="788"/>
      <c r="L9" s="783" t="s">
        <v>1739</v>
      </c>
      <c r="M9" s="784">
        <f ca="1">F9</f>
        <v>0</v>
      </c>
    </row>
    <row r="10" spans="1:25" ht="18" customHeight="1">
      <c r="A10" s="2456"/>
      <c r="B10" s="4127"/>
      <c r="C10" s="1810"/>
      <c r="D10" s="1807"/>
      <c r="E10" s="61" t="s">
        <v>639</v>
      </c>
      <c r="F10" s="784">
        <f ca="1">INDIRECT("'数据-取费表'!ai"&amp;$G$1)</f>
        <v>0</v>
      </c>
      <c r="G10" s="1577"/>
      <c r="H10" s="2452"/>
      <c r="I10" s="4127"/>
      <c r="J10" s="787"/>
      <c r="K10" s="788"/>
      <c r="L10" s="783" t="s">
        <v>1740</v>
      </c>
      <c r="M10" s="784">
        <f ca="1">INDIRECT("'数据-取费表'!ai"&amp;$G$1)</f>
        <v>0</v>
      </c>
    </row>
    <row r="11" spans="1:25" ht="18" customHeight="1">
      <c r="A11" s="785"/>
      <c r="B11" s="4128"/>
      <c r="C11" s="1810"/>
      <c r="D11" s="1807"/>
      <c r="E11" s="61" t="s">
        <v>640</v>
      </c>
      <c r="F11" s="793">
        <f ca="1">INDIRECT("'数据-取费表'!w"&amp;$G$1)</f>
        <v>0</v>
      </c>
      <c r="G11" s="1577"/>
      <c r="H11" s="2468"/>
      <c r="I11" s="4127"/>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24"/>
      <c r="J36" s="2063"/>
      <c r="K36" s="2064"/>
      <c r="L36" s="2063"/>
      <c r="M36" s="2063"/>
    </row>
    <row r="37" spans="1:18" ht="18" customHeight="1">
      <c r="A37" s="814"/>
      <c r="B37" s="792"/>
      <c r="C37" s="69"/>
      <c r="D37" s="815"/>
      <c r="E37" s="783" t="s">
        <v>674</v>
      </c>
      <c r="F37" s="784">
        <f ca="1">INDIRECT("'数据-取费表'!r"&amp;$G$1)</f>
        <v>0</v>
      </c>
      <c r="G37" s="2046"/>
      <c r="H37" s="2049"/>
      <c r="I37" s="4124"/>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29"/>
      <c r="L54" s="4130"/>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43272</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82203.94</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44" t="s">
        <v>522</v>
      </c>
      <c r="D4" s="4045"/>
      <c r="E4" s="4078" t="s">
        <v>523</v>
      </c>
      <c r="F4" s="4079"/>
      <c r="G4" s="4044" t="s">
        <v>524</v>
      </c>
      <c r="H4" s="4045"/>
      <c r="I4" s="4044" t="s">
        <v>525</v>
      </c>
      <c r="J4" s="4045"/>
      <c r="K4" s="852" t="s">
        <v>526</v>
      </c>
      <c r="L4" s="2117"/>
      <c r="M4" s="2118"/>
      <c r="N4" s="2118"/>
      <c r="O4" s="2118"/>
      <c r="P4" s="4046" t="s">
        <v>527</v>
      </c>
      <c r="Q4" s="4047"/>
      <c r="R4" s="4052" t="s">
        <v>523</v>
      </c>
      <c r="S4" s="4053"/>
      <c r="T4" s="4052" t="s">
        <v>524</v>
      </c>
      <c r="U4" s="4053"/>
      <c r="V4" s="4039" t="s">
        <v>525</v>
      </c>
      <c r="W4" s="4039"/>
      <c r="X4" s="1552"/>
      <c r="Y4" s="4052" t="s">
        <v>527</v>
      </c>
      <c r="Z4" s="4053"/>
      <c r="AA4" s="4041" t="s">
        <v>523</v>
      </c>
      <c r="AB4" s="4041" t="s">
        <v>524</v>
      </c>
      <c r="AC4" s="4041" t="s">
        <v>525</v>
      </c>
    </row>
    <row r="5" spans="1:29" ht="15">
      <c r="A5" s="514"/>
      <c r="B5" s="515"/>
      <c r="C5" s="4060" t="s">
        <v>2926</v>
      </c>
      <c r="D5" s="4061"/>
      <c r="E5" s="4135" t="s">
        <v>3016</v>
      </c>
      <c r="F5" s="4081"/>
      <c r="G5" s="4134" t="s">
        <v>3581</v>
      </c>
      <c r="H5" s="4061"/>
      <c r="I5" s="4134" t="s">
        <v>3321</v>
      </c>
      <c r="J5" s="4061"/>
      <c r="K5" s="853"/>
      <c r="L5" s="2117"/>
      <c r="M5" s="2118"/>
      <c r="N5" s="2118"/>
      <c r="O5" s="2118"/>
      <c r="P5" s="4048"/>
      <c r="Q5" s="4049"/>
      <c r="R5" s="4054"/>
      <c r="S5" s="4055"/>
      <c r="T5" s="4054"/>
      <c r="U5" s="4055"/>
      <c r="V5" s="4039"/>
      <c r="W5" s="4039"/>
      <c r="X5" s="1552"/>
      <c r="Y5" s="4054"/>
      <c r="Z5" s="4055"/>
      <c r="AA5" s="4042"/>
      <c r="AB5" s="4042"/>
      <c r="AC5" s="4042"/>
    </row>
    <row r="6" spans="1:29" ht="15.75" thickBot="1">
      <c r="A6" s="516"/>
      <c r="B6" s="517"/>
      <c r="C6" s="4058" t="s">
        <v>2930</v>
      </c>
      <c r="D6" s="4059"/>
      <c r="E6" s="4076" t="s">
        <v>2930</v>
      </c>
      <c r="F6" s="4077"/>
      <c r="G6" s="4058" t="s">
        <v>2930</v>
      </c>
      <c r="H6" s="4059"/>
      <c r="I6" s="4058" t="s">
        <v>2930</v>
      </c>
      <c r="J6" s="4059"/>
      <c r="K6" s="853" t="s">
        <v>528</v>
      </c>
      <c r="L6" s="2117"/>
      <c r="M6" s="2118"/>
      <c r="N6" s="2118"/>
      <c r="O6" s="2118"/>
      <c r="P6" s="4050"/>
      <c r="Q6" s="4051"/>
      <c r="R6" s="4054"/>
      <c r="S6" s="4055"/>
      <c r="T6" s="4056"/>
      <c r="U6" s="4057"/>
      <c r="V6" s="4039"/>
      <c r="W6" s="4039"/>
      <c r="X6" s="1552"/>
      <c r="Y6" s="4056"/>
      <c r="Z6" s="4057"/>
      <c r="AA6" s="4043"/>
      <c r="AB6" s="4043"/>
      <c r="AC6" s="4043"/>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069" t="s">
        <v>530</v>
      </c>
      <c r="Q7" s="4071"/>
      <c r="R7" s="1553" t="s">
        <v>13</v>
      </c>
      <c r="S7" s="1554">
        <f t="shared" ref="S7:S15" si="0">F7</f>
        <v>100</v>
      </c>
      <c r="T7" s="1553" t="s">
        <v>13</v>
      </c>
      <c r="U7" s="1554">
        <f t="shared" ref="U7:U15" si="1">H7</f>
        <v>100</v>
      </c>
      <c r="V7" s="1553" t="s">
        <v>13</v>
      </c>
      <c r="W7" s="1554">
        <f t="shared" ref="W7:W15" si="2">J7</f>
        <v>100</v>
      </c>
      <c r="X7" s="1555"/>
      <c r="Y7" s="4069" t="s">
        <v>530</v>
      </c>
      <c r="Z7" s="4070"/>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069" t="s">
        <v>533</v>
      </c>
      <c r="Q8" s="4070"/>
      <c r="R8" s="1553" t="s">
        <v>13</v>
      </c>
      <c r="S8" s="1554">
        <f t="shared" si="0"/>
        <v>100</v>
      </c>
      <c r="T8" s="1553" t="s">
        <v>13</v>
      </c>
      <c r="U8" s="1554">
        <f t="shared" si="1"/>
        <v>100</v>
      </c>
      <c r="V8" s="1553" t="s">
        <v>13</v>
      </c>
      <c r="W8" s="1554">
        <f t="shared" si="2"/>
        <v>100</v>
      </c>
      <c r="X8" s="1555"/>
      <c r="Y8" s="4069" t="s">
        <v>533</v>
      </c>
      <c r="Z8" s="4070"/>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38" t="s">
        <v>535</v>
      </c>
      <c r="Q9" s="1146" t="str">
        <f t="shared" ref="Q9:Q15" si="6">B9</f>
        <v>用途</v>
      </c>
      <c r="R9" s="1553" t="s">
        <v>8</v>
      </c>
      <c r="S9" s="1554">
        <f t="shared" si="0"/>
        <v>100</v>
      </c>
      <c r="T9" s="1553" t="s">
        <v>8</v>
      </c>
      <c r="U9" s="1554">
        <f t="shared" si="1"/>
        <v>100</v>
      </c>
      <c r="V9" s="1553" t="s">
        <v>8</v>
      </c>
      <c r="W9" s="1554">
        <f t="shared" si="2"/>
        <v>100</v>
      </c>
      <c r="X9" s="1555"/>
      <c r="Y9" s="3984"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38"/>
      <c r="Q10" s="1146" t="str">
        <f t="shared" si="6"/>
        <v>土地使用年限（年）</v>
      </c>
      <c r="R10" s="1553" t="s">
        <v>8</v>
      </c>
      <c r="S10" s="1554">
        <f t="shared" si="0"/>
        <v>100</v>
      </c>
      <c r="T10" s="1553" t="s">
        <v>8</v>
      </c>
      <c r="U10" s="1554">
        <f t="shared" si="1"/>
        <v>100</v>
      </c>
      <c r="V10" s="1553" t="s">
        <v>8</v>
      </c>
      <c r="W10" s="1554">
        <f t="shared" si="2"/>
        <v>100</v>
      </c>
      <c r="X10" s="1555"/>
      <c r="Y10" s="3984"/>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38"/>
      <c r="Q11" s="1146" t="str">
        <f t="shared" si="6"/>
        <v>容积率</v>
      </c>
      <c r="R11" s="1553" t="s">
        <v>11</v>
      </c>
      <c r="S11" s="1554">
        <f t="shared" si="0"/>
        <v>104</v>
      </c>
      <c r="T11" s="1553" t="s">
        <v>11</v>
      </c>
      <c r="U11" s="1554">
        <f t="shared" si="1"/>
        <v>102</v>
      </c>
      <c r="V11" s="1553" t="s">
        <v>11</v>
      </c>
      <c r="W11" s="1554">
        <f t="shared" si="2"/>
        <v>102</v>
      </c>
      <c r="X11" s="1555"/>
      <c r="Y11" s="3984"/>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38"/>
      <c r="Q12" s="1146">
        <f t="shared" si="6"/>
        <v>111</v>
      </c>
      <c r="R12" s="1553" t="s">
        <v>11</v>
      </c>
      <c r="S12" s="1554">
        <f t="shared" si="0"/>
        <v>100</v>
      </c>
      <c r="T12" s="1553" t="s">
        <v>11</v>
      </c>
      <c r="U12" s="1554">
        <f t="shared" si="1"/>
        <v>100</v>
      </c>
      <c r="V12" s="1553" t="s">
        <v>11</v>
      </c>
      <c r="W12" s="1554">
        <f t="shared" si="2"/>
        <v>100</v>
      </c>
      <c r="X12" s="1555"/>
      <c r="Y12" s="3984"/>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38"/>
      <c r="Q13" s="1146">
        <f t="shared" si="6"/>
        <v>111</v>
      </c>
      <c r="R13" s="1553" t="s">
        <v>11</v>
      </c>
      <c r="S13" s="1554">
        <f t="shared" si="0"/>
        <v>100</v>
      </c>
      <c r="T13" s="1553" t="s">
        <v>11</v>
      </c>
      <c r="U13" s="1554">
        <f t="shared" si="1"/>
        <v>100</v>
      </c>
      <c r="V13" s="1553" t="s">
        <v>11</v>
      </c>
      <c r="W13" s="1554">
        <f t="shared" si="2"/>
        <v>100</v>
      </c>
      <c r="X13" s="1555"/>
      <c r="Y13" s="3984"/>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38"/>
      <c r="Q14" s="1146">
        <f t="shared" si="6"/>
        <v>111</v>
      </c>
      <c r="R14" s="1553" t="s">
        <v>11</v>
      </c>
      <c r="S14" s="1554">
        <f t="shared" si="0"/>
        <v>100</v>
      </c>
      <c r="T14" s="1553" t="s">
        <v>11</v>
      </c>
      <c r="U14" s="1554">
        <f t="shared" si="1"/>
        <v>100</v>
      </c>
      <c r="V14" s="1553" t="s">
        <v>11</v>
      </c>
      <c r="W14" s="1554">
        <f t="shared" si="2"/>
        <v>100</v>
      </c>
      <c r="X14" s="1555"/>
      <c r="Y14" s="3984"/>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072" t="s">
        <v>540</v>
      </c>
      <c r="Q15" s="1557" t="str">
        <f t="shared" si="6"/>
        <v>居住社区成熟度</v>
      </c>
      <c r="R15" s="1558" t="s">
        <v>11</v>
      </c>
      <c r="S15" s="1559">
        <f t="shared" si="0"/>
        <v>100</v>
      </c>
      <c r="T15" s="1558" t="s">
        <v>11</v>
      </c>
      <c r="U15" s="1559">
        <f t="shared" si="1"/>
        <v>100</v>
      </c>
      <c r="V15" s="1558" t="s">
        <v>11</v>
      </c>
      <c r="W15" s="1559">
        <f t="shared" si="2"/>
        <v>100</v>
      </c>
      <c r="X15" s="1552"/>
      <c r="Y15" s="4072"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073"/>
      <c r="Q16" s="1557"/>
      <c r="R16" s="1558"/>
      <c r="S16" s="1559"/>
      <c r="T16" s="1558"/>
      <c r="U16" s="1559"/>
      <c r="V16" s="1558"/>
      <c r="W16" s="1559"/>
      <c r="X16" s="1552"/>
      <c r="Y16" s="4073"/>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073"/>
      <c r="Q17" s="1557" t="str">
        <f>B17</f>
        <v>交通便捷度</v>
      </c>
      <c r="R17" s="1558" t="s">
        <v>11</v>
      </c>
      <c r="S17" s="1559">
        <f>F17</f>
        <v>100</v>
      </c>
      <c r="T17" s="1558" t="s">
        <v>11</v>
      </c>
      <c r="U17" s="1559">
        <f>H17</f>
        <v>100</v>
      </c>
      <c r="V17" s="1558" t="s">
        <v>11</v>
      </c>
      <c r="W17" s="1559">
        <f>J17</f>
        <v>100</v>
      </c>
      <c r="X17" s="1552"/>
      <c r="Y17" s="4073"/>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073"/>
      <c r="Q18" s="1557"/>
      <c r="R18" s="1558"/>
      <c r="S18" s="1559"/>
      <c r="T18" s="1558"/>
      <c r="U18" s="1559"/>
      <c r="V18" s="1558"/>
      <c r="W18" s="1559"/>
      <c r="X18" s="1552"/>
      <c r="Y18" s="4073"/>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073"/>
      <c r="Q19" s="1557" t="str">
        <f>B19</f>
        <v>公共配套设施</v>
      </c>
      <c r="R19" s="1558" t="s">
        <v>11</v>
      </c>
      <c r="S19" s="1559">
        <f>F19</f>
        <v>100</v>
      </c>
      <c r="T19" s="1558" t="s">
        <v>11</v>
      </c>
      <c r="U19" s="1559">
        <f>H19</f>
        <v>102</v>
      </c>
      <c r="V19" s="1558" t="s">
        <v>11</v>
      </c>
      <c r="W19" s="1559">
        <f>J19</f>
        <v>102</v>
      </c>
      <c r="X19" s="1552"/>
      <c r="Y19" s="4073"/>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073"/>
      <c r="Q20" s="1557"/>
      <c r="R20" s="1558"/>
      <c r="S20" s="1559"/>
      <c r="T20" s="1558"/>
      <c r="U20" s="1559"/>
      <c r="V20" s="1558"/>
      <c r="W20" s="1559"/>
      <c r="X20" s="1552"/>
      <c r="Y20" s="4073"/>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073"/>
      <c r="Q21" s="2542" t="str">
        <f>B21</f>
        <v>基础设施水平</v>
      </c>
      <c r="R21" s="1558" t="s">
        <v>11</v>
      </c>
      <c r="S21" s="1559">
        <f>F21</f>
        <v>100</v>
      </c>
      <c r="T21" s="1558" t="s">
        <v>11</v>
      </c>
      <c r="U21" s="1559">
        <f>H21</f>
        <v>100</v>
      </c>
      <c r="V21" s="1558" t="s">
        <v>11</v>
      </c>
      <c r="W21" s="1559">
        <f>J21</f>
        <v>100</v>
      </c>
      <c r="X21" s="2544"/>
      <c r="Y21" s="4073"/>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073"/>
      <c r="Q22" s="2542"/>
      <c r="R22" s="1558"/>
      <c r="S22" s="1559"/>
      <c r="T22" s="1558"/>
      <c r="U22" s="1559"/>
      <c r="V22" s="1558"/>
      <c r="W22" s="1559"/>
      <c r="X22" s="2544"/>
      <c r="Y22" s="4073"/>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073"/>
      <c r="Q23" s="1557" t="str">
        <f>B23</f>
        <v>自然及人文环境</v>
      </c>
      <c r="R23" s="1558" t="s">
        <v>11</v>
      </c>
      <c r="S23" s="1559">
        <f>F23</f>
        <v>98</v>
      </c>
      <c r="T23" s="1558" t="s">
        <v>11</v>
      </c>
      <c r="U23" s="1559">
        <f>H23</f>
        <v>100</v>
      </c>
      <c r="V23" s="1558" t="s">
        <v>11</v>
      </c>
      <c r="W23" s="1559">
        <f>J23</f>
        <v>100</v>
      </c>
      <c r="X23" s="1552"/>
      <c r="Y23" s="4073"/>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073"/>
      <c r="Q24" s="1557"/>
      <c r="R24" s="1558"/>
      <c r="S24" s="1559"/>
      <c r="T24" s="1558"/>
      <c r="U24" s="1559"/>
      <c r="V24" s="1558"/>
      <c r="W24" s="1559"/>
      <c r="X24" s="1552"/>
      <c r="Y24" s="4073"/>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73"/>
      <c r="Q25" s="1557" t="str">
        <f t="shared" ref="Q25:Q46" si="11">B25</f>
        <v>楼层-1</v>
      </c>
      <c r="R25" s="1558" t="s">
        <v>11</v>
      </c>
      <c r="S25" s="1559">
        <f>F25</f>
        <v>100</v>
      </c>
      <c r="T25" s="1558" t="s">
        <v>11</v>
      </c>
      <c r="U25" s="1559">
        <f>H25</f>
        <v>100</v>
      </c>
      <c r="V25" s="1558" t="s">
        <v>11</v>
      </c>
      <c r="W25" s="1559">
        <f>J25</f>
        <v>100</v>
      </c>
      <c r="X25" s="1552"/>
      <c r="Y25" s="4073"/>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73"/>
      <c r="Q26" s="1557" t="str">
        <f t="shared" si="11"/>
        <v>朝向</v>
      </c>
      <c r="R26" s="1558" t="s">
        <v>11</v>
      </c>
      <c r="S26" s="1559">
        <f>F26</f>
        <v>100</v>
      </c>
      <c r="T26" s="1558" t="s">
        <v>11</v>
      </c>
      <c r="U26" s="1559">
        <f>H26</f>
        <v>100</v>
      </c>
      <c r="V26" s="1558" t="s">
        <v>11</v>
      </c>
      <c r="W26" s="1559">
        <f>J26</f>
        <v>100</v>
      </c>
      <c r="X26" s="1552"/>
      <c r="Y26" s="4073"/>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073"/>
      <c r="Q27" s="1146" t="str">
        <f t="shared" si="11"/>
        <v>道路级别</v>
      </c>
      <c r="R27" s="1553" t="s">
        <v>11</v>
      </c>
      <c r="S27" s="1554">
        <f>F27</f>
        <v>101</v>
      </c>
      <c r="T27" s="1553" t="s">
        <v>11</v>
      </c>
      <c r="U27" s="1554">
        <f>H27</f>
        <v>101</v>
      </c>
      <c r="V27" s="1553" t="s">
        <v>11</v>
      </c>
      <c r="W27" s="1554">
        <f>J27</f>
        <v>99</v>
      </c>
      <c r="X27" s="1555"/>
      <c r="Y27" s="4073"/>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073"/>
      <c r="Q28" s="1557">
        <f t="shared" si="11"/>
        <v>111</v>
      </c>
      <c r="R28" s="1558" t="s">
        <v>11</v>
      </c>
      <c r="S28" s="1559">
        <f t="shared" ref="S28:S46" si="12">F28</f>
        <v>100</v>
      </c>
      <c r="T28" s="1558" t="s">
        <v>11</v>
      </c>
      <c r="U28" s="1559">
        <f t="shared" ref="U28:U46" si="13">H28</f>
        <v>100</v>
      </c>
      <c r="V28" s="1558" t="s">
        <v>11</v>
      </c>
      <c r="W28" s="1559">
        <f t="shared" ref="W28:W46" si="14">J28</f>
        <v>100</v>
      </c>
      <c r="X28" s="1552"/>
      <c r="Y28" s="4073"/>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73"/>
      <c r="Q29" s="1557">
        <f t="shared" si="11"/>
        <v>111</v>
      </c>
      <c r="R29" s="1558" t="s">
        <v>11</v>
      </c>
      <c r="S29" s="1559">
        <f t="shared" si="12"/>
        <v>100</v>
      </c>
      <c r="T29" s="1558" t="s">
        <v>11</v>
      </c>
      <c r="U29" s="1559">
        <f t="shared" si="13"/>
        <v>100</v>
      </c>
      <c r="V29" s="1558" t="s">
        <v>11</v>
      </c>
      <c r="W29" s="1559">
        <f t="shared" si="14"/>
        <v>100</v>
      </c>
      <c r="X29" s="1552"/>
      <c r="Y29" s="407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73"/>
      <c r="Q30" s="1557">
        <f t="shared" si="11"/>
        <v>111</v>
      </c>
      <c r="R30" s="1558" t="s">
        <v>11</v>
      </c>
      <c r="S30" s="1559">
        <f t="shared" si="12"/>
        <v>100</v>
      </c>
      <c r="T30" s="1558" t="s">
        <v>11</v>
      </c>
      <c r="U30" s="1559">
        <f t="shared" si="13"/>
        <v>100</v>
      </c>
      <c r="V30" s="1558" t="s">
        <v>11</v>
      </c>
      <c r="W30" s="1559">
        <f t="shared" si="14"/>
        <v>100</v>
      </c>
      <c r="X30" s="1552"/>
      <c r="Y30" s="4073"/>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73"/>
      <c r="Q31" s="1557">
        <f t="shared" si="11"/>
        <v>111</v>
      </c>
      <c r="R31" s="1558" t="s">
        <v>11</v>
      </c>
      <c r="S31" s="1559">
        <f t="shared" si="12"/>
        <v>100</v>
      </c>
      <c r="T31" s="1558" t="s">
        <v>11</v>
      </c>
      <c r="U31" s="1559">
        <f t="shared" si="13"/>
        <v>100</v>
      </c>
      <c r="V31" s="1558" t="s">
        <v>11</v>
      </c>
      <c r="W31" s="1559">
        <f t="shared" si="14"/>
        <v>100</v>
      </c>
      <c r="X31" s="1552"/>
      <c r="Y31" s="4073"/>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074" t="s">
        <v>550</v>
      </c>
      <c r="Q32" s="1557" t="str">
        <f t="shared" si="11"/>
        <v>建筑类型</v>
      </c>
      <c r="R32" s="1558" t="s">
        <v>11</v>
      </c>
      <c r="S32" s="1559">
        <f t="shared" si="12"/>
        <v>100</v>
      </c>
      <c r="T32" s="1558" t="s">
        <v>11</v>
      </c>
      <c r="U32" s="1559">
        <f t="shared" si="13"/>
        <v>100</v>
      </c>
      <c r="V32" s="1558" t="s">
        <v>11</v>
      </c>
      <c r="W32" s="1559">
        <f t="shared" si="14"/>
        <v>100</v>
      </c>
      <c r="X32" s="1552"/>
      <c r="Y32" s="4075"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75"/>
      <c r="Q33" s="1589" t="str">
        <f t="shared" si="11"/>
        <v>项目建筑规模</v>
      </c>
      <c r="R33" s="1562" t="s">
        <v>11</v>
      </c>
      <c r="S33" s="1563">
        <f t="shared" si="12"/>
        <v>100</v>
      </c>
      <c r="T33" s="1562" t="s">
        <v>11</v>
      </c>
      <c r="U33" s="1563">
        <f t="shared" si="13"/>
        <v>100</v>
      </c>
      <c r="V33" s="1562" t="s">
        <v>11</v>
      </c>
      <c r="W33" s="1563">
        <f t="shared" si="14"/>
        <v>100</v>
      </c>
      <c r="X33" s="1564"/>
      <c r="Y33" s="4075"/>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075"/>
      <c r="Q34" s="1557" t="str">
        <f t="shared" si="11"/>
        <v>建筑结构</v>
      </c>
      <c r="R34" s="1558" t="s">
        <v>11</v>
      </c>
      <c r="S34" s="1559">
        <f t="shared" si="12"/>
        <v>100</v>
      </c>
      <c r="T34" s="1558" t="s">
        <v>11</v>
      </c>
      <c r="U34" s="1559">
        <f t="shared" si="13"/>
        <v>100</v>
      </c>
      <c r="V34" s="1558" t="s">
        <v>11</v>
      </c>
      <c r="W34" s="1559">
        <f t="shared" si="14"/>
        <v>100</v>
      </c>
      <c r="X34" s="1552"/>
      <c r="Y34" s="4075"/>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075"/>
      <c r="Q35" s="1557" t="str">
        <f t="shared" si="11"/>
        <v>建筑品质</v>
      </c>
      <c r="R35" s="1558" t="s">
        <v>11</v>
      </c>
      <c r="S35" s="1559">
        <f t="shared" si="12"/>
        <v>100</v>
      </c>
      <c r="T35" s="1558" t="s">
        <v>11</v>
      </c>
      <c r="U35" s="1559">
        <f t="shared" si="13"/>
        <v>95</v>
      </c>
      <c r="V35" s="1558" t="s">
        <v>11</v>
      </c>
      <c r="W35" s="1559">
        <f t="shared" si="14"/>
        <v>100</v>
      </c>
      <c r="X35" s="1552"/>
      <c r="Y35" s="4075"/>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075"/>
      <c r="Q36" s="1557" t="str">
        <f t="shared" si="11"/>
        <v>公共部分装修</v>
      </c>
      <c r="R36" s="1558" t="s">
        <v>11</v>
      </c>
      <c r="S36" s="1559">
        <f t="shared" si="12"/>
        <v>100</v>
      </c>
      <c r="T36" s="1558" t="s">
        <v>11</v>
      </c>
      <c r="U36" s="1559">
        <f t="shared" si="13"/>
        <v>100</v>
      </c>
      <c r="V36" s="1558" t="s">
        <v>11</v>
      </c>
      <c r="W36" s="1559">
        <f t="shared" si="14"/>
        <v>100</v>
      </c>
      <c r="X36" s="1552"/>
      <c r="Y36" s="4075"/>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75"/>
      <c r="Q37" s="1146" t="str">
        <f t="shared" si="11"/>
        <v>成新度</v>
      </c>
      <c r="R37" s="1553" t="s">
        <v>11</v>
      </c>
      <c r="S37" s="1554">
        <f t="shared" si="12"/>
        <v>100</v>
      </c>
      <c r="T37" s="1553" t="s">
        <v>11</v>
      </c>
      <c r="U37" s="1554">
        <f t="shared" si="13"/>
        <v>100</v>
      </c>
      <c r="V37" s="1553" t="s">
        <v>11</v>
      </c>
      <c r="W37" s="1554">
        <f t="shared" si="14"/>
        <v>100</v>
      </c>
      <c r="X37" s="1555"/>
      <c r="Y37" s="4075"/>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075" t="s">
        <v>550</v>
      </c>
      <c r="Q38" s="1557" t="str">
        <f t="shared" si="11"/>
        <v>物业管理</v>
      </c>
      <c r="R38" s="1558" t="s">
        <v>11</v>
      </c>
      <c r="S38" s="1559">
        <f t="shared" si="12"/>
        <v>100</v>
      </c>
      <c r="T38" s="1558" t="s">
        <v>11</v>
      </c>
      <c r="U38" s="1559">
        <f t="shared" si="13"/>
        <v>100</v>
      </c>
      <c r="V38" s="1558" t="s">
        <v>11</v>
      </c>
      <c r="W38" s="1559">
        <f t="shared" si="14"/>
        <v>100</v>
      </c>
      <c r="X38" s="1552"/>
      <c r="Y38" s="4075"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075"/>
      <c r="Q39" s="1557" t="str">
        <f t="shared" si="11"/>
        <v>市政基础设施</v>
      </c>
      <c r="R39" s="1558" t="s">
        <v>11</v>
      </c>
      <c r="S39" s="1559">
        <f t="shared" si="12"/>
        <v>100</v>
      </c>
      <c r="T39" s="1558" t="s">
        <v>11</v>
      </c>
      <c r="U39" s="1559">
        <f t="shared" si="13"/>
        <v>100</v>
      </c>
      <c r="V39" s="1558" t="s">
        <v>11</v>
      </c>
      <c r="W39" s="1559">
        <f t="shared" si="14"/>
        <v>100</v>
      </c>
      <c r="X39" s="1552"/>
      <c r="Y39" s="4075"/>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75"/>
      <c r="Q40" s="1557" t="str">
        <f t="shared" si="11"/>
        <v>房型</v>
      </c>
      <c r="R40" s="1558" t="s">
        <v>11</v>
      </c>
      <c r="S40" s="1559">
        <f t="shared" si="12"/>
        <v>100</v>
      </c>
      <c r="T40" s="1558" t="s">
        <v>11</v>
      </c>
      <c r="U40" s="1559">
        <f t="shared" si="13"/>
        <v>100</v>
      </c>
      <c r="V40" s="1558" t="s">
        <v>11</v>
      </c>
      <c r="W40" s="1559">
        <f t="shared" si="14"/>
        <v>100</v>
      </c>
      <c r="X40" s="1552"/>
      <c r="Y40" s="4075"/>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075"/>
      <c r="Q41" s="1589" t="str">
        <f t="shared" si="11"/>
        <v>单套/主力户型建筑面积</v>
      </c>
      <c r="R41" s="1562" t="s">
        <v>11</v>
      </c>
      <c r="S41" s="1563">
        <f t="shared" si="12"/>
        <v>98</v>
      </c>
      <c r="T41" s="1562" t="s">
        <v>11</v>
      </c>
      <c r="U41" s="1563">
        <f t="shared" si="13"/>
        <v>96</v>
      </c>
      <c r="V41" s="1562" t="s">
        <v>11</v>
      </c>
      <c r="W41" s="1563">
        <f t="shared" si="14"/>
        <v>100</v>
      </c>
      <c r="X41" s="1564"/>
      <c r="Y41" s="4075"/>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075"/>
      <c r="Q42" s="1557" t="str">
        <f t="shared" si="11"/>
        <v>内部装修</v>
      </c>
      <c r="R42" s="1558" t="s">
        <v>11</v>
      </c>
      <c r="S42" s="1559">
        <f t="shared" si="12"/>
        <v>100</v>
      </c>
      <c r="T42" s="1558" t="s">
        <v>11</v>
      </c>
      <c r="U42" s="1559">
        <f t="shared" si="13"/>
        <v>100</v>
      </c>
      <c r="V42" s="1558" t="s">
        <v>11</v>
      </c>
      <c r="W42" s="1559">
        <f t="shared" si="14"/>
        <v>100</v>
      </c>
      <c r="X42" s="1552"/>
      <c r="Y42" s="4075"/>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075"/>
      <c r="Q43" s="1557" t="str">
        <f t="shared" si="11"/>
        <v>内部装修维护情况</v>
      </c>
      <c r="R43" s="1558" t="s">
        <v>11</v>
      </c>
      <c r="S43" s="1559">
        <f t="shared" si="12"/>
        <v>100</v>
      </c>
      <c r="T43" s="1558" t="s">
        <v>11</v>
      </c>
      <c r="U43" s="1559">
        <f t="shared" si="13"/>
        <v>100</v>
      </c>
      <c r="V43" s="1558" t="s">
        <v>11</v>
      </c>
      <c r="W43" s="1559">
        <f t="shared" si="14"/>
        <v>100</v>
      </c>
      <c r="X43" s="1552"/>
      <c r="Y43" s="407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75"/>
      <c r="Q44" s="1146">
        <f t="shared" si="11"/>
        <v>111</v>
      </c>
      <c r="R44" s="1553" t="s">
        <v>11</v>
      </c>
      <c r="S44" s="1554">
        <f t="shared" si="12"/>
        <v>100</v>
      </c>
      <c r="T44" s="1553" t="s">
        <v>11</v>
      </c>
      <c r="U44" s="1554">
        <f t="shared" si="13"/>
        <v>100</v>
      </c>
      <c r="V44" s="1553" t="s">
        <v>11</v>
      </c>
      <c r="W44" s="1554">
        <f t="shared" si="14"/>
        <v>100</v>
      </c>
      <c r="X44" s="1555"/>
      <c r="Y44" s="407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75"/>
      <c r="Q45" s="1557">
        <f t="shared" si="11"/>
        <v>111</v>
      </c>
      <c r="R45" s="1558" t="s">
        <v>11</v>
      </c>
      <c r="S45" s="1559">
        <f t="shared" si="12"/>
        <v>100</v>
      </c>
      <c r="T45" s="1558" t="s">
        <v>11</v>
      </c>
      <c r="U45" s="1559">
        <f t="shared" si="13"/>
        <v>100</v>
      </c>
      <c r="V45" s="1558" t="s">
        <v>11</v>
      </c>
      <c r="W45" s="1559">
        <f t="shared" si="14"/>
        <v>100</v>
      </c>
      <c r="X45" s="1552"/>
      <c r="Y45" s="4075"/>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33"/>
      <c r="Q46" s="1557">
        <f t="shared" si="11"/>
        <v>111</v>
      </c>
      <c r="R46" s="1558" t="s">
        <v>10</v>
      </c>
      <c r="S46" s="1559">
        <f t="shared" si="12"/>
        <v>100</v>
      </c>
      <c r="T46" s="1558" t="s">
        <v>10</v>
      </c>
      <c r="U46" s="1559">
        <f t="shared" si="13"/>
        <v>100</v>
      </c>
      <c r="V46" s="1558" t="s">
        <v>10</v>
      </c>
      <c r="W46" s="1559">
        <f t="shared" si="14"/>
        <v>100</v>
      </c>
      <c r="X46" s="1552"/>
      <c r="Y46" s="4133"/>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38" t="str">
        <f>A47</f>
        <v>成交单价（元/平方米）</v>
      </c>
      <c r="Q47" s="4038"/>
      <c r="R47" s="4132">
        <f>E47</f>
        <v>5500</v>
      </c>
      <c r="S47" s="4132"/>
      <c r="T47" s="4132">
        <f>G47</f>
        <v>4700</v>
      </c>
      <c r="U47" s="4132"/>
      <c r="V47" s="4132">
        <f>I47</f>
        <v>5600</v>
      </c>
      <c r="W47" s="4132"/>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38" t="str">
        <f>A48</f>
        <v>比较价格（元/平方米）</v>
      </c>
      <c r="Q48" s="4038"/>
      <c r="R48" s="4132">
        <f>IF(F1="售价",ROUND(PRODUCT(R47,AA7:AA46),0),ROUND(PRODUCT(R47,AA7:AA46),1))</f>
        <v>5452</v>
      </c>
      <c r="S48" s="4132"/>
      <c r="T48" s="4132">
        <f>IF(F1="售价",ROUND(PRODUCT(T47,AB7:AB46),0),ROUND(PRODUCT(T47,AB7:AB46),1))</f>
        <v>4904</v>
      </c>
      <c r="U48" s="4132"/>
      <c r="V48" s="4132">
        <f>IF(F1="售价",ROUND(PRODUCT(V47,AC7:AC46),0),ROUND(PRODUCT(V47,AC7:AC46),1))</f>
        <v>5437</v>
      </c>
      <c r="W48" s="4132"/>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35" t="str">
        <f>A49</f>
        <v>估价对象XX用房的比较价格（楼面单价，元/平方米）</v>
      </c>
      <c r="Q49" s="4036"/>
      <c r="R49" s="4131">
        <f>IF(F1="售价",ROUND(AVERAGE(R48:V48),0),ROUND(AVERAGE(R48:V48),1))</f>
        <v>5264</v>
      </c>
      <c r="S49" s="4131"/>
      <c r="T49" s="4131"/>
      <c r="U49" s="4131"/>
      <c r="V49" s="4131"/>
      <c r="W49" s="413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25" t="s">
        <v>2462</v>
      </c>
      <c r="C6" s="782">
        <f ca="1">ROUND(F6*F8*F7*(1-F9)/10000,0)</f>
        <v>0</v>
      </c>
      <c r="D6" s="2460" t="s">
        <v>2461</v>
      </c>
      <c r="E6" s="783" t="s">
        <v>1738</v>
      </c>
      <c r="F6" s="784">
        <f ca="1">INDIRECT("'数据-取费表'!u"&amp;$G$1)</f>
        <v>0</v>
      </c>
      <c r="G6" s="1577"/>
      <c r="H6" s="2467" t="s">
        <v>2467</v>
      </c>
      <c r="I6" s="4125" t="s">
        <v>2462</v>
      </c>
      <c r="J6" s="782">
        <f ca="1">ROUND(M6*M8*M7*(1-M9)/10000,0)</f>
        <v>0</v>
      </c>
      <c r="K6" s="340" t="s">
        <v>1737</v>
      </c>
      <c r="L6" s="783" t="s">
        <v>1738</v>
      </c>
      <c r="M6" s="784">
        <f ca="1">INDIRECT("'数据-取费表'!z"&amp;$G$1)</f>
        <v>0</v>
      </c>
    </row>
    <row r="7" spans="1:33" ht="18" customHeight="1">
      <c r="A7" s="2463"/>
      <c r="B7" s="4126"/>
      <c r="C7" s="787"/>
      <c r="D7" s="788"/>
      <c r="E7" s="783" t="s">
        <v>1739</v>
      </c>
      <c r="F7" s="784">
        <f ca="1">IF(INDIRECT("'数据-取费表'!ah"&amp;$G$1)="",INDIRECT("'数据-取费表'!k"&amp;$G$1),INDIRECT("'数据-取费表'!ah"&amp;$G$1))</f>
        <v>6493.21</v>
      </c>
      <c r="G7" s="1577"/>
      <c r="H7" s="2452"/>
      <c r="I7" s="4126"/>
      <c r="J7" s="787"/>
      <c r="K7" s="788"/>
      <c r="L7" s="783" t="s">
        <v>1739</v>
      </c>
      <c r="M7" s="784">
        <f ca="1">F7</f>
        <v>6493.21</v>
      </c>
    </row>
    <row r="8" spans="1:33" ht="18" customHeight="1">
      <c r="A8" s="2456"/>
      <c r="B8" s="4127"/>
      <c r="C8" s="787"/>
      <c r="D8" s="788"/>
      <c r="E8" s="783" t="s">
        <v>1740</v>
      </c>
      <c r="F8" s="784">
        <f ca="1">INDIRECT("'数据-取费表'!ai"&amp;$G$1)</f>
        <v>365</v>
      </c>
      <c r="G8" s="1577"/>
      <c r="H8" s="2452"/>
      <c r="I8" s="4127"/>
      <c r="J8" s="787"/>
      <c r="K8" s="788"/>
      <c r="L8" s="783" t="s">
        <v>1740</v>
      </c>
      <c r="M8" s="784">
        <f ca="1">INDIRECT("'数据-取费表'!ai"&amp;$G$1)</f>
        <v>365</v>
      </c>
    </row>
    <row r="9" spans="1:33" ht="18" customHeight="1">
      <c r="A9" s="785"/>
      <c r="B9" s="4128"/>
      <c r="C9" s="787"/>
      <c r="D9" s="788"/>
      <c r="E9" s="783" t="s">
        <v>1741</v>
      </c>
      <c r="F9" s="793">
        <f ca="1">INDIRECT("'数据-取费表'!w"&amp;$G$1)</f>
        <v>0</v>
      </c>
      <c r="G9" s="1577"/>
      <c r="H9" s="2468"/>
      <c r="I9" s="4127"/>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1197.1699999999998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1197.1699999999998</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36" t="s">
        <v>2962</v>
      </c>
      <c r="L53" s="4137"/>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1197.1699999999998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38" t="s">
        <v>2470</v>
      </c>
      <c r="B1" s="4139"/>
      <c r="C1" s="4140"/>
      <c r="D1" s="4141">
        <f>SUM(I10,I15,I20,I21,I23)</f>
        <v>0</v>
      </c>
      <c r="E1" s="4141"/>
      <c r="F1" s="4141"/>
      <c r="G1" s="4141"/>
      <c r="H1" s="4141"/>
      <c r="I1" s="4142"/>
    </row>
    <row r="2" spans="1:9">
      <c r="A2" s="4143" t="s">
        <v>2471</v>
      </c>
      <c r="B2" s="4144" t="s">
        <v>2472</v>
      </c>
      <c r="C2" s="4144"/>
      <c r="D2" s="2470" t="s">
        <v>2473</v>
      </c>
      <c r="E2" s="2470" t="s">
        <v>2474</v>
      </c>
      <c r="F2" s="2470" t="s">
        <v>2475</v>
      </c>
      <c r="G2" s="2470" t="s">
        <v>2476</v>
      </c>
      <c r="H2" s="2470" t="s">
        <v>2477</v>
      </c>
      <c r="I2" s="2471" t="s">
        <v>2478</v>
      </c>
    </row>
    <row r="3" spans="1:9">
      <c r="A3" s="4143"/>
      <c r="B3" s="4144" t="s">
        <v>2479</v>
      </c>
      <c r="C3" s="4144"/>
      <c r="D3" s="2472"/>
      <c r="E3" s="2470"/>
      <c r="F3" s="2473"/>
      <c r="G3" s="2473"/>
      <c r="H3" s="2474"/>
      <c r="I3" s="2475">
        <f>ROUND(D3*E3*F3*G3*H3/10000,0)</f>
        <v>0</v>
      </c>
    </row>
    <row r="4" spans="1:9">
      <c r="A4" s="4143"/>
      <c r="B4" s="4144" t="s">
        <v>2480</v>
      </c>
      <c r="C4" s="4144"/>
      <c r="D4" s="2472"/>
      <c r="E4" s="2470"/>
      <c r="F4" s="2473"/>
      <c r="G4" s="2473"/>
      <c r="H4" s="2474"/>
      <c r="I4" s="2475">
        <f t="shared" ref="I4:I9" si="0">ROUND(D4*E4*F4*G4*H4/10000,0)</f>
        <v>0</v>
      </c>
    </row>
    <row r="5" spans="1:9">
      <c r="A5" s="4143"/>
      <c r="B5" s="4144" t="s">
        <v>2481</v>
      </c>
      <c r="C5" s="4144"/>
      <c r="D5" s="2472"/>
      <c r="E5" s="2470"/>
      <c r="F5" s="2473"/>
      <c r="G5" s="2473"/>
      <c r="H5" s="2474"/>
      <c r="I5" s="2475">
        <f t="shared" si="0"/>
        <v>0</v>
      </c>
    </row>
    <row r="6" spans="1:9">
      <c r="A6" s="4143"/>
      <c r="B6" s="4144" t="s">
        <v>2482</v>
      </c>
      <c r="C6" s="4144"/>
      <c r="D6" s="2472"/>
      <c r="E6" s="2470"/>
      <c r="F6" s="2473"/>
      <c r="G6" s="2473"/>
      <c r="H6" s="2474"/>
      <c r="I6" s="2475">
        <f t="shared" si="0"/>
        <v>0</v>
      </c>
    </row>
    <row r="7" spans="1:9">
      <c r="A7" s="4143"/>
      <c r="B7" s="4144" t="s">
        <v>2483</v>
      </c>
      <c r="C7" s="4144"/>
      <c r="D7" s="2472"/>
      <c r="E7" s="2470"/>
      <c r="F7" s="2473"/>
      <c r="G7" s="2473"/>
      <c r="H7" s="2474"/>
      <c r="I7" s="2475">
        <f t="shared" si="0"/>
        <v>0</v>
      </c>
    </row>
    <row r="8" spans="1:9">
      <c r="A8" s="4143"/>
      <c r="B8" s="4144" t="s">
        <v>2484</v>
      </c>
      <c r="C8" s="4144"/>
      <c r="D8" s="2472"/>
      <c r="E8" s="2470"/>
      <c r="F8" s="2473"/>
      <c r="G8" s="2473"/>
      <c r="H8" s="2474"/>
      <c r="I8" s="2475">
        <f t="shared" si="0"/>
        <v>0</v>
      </c>
    </row>
    <row r="9" spans="1:9">
      <c r="A9" s="4143"/>
      <c r="B9" s="4144" t="s">
        <v>2485</v>
      </c>
      <c r="C9" s="4144"/>
      <c r="D9" s="2472"/>
      <c r="E9" s="2470"/>
      <c r="F9" s="2473"/>
      <c r="G9" s="2473"/>
      <c r="H9" s="2474"/>
      <c r="I9" s="2475">
        <f t="shared" si="0"/>
        <v>0</v>
      </c>
    </row>
    <row r="10" spans="1:9">
      <c r="A10" s="4143"/>
      <c r="B10" s="4145" t="s">
        <v>2486</v>
      </c>
      <c r="C10" s="4145"/>
      <c r="D10" s="2476">
        <v>527</v>
      </c>
      <c r="E10" s="2476" t="e">
        <f>ROUND(D1*10000/D10/H9,0)</f>
        <v>#DIV/0!</v>
      </c>
      <c r="F10" s="2477"/>
      <c r="G10" s="2477"/>
      <c r="H10" s="2478"/>
      <c r="I10" s="2479">
        <f>SUM(I3:I9)</f>
        <v>0</v>
      </c>
    </row>
    <row r="11" spans="1:9" ht="14.25">
      <c r="A11" s="4143" t="s">
        <v>2487</v>
      </c>
      <c r="B11" s="4144" t="s">
        <v>2488</v>
      </c>
      <c r="C11" s="4144"/>
      <c r="D11" s="2472" t="s">
        <v>2489</v>
      </c>
      <c r="E11" s="2472" t="s">
        <v>2490</v>
      </c>
      <c r="F11" s="2473" t="s">
        <v>2491</v>
      </c>
      <c r="G11" s="2473" t="s">
        <v>2492</v>
      </c>
      <c r="H11" s="2480" t="s">
        <v>2493</v>
      </c>
      <c r="I11" s="2471" t="s">
        <v>2494</v>
      </c>
    </row>
    <row r="12" spans="1:9">
      <c r="A12" s="4143"/>
      <c r="B12" s="4144" t="s">
        <v>2495</v>
      </c>
      <c r="C12" s="4144"/>
      <c r="D12" s="2472"/>
      <c r="E12" s="2472"/>
      <c r="F12" s="2473"/>
      <c r="G12" s="2474"/>
      <c r="H12" s="2481"/>
      <c r="I12" s="2471">
        <f>ROUND(D12*E12*F12*G12/10000,0)</f>
        <v>0</v>
      </c>
    </row>
    <row r="13" spans="1:9">
      <c r="A13" s="4143"/>
      <c r="B13" s="4144" t="s">
        <v>2496</v>
      </c>
      <c r="C13" s="4144"/>
      <c r="D13" s="2472"/>
      <c r="E13" s="2472"/>
      <c r="F13" s="2473"/>
      <c r="G13" s="2474"/>
      <c r="H13" s="2481"/>
      <c r="I13" s="2471">
        <f>ROUND(D13*E13*F13*G13/10000,0)</f>
        <v>0</v>
      </c>
    </row>
    <row r="14" spans="1:9">
      <c r="A14" s="4143"/>
      <c r="B14" s="4144" t="s">
        <v>2497</v>
      </c>
      <c r="C14" s="4144"/>
      <c r="D14" s="2472"/>
      <c r="E14" s="2472"/>
      <c r="F14" s="2473"/>
      <c r="G14" s="2474"/>
      <c r="H14" s="2481"/>
      <c r="I14" s="2471">
        <f>ROUND(D14*E14*F14*G14/10000,0)</f>
        <v>0</v>
      </c>
    </row>
    <row r="15" spans="1:9">
      <c r="A15" s="4143"/>
      <c r="B15" s="4145" t="s">
        <v>2486</v>
      </c>
      <c r="C15" s="4145"/>
      <c r="D15" s="2476"/>
      <c r="E15" s="2476">
        <f>SUM(E12:E14)</f>
        <v>0</v>
      </c>
      <c r="F15" s="2477"/>
      <c r="G15" s="2474"/>
      <c r="H15" s="2481"/>
      <c r="I15" s="2482">
        <f>SUM(I12:I14)</f>
        <v>0</v>
      </c>
    </row>
    <row r="16" spans="1:9" ht="24">
      <c r="A16" s="4143" t="s">
        <v>2498</v>
      </c>
      <c r="B16" s="4144" t="s">
        <v>2499</v>
      </c>
      <c r="C16" s="4144"/>
      <c r="D16" s="2472" t="s">
        <v>2500</v>
      </c>
      <c r="E16" s="2483" t="s">
        <v>2501</v>
      </c>
      <c r="F16" s="2473" t="s">
        <v>2502</v>
      </c>
      <c r="G16" s="2474" t="s">
        <v>2492</v>
      </c>
      <c r="H16" s="2480" t="s">
        <v>2493</v>
      </c>
      <c r="I16" s="2471" t="s">
        <v>2494</v>
      </c>
    </row>
    <row r="17" spans="1:9" ht="14.25">
      <c r="A17" s="4143"/>
      <c r="B17" s="4144" t="s">
        <v>2503</v>
      </c>
      <c r="C17" s="4144"/>
      <c r="D17" s="2472"/>
      <c r="E17" s="2472"/>
      <c r="F17" s="2473"/>
      <c r="G17" s="2474"/>
      <c r="H17" s="2484"/>
      <c r="I17" s="2485">
        <f>ROUND(D17*E17*F17*G17/10000,0)</f>
        <v>0</v>
      </c>
    </row>
    <row r="18" spans="1:9" ht="14.25">
      <c r="A18" s="4143"/>
      <c r="B18" s="4144" t="s">
        <v>2504</v>
      </c>
      <c r="C18" s="4144"/>
      <c r="D18" s="2472"/>
      <c r="E18" s="2472"/>
      <c r="F18" s="2473"/>
      <c r="G18" s="2474"/>
      <c r="H18" s="2484"/>
      <c r="I18" s="2485">
        <f>ROUND(D18*E18*F18*G18/10000,0)</f>
        <v>0</v>
      </c>
    </row>
    <row r="19" spans="1:9" ht="14.25">
      <c r="A19" s="4143"/>
      <c r="B19" s="4144" t="s">
        <v>2505</v>
      </c>
      <c r="C19" s="4144"/>
      <c r="D19" s="2472"/>
      <c r="E19" s="2472"/>
      <c r="F19" s="2473"/>
      <c r="G19" s="2474"/>
      <c r="H19" s="2484"/>
      <c r="I19" s="2485">
        <f>ROUND(D19*E19*F19*G19/10000,0)</f>
        <v>0</v>
      </c>
    </row>
    <row r="20" spans="1:9">
      <c r="A20" s="4143"/>
      <c r="B20" s="4145" t="s">
        <v>2486</v>
      </c>
      <c r="C20" s="4145"/>
      <c r="D20" s="2476">
        <f>SUM(D17:D19)</f>
        <v>0</v>
      </c>
      <c r="E20" s="2476"/>
      <c r="F20" s="2477"/>
      <c r="G20" s="2474"/>
      <c r="H20" s="2481"/>
      <c r="I20" s="2482">
        <f>SUM(I17:I19)</f>
        <v>0</v>
      </c>
    </row>
    <row r="21" spans="1:9">
      <c r="A21" s="4143" t="s">
        <v>2506</v>
      </c>
      <c r="B21" s="4147"/>
      <c r="C21" s="4147"/>
      <c r="D21" s="4147"/>
      <c r="E21" s="4147"/>
      <c r="F21" s="4147"/>
      <c r="G21" s="4147"/>
      <c r="H21" s="2486">
        <v>0.1</v>
      </c>
      <c r="I21" s="2479">
        <f>ROUND(I10*H21,0)</f>
        <v>0</v>
      </c>
    </row>
    <row r="22" spans="1:9" ht="14.25">
      <c r="A22" s="4148" t="s">
        <v>2507</v>
      </c>
      <c r="B22" s="4149"/>
      <c r="C22" s="4150"/>
      <c r="D22" s="2487" t="s">
        <v>2508</v>
      </c>
      <c r="E22" s="2487" t="s">
        <v>2509</v>
      </c>
      <c r="F22" s="2488" t="s">
        <v>2510</v>
      </c>
      <c r="G22" s="2488" t="s">
        <v>2511</v>
      </c>
      <c r="H22" s="2480" t="s">
        <v>2512</v>
      </c>
      <c r="I22" s="2471" t="s">
        <v>2513</v>
      </c>
    </row>
    <row r="23" spans="1:9" ht="14.25" thickBot="1">
      <c r="A23" s="4151"/>
      <c r="B23" s="4152"/>
      <c r="C23" s="4153"/>
      <c r="D23" s="2489"/>
      <c r="E23" s="2489"/>
      <c r="F23" s="2489"/>
      <c r="G23" s="2490"/>
      <c r="H23" s="2491"/>
      <c r="I23" s="2492">
        <f>ROUND(E23*D23*F23*(1-G23)/10000,0)</f>
        <v>0</v>
      </c>
    </row>
    <row r="26" spans="1:9">
      <c r="A26" s="2493" t="s">
        <v>2514</v>
      </c>
      <c r="B26" s="2493"/>
      <c r="C26" s="2493"/>
      <c r="D26" s="2493"/>
      <c r="E26" s="4154">
        <f>C27-C30-C31-C32</f>
        <v>0</v>
      </c>
      <c r="F26" s="4154"/>
      <c r="G26" s="4154"/>
      <c r="H26" s="2992" t="s">
        <v>2842</v>
      </c>
    </row>
    <row r="27" spans="1:9">
      <c r="A27" s="2494">
        <v>1</v>
      </c>
      <c r="B27" s="2495" t="s">
        <v>2515</v>
      </c>
      <c r="C27" s="2495"/>
      <c r="D27" s="2495"/>
      <c r="E27" s="4155"/>
      <c r="F27" s="4155"/>
      <c r="G27" s="4155"/>
    </row>
    <row r="28" spans="1:9">
      <c r="A28" s="2496" t="s">
        <v>2516</v>
      </c>
      <c r="B28" s="2495" t="s">
        <v>2517</v>
      </c>
      <c r="C28" s="2495"/>
      <c r="D28" s="2495"/>
      <c r="E28" s="4155"/>
      <c r="F28" s="4155"/>
      <c r="G28" s="4155"/>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46"/>
      <c r="F32" s="4146"/>
      <c r="G32" s="4146"/>
    </row>
    <row r="33" spans="1:7" hidden="1">
      <c r="A33" s="4156" t="s">
        <v>2525</v>
      </c>
      <c r="B33" s="4157"/>
      <c r="C33" s="4157"/>
      <c r="D33" s="4158"/>
      <c r="E33" s="4154"/>
      <c r="F33" s="4154"/>
      <c r="G33" s="4154"/>
    </row>
    <row r="34" spans="1:7" hidden="1">
      <c r="A34" s="2498">
        <v>1</v>
      </c>
      <c r="B34" s="2495" t="s">
        <v>2526</v>
      </c>
      <c r="C34" s="2495"/>
      <c r="D34" s="2495"/>
      <c r="E34" s="4155"/>
      <c r="F34" s="4155"/>
      <c r="G34" s="4155"/>
    </row>
    <row r="35" spans="1:7" hidden="1">
      <c r="A35" s="2498">
        <v>2</v>
      </c>
      <c r="B35" s="2495" t="s">
        <v>2527</v>
      </c>
      <c r="C35" s="2495"/>
      <c r="D35" s="2495"/>
      <c r="E35" s="4155"/>
      <c r="F35" s="4155"/>
      <c r="G35" s="4155"/>
    </row>
    <row r="36" spans="1:7" hidden="1">
      <c r="A36" s="2498">
        <v>3</v>
      </c>
      <c r="B36" s="2495" t="s">
        <v>2528</v>
      </c>
      <c r="C36" s="2495"/>
      <c r="D36" s="2495"/>
      <c r="E36" s="4155"/>
      <c r="F36" s="4155"/>
      <c r="G36" s="4155"/>
    </row>
    <row r="37" spans="1:7" hidden="1">
      <c r="A37" s="2498">
        <v>4</v>
      </c>
      <c r="B37" s="2495" t="s">
        <v>2529</v>
      </c>
      <c r="C37" s="2495"/>
      <c r="D37" s="2495"/>
      <c r="E37" s="4155"/>
      <c r="F37" s="4155"/>
      <c r="G37" s="4155"/>
    </row>
    <row r="38" spans="1:7" hidden="1">
      <c r="A38" s="4156" t="s">
        <v>2530</v>
      </c>
      <c r="B38" s="4157"/>
      <c r="C38" s="4157"/>
      <c r="D38" s="4158"/>
      <c r="E38" s="4154"/>
      <c r="F38" s="4154"/>
      <c r="G38" s="41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111281.46</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1480</v>
      </c>
      <c r="D12" s="757">
        <f>'数据-汇总表'!E5</f>
        <v>82203.94</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44" t="s">
        <v>522</v>
      </c>
      <c r="D4" s="4045"/>
      <c r="E4" s="4078" t="s">
        <v>523</v>
      </c>
      <c r="F4" s="4079"/>
      <c r="G4" s="4044" t="s">
        <v>524</v>
      </c>
      <c r="H4" s="4045"/>
      <c r="I4" s="4044" t="s">
        <v>525</v>
      </c>
      <c r="J4" s="4045"/>
      <c r="K4" s="513" t="s">
        <v>526</v>
      </c>
      <c r="L4" s="2117"/>
      <c r="M4" s="2118"/>
      <c r="N4" s="2118"/>
      <c r="O4" s="2118"/>
      <c r="P4" s="4046" t="s">
        <v>527</v>
      </c>
      <c r="Q4" s="4047"/>
      <c r="R4" s="4052" t="s">
        <v>523</v>
      </c>
      <c r="S4" s="4053"/>
      <c r="T4" s="4052" t="s">
        <v>524</v>
      </c>
      <c r="U4" s="4053"/>
      <c r="V4" s="4039" t="s">
        <v>525</v>
      </c>
      <c r="W4" s="4039"/>
      <c r="X4" s="1552"/>
      <c r="Y4" s="4052" t="s">
        <v>527</v>
      </c>
      <c r="Z4" s="4053"/>
      <c r="AA4" s="4041" t="s">
        <v>523</v>
      </c>
      <c r="AB4" s="4039" t="s">
        <v>524</v>
      </c>
      <c r="AC4" s="4041" t="s">
        <v>525</v>
      </c>
    </row>
    <row r="5" spans="1:29" ht="15">
      <c r="A5" s="514"/>
      <c r="B5" s="515"/>
      <c r="C5" s="4060" t="s">
        <v>2926</v>
      </c>
      <c r="D5" s="4061"/>
      <c r="E5" s="4135" t="s">
        <v>3553</v>
      </c>
      <c r="F5" s="4081"/>
      <c r="G5" s="4134" t="s">
        <v>3321</v>
      </c>
      <c r="H5" s="4061"/>
      <c r="I5" s="4134" t="s">
        <v>3345</v>
      </c>
      <c r="J5" s="4061"/>
      <c r="K5" s="513"/>
      <c r="L5" s="2117"/>
      <c r="M5" s="2118"/>
      <c r="N5" s="2118"/>
      <c r="O5" s="2118"/>
      <c r="P5" s="4048"/>
      <c r="Q5" s="4049"/>
      <c r="R5" s="4054"/>
      <c r="S5" s="4055"/>
      <c r="T5" s="4054"/>
      <c r="U5" s="4055"/>
      <c r="V5" s="4039"/>
      <c r="W5" s="4039"/>
      <c r="X5" s="1552"/>
      <c r="Y5" s="4054"/>
      <c r="Z5" s="4055"/>
      <c r="AA5" s="4042"/>
      <c r="AB5" s="4039"/>
      <c r="AC5" s="4042"/>
    </row>
    <row r="6" spans="1:29" ht="15.75" thickBot="1">
      <c r="A6" s="516"/>
      <c r="B6" s="517"/>
      <c r="C6" s="4058" t="s">
        <v>2930</v>
      </c>
      <c r="D6" s="4059"/>
      <c r="E6" s="4076" t="s">
        <v>2930</v>
      </c>
      <c r="F6" s="4077"/>
      <c r="G6" s="4058" t="s">
        <v>2930</v>
      </c>
      <c r="H6" s="4059"/>
      <c r="I6" s="4058" t="s">
        <v>2930</v>
      </c>
      <c r="J6" s="4059"/>
      <c r="K6" s="513" t="s">
        <v>528</v>
      </c>
      <c r="L6" s="2117"/>
      <c r="M6" s="2118"/>
      <c r="N6" s="2118"/>
      <c r="O6" s="2118"/>
      <c r="P6" s="4050"/>
      <c r="Q6" s="4051"/>
      <c r="R6" s="4054"/>
      <c r="S6" s="4055"/>
      <c r="T6" s="4056"/>
      <c r="U6" s="4057"/>
      <c r="V6" s="4039"/>
      <c r="W6" s="4039"/>
      <c r="X6" s="1552"/>
      <c r="Y6" s="4056"/>
      <c r="Z6" s="4057"/>
      <c r="AA6" s="4043"/>
      <c r="AB6" s="4039"/>
      <c r="AC6" s="4043"/>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069" t="s">
        <v>530</v>
      </c>
      <c r="Q7" s="4071"/>
      <c r="R7" s="1553" t="s">
        <v>8</v>
      </c>
      <c r="S7" s="1554">
        <f t="shared" ref="S7:S15" si="0">F7</f>
        <v>100</v>
      </c>
      <c r="T7" s="1553" t="s">
        <v>8</v>
      </c>
      <c r="U7" s="1554">
        <f t="shared" ref="U7:U15" si="1">H7</f>
        <v>100</v>
      </c>
      <c r="V7" s="1553" t="s">
        <v>8</v>
      </c>
      <c r="W7" s="1554">
        <f t="shared" ref="W7:W15" si="2">J7</f>
        <v>100</v>
      </c>
      <c r="X7" s="1555"/>
      <c r="Y7" s="4069" t="s">
        <v>530</v>
      </c>
      <c r="Z7" s="4070"/>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069" t="s">
        <v>533</v>
      </c>
      <c r="Q8" s="4070"/>
      <c r="R8" s="1553" t="s">
        <v>8</v>
      </c>
      <c r="S8" s="1554">
        <f t="shared" si="0"/>
        <v>100</v>
      </c>
      <c r="T8" s="1553" t="s">
        <v>8</v>
      </c>
      <c r="U8" s="1554">
        <f t="shared" si="1"/>
        <v>100</v>
      </c>
      <c r="V8" s="1553" t="s">
        <v>8</v>
      </c>
      <c r="W8" s="1554">
        <f t="shared" si="2"/>
        <v>100</v>
      </c>
      <c r="X8" s="1555"/>
      <c r="Y8" s="4069" t="s">
        <v>533</v>
      </c>
      <c r="Z8" s="4070"/>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38" t="s">
        <v>535</v>
      </c>
      <c r="Q9" s="1146" t="str">
        <f t="shared" ref="Q9:Q15" si="6">B9</f>
        <v>用途</v>
      </c>
      <c r="R9" s="1553" t="s">
        <v>8</v>
      </c>
      <c r="S9" s="1554">
        <f t="shared" si="0"/>
        <v>100</v>
      </c>
      <c r="T9" s="1553" t="s">
        <v>8</v>
      </c>
      <c r="U9" s="1554">
        <f t="shared" si="1"/>
        <v>100</v>
      </c>
      <c r="V9" s="1553" t="s">
        <v>8</v>
      </c>
      <c r="W9" s="1554">
        <f t="shared" si="2"/>
        <v>100</v>
      </c>
      <c r="X9" s="1555"/>
      <c r="Y9" s="3984"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38"/>
      <c r="Q10" s="1146" t="str">
        <f t="shared" si="6"/>
        <v>土地使用年限（年）</v>
      </c>
      <c r="R10" s="1553" t="s">
        <v>8</v>
      </c>
      <c r="S10" s="1554">
        <f t="shared" si="0"/>
        <v>100</v>
      </c>
      <c r="T10" s="1553" t="s">
        <v>8</v>
      </c>
      <c r="U10" s="1554">
        <f t="shared" si="1"/>
        <v>100</v>
      </c>
      <c r="V10" s="1553" t="s">
        <v>8</v>
      </c>
      <c r="W10" s="1554">
        <f t="shared" si="2"/>
        <v>100</v>
      </c>
      <c r="X10" s="1555"/>
      <c r="Y10" s="3984"/>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38"/>
      <c r="Q11" s="1146" t="str">
        <f t="shared" si="6"/>
        <v>容积率</v>
      </c>
      <c r="R11" s="1553" t="s">
        <v>8</v>
      </c>
      <c r="S11" s="1554">
        <f t="shared" si="0"/>
        <v>104</v>
      </c>
      <c r="T11" s="1553" t="s">
        <v>8</v>
      </c>
      <c r="U11" s="1554">
        <f t="shared" si="1"/>
        <v>102</v>
      </c>
      <c r="V11" s="1553" t="s">
        <v>8</v>
      </c>
      <c r="W11" s="1554">
        <f t="shared" si="2"/>
        <v>104</v>
      </c>
      <c r="X11" s="1555"/>
      <c r="Y11" s="3984"/>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38"/>
      <c r="Q12" s="1146">
        <f t="shared" si="6"/>
        <v>111</v>
      </c>
      <c r="R12" s="1553" t="s">
        <v>8</v>
      </c>
      <c r="S12" s="1554">
        <f t="shared" si="0"/>
        <v>100</v>
      </c>
      <c r="T12" s="1553" t="s">
        <v>8</v>
      </c>
      <c r="U12" s="1554">
        <f t="shared" si="1"/>
        <v>100</v>
      </c>
      <c r="V12" s="1553" t="s">
        <v>8</v>
      </c>
      <c r="W12" s="1554">
        <f t="shared" si="2"/>
        <v>100</v>
      </c>
      <c r="X12" s="1555"/>
      <c r="Y12" s="3984"/>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38"/>
      <c r="Q13" s="1146">
        <f t="shared" si="6"/>
        <v>111</v>
      </c>
      <c r="R13" s="1553" t="s">
        <v>8</v>
      </c>
      <c r="S13" s="1554">
        <f t="shared" si="0"/>
        <v>100</v>
      </c>
      <c r="T13" s="1553" t="s">
        <v>8</v>
      </c>
      <c r="U13" s="1554">
        <f t="shared" si="1"/>
        <v>100</v>
      </c>
      <c r="V13" s="1553" t="s">
        <v>8</v>
      </c>
      <c r="W13" s="1554">
        <f t="shared" si="2"/>
        <v>100</v>
      </c>
      <c r="X13" s="1555"/>
      <c r="Y13" s="3984"/>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38"/>
      <c r="Q14" s="1146">
        <f t="shared" si="6"/>
        <v>111</v>
      </c>
      <c r="R14" s="1553" t="s">
        <v>8</v>
      </c>
      <c r="S14" s="1554">
        <f t="shared" si="0"/>
        <v>100</v>
      </c>
      <c r="T14" s="1553" t="s">
        <v>8</v>
      </c>
      <c r="U14" s="1554">
        <f t="shared" si="1"/>
        <v>100</v>
      </c>
      <c r="V14" s="1553" t="s">
        <v>8</v>
      </c>
      <c r="W14" s="1554">
        <f t="shared" si="2"/>
        <v>100</v>
      </c>
      <c r="X14" s="1555"/>
      <c r="Y14" s="3984"/>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72" t="s">
        <v>540</v>
      </c>
      <c r="Q15" s="1557" t="str">
        <f t="shared" si="6"/>
        <v>商业繁华度</v>
      </c>
      <c r="R15" s="1558" t="s">
        <v>8</v>
      </c>
      <c r="S15" s="1559">
        <f t="shared" si="0"/>
        <v>100</v>
      </c>
      <c r="T15" s="1558" t="s">
        <v>8</v>
      </c>
      <c r="U15" s="1559">
        <f t="shared" si="1"/>
        <v>100</v>
      </c>
      <c r="V15" s="1558" t="s">
        <v>8</v>
      </c>
      <c r="W15" s="1559">
        <f t="shared" si="2"/>
        <v>100</v>
      </c>
      <c r="X15" s="1552"/>
      <c r="Y15" s="4072"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073"/>
      <c r="Q16" s="1557"/>
      <c r="R16" s="1558"/>
      <c r="S16" s="1559"/>
      <c r="T16" s="1558"/>
      <c r="U16" s="1559"/>
      <c r="V16" s="1558"/>
      <c r="W16" s="1559"/>
      <c r="X16" s="1552"/>
      <c r="Y16" s="4073"/>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73"/>
      <c r="Q17" s="1557" t="str">
        <f>B17</f>
        <v>交通便捷度</v>
      </c>
      <c r="R17" s="1558" t="s">
        <v>8</v>
      </c>
      <c r="S17" s="1559">
        <f>F17</f>
        <v>100</v>
      </c>
      <c r="T17" s="1558" t="s">
        <v>8</v>
      </c>
      <c r="U17" s="1559">
        <f>H17</f>
        <v>100</v>
      </c>
      <c r="V17" s="1558" t="s">
        <v>8</v>
      </c>
      <c r="W17" s="1559">
        <f>J17</f>
        <v>100</v>
      </c>
      <c r="X17" s="1552"/>
      <c r="Y17" s="4073"/>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073"/>
      <c r="Q18" s="1557"/>
      <c r="R18" s="1558"/>
      <c r="S18" s="1559"/>
      <c r="T18" s="1558"/>
      <c r="U18" s="1559"/>
      <c r="V18" s="1558"/>
      <c r="W18" s="1559"/>
      <c r="X18" s="1552"/>
      <c r="Y18" s="4073"/>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73"/>
      <c r="Q19" s="1557" t="str">
        <f>B19</f>
        <v>公共配套设施</v>
      </c>
      <c r="R19" s="1558" t="s">
        <v>8</v>
      </c>
      <c r="S19" s="1559">
        <f>F19</f>
        <v>100</v>
      </c>
      <c r="T19" s="1558" t="s">
        <v>8</v>
      </c>
      <c r="U19" s="1559">
        <f>H19</f>
        <v>102</v>
      </c>
      <c r="V19" s="1558" t="s">
        <v>8</v>
      </c>
      <c r="W19" s="1559">
        <f>J19</f>
        <v>102</v>
      </c>
      <c r="X19" s="1552"/>
      <c r="Y19" s="4073"/>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073"/>
      <c r="Q20" s="1557"/>
      <c r="R20" s="1558"/>
      <c r="S20" s="1559"/>
      <c r="T20" s="1558"/>
      <c r="U20" s="1559"/>
      <c r="V20" s="1558"/>
      <c r="W20" s="1559"/>
      <c r="X20" s="1552"/>
      <c r="Y20" s="4073"/>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73"/>
      <c r="Q21" s="2542" t="str">
        <f>B21</f>
        <v>基础设施水平</v>
      </c>
      <c r="R21" s="1558" t="s">
        <v>8</v>
      </c>
      <c r="S21" s="1559">
        <f>F21</f>
        <v>100</v>
      </c>
      <c r="T21" s="1558" t="s">
        <v>8</v>
      </c>
      <c r="U21" s="1559">
        <f>H21</f>
        <v>100</v>
      </c>
      <c r="V21" s="1558" t="s">
        <v>8</v>
      </c>
      <c r="W21" s="1559">
        <f>J21</f>
        <v>100</v>
      </c>
      <c r="X21" s="2544"/>
      <c r="Y21" s="4073"/>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073"/>
      <c r="Q22" s="2542"/>
      <c r="R22" s="1558"/>
      <c r="S22" s="1559"/>
      <c r="T22" s="1558"/>
      <c r="U22" s="1559"/>
      <c r="V22" s="1558"/>
      <c r="W22" s="1559"/>
      <c r="X22" s="2544"/>
      <c r="Y22" s="4073"/>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73"/>
      <c r="Q23" s="1557" t="str">
        <f>B23</f>
        <v>自然及人文环境</v>
      </c>
      <c r="R23" s="1558" t="s">
        <v>8</v>
      </c>
      <c r="S23" s="1559">
        <f>F23</f>
        <v>100</v>
      </c>
      <c r="T23" s="1558" t="s">
        <v>8</v>
      </c>
      <c r="U23" s="1559">
        <f>H23</f>
        <v>100</v>
      </c>
      <c r="V23" s="1558" t="s">
        <v>8</v>
      </c>
      <c r="W23" s="1559">
        <f>J23</f>
        <v>100</v>
      </c>
      <c r="X23" s="1552"/>
      <c r="Y23" s="4073"/>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073"/>
      <c r="Q24" s="1557"/>
      <c r="R24" s="1558"/>
      <c r="S24" s="1559"/>
      <c r="T24" s="1558"/>
      <c r="U24" s="1559"/>
      <c r="V24" s="1558"/>
      <c r="W24" s="1559"/>
      <c r="X24" s="1552"/>
      <c r="Y24" s="4073"/>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073"/>
      <c r="Q25" s="1557" t="str">
        <f t="shared" ref="Q25:Q46" si="11">B25</f>
        <v>临街状况</v>
      </c>
      <c r="R25" s="1558" t="s">
        <v>8</v>
      </c>
      <c r="S25" s="1559">
        <f>F25</f>
        <v>100</v>
      </c>
      <c r="T25" s="1558" t="s">
        <v>8</v>
      </c>
      <c r="U25" s="1559">
        <f>H25</f>
        <v>100</v>
      </c>
      <c r="V25" s="1558" t="s">
        <v>8</v>
      </c>
      <c r="W25" s="1559">
        <f>J25</f>
        <v>100</v>
      </c>
      <c r="X25" s="1552"/>
      <c r="Y25" s="4073"/>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073"/>
      <c r="Q26" s="1557" t="str">
        <f t="shared" si="11"/>
        <v>平面位置/可视性</v>
      </c>
      <c r="R26" s="1558" t="s">
        <v>8</v>
      </c>
      <c r="S26" s="1559">
        <f>F26</f>
        <v>100</v>
      </c>
      <c r="T26" s="1558" t="s">
        <v>8</v>
      </c>
      <c r="U26" s="1559">
        <f>H26</f>
        <v>100</v>
      </c>
      <c r="V26" s="1558" t="s">
        <v>8</v>
      </c>
      <c r="W26" s="1559">
        <f>J26</f>
        <v>100</v>
      </c>
      <c r="X26" s="1552"/>
      <c r="Y26" s="4073"/>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073"/>
      <c r="Q27" s="1146" t="str">
        <f t="shared" si="11"/>
        <v>人流量</v>
      </c>
      <c r="R27" s="1553" t="s">
        <v>8</v>
      </c>
      <c r="S27" s="1554">
        <f>F27</f>
        <v>100</v>
      </c>
      <c r="T27" s="1553" t="s">
        <v>8</v>
      </c>
      <c r="U27" s="1554">
        <f>H27</f>
        <v>100</v>
      </c>
      <c r="V27" s="1553" t="s">
        <v>8</v>
      </c>
      <c r="W27" s="1554">
        <f>J27</f>
        <v>100</v>
      </c>
      <c r="X27" s="1555"/>
      <c r="Y27" s="4073"/>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73"/>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73"/>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73"/>
      <c r="Q29" s="1557">
        <f t="shared" si="11"/>
        <v>111</v>
      </c>
      <c r="R29" s="1558" t="s">
        <v>8</v>
      </c>
      <c r="S29" s="1559">
        <f t="shared" si="12"/>
        <v>100</v>
      </c>
      <c r="T29" s="1558" t="s">
        <v>8</v>
      </c>
      <c r="U29" s="1559">
        <f t="shared" si="13"/>
        <v>100</v>
      </c>
      <c r="V29" s="1558" t="s">
        <v>8</v>
      </c>
      <c r="W29" s="1559">
        <f t="shared" si="14"/>
        <v>100</v>
      </c>
      <c r="X29" s="1552"/>
      <c r="Y29" s="407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73"/>
      <c r="Q30" s="1557">
        <f t="shared" si="11"/>
        <v>111</v>
      </c>
      <c r="R30" s="1558" t="s">
        <v>8</v>
      </c>
      <c r="S30" s="1559">
        <f t="shared" si="12"/>
        <v>100</v>
      </c>
      <c r="T30" s="1558" t="s">
        <v>8</v>
      </c>
      <c r="U30" s="1559">
        <f t="shared" si="13"/>
        <v>100</v>
      </c>
      <c r="V30" s="1558" t="s">
        <v>8</v>
      </c>
      <c r="W30" s="1559">
        <f t="shared" si="14"/>
        <v>100</v>
      </c>
      <c r="X30" s="1552"/>
      <c r="Y30" s="4073"/>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73"/>
      <c r="Q31" s="1557">
        <f t="shared" si="11"/>
        <v>111</v>
      </c>
      <c r="R31" s="1558" t="s">
        <v>8</v>
      </c>
      <c r="S31" s="1559">
        <f t="shared" si="12"/>
        <v>100</v>
      </c>
      <c r="T31" s="1558" t="s">
        <v>8</v>
      </c>
      <c r="U31" s="1559">
        <f t="shared" si="13"/>
        <v>100</v>
      </c>
      <c r="V31" s="1558" t="s">
        <v>8</v>
      </c>
      <c r="W31" s="1559">
        <f t="shared" si="14"/>
        <v>100</v>
      </c>
      <c r="X31" s="1552"/>
      <c r="Y31" s="4073"/>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74" t="s">
        <v>550</v>
      </c>
      <c r="Q32" s="1557" t="str">
        <f t="shared" si="11"/>
        <v>商业类型</v>
      </c>
      <c r="R32" s="1558" t="s">
        <v>8</v>
      </c>
      <c r="S32" s="1559">
        <f t="shared" si="12"/>
        <v>100</v>
      </c>
      <c r="T32" s="1558" t="s">
        <v>8</v>
      </c>
      <c r="U32" s="1559">
        <f t="shared" si="13"/>
        <v>100</v>
      </c>
      <c r="V32" s="1558" t="s">
        <v>8</v>
      </c>
      <c r="W32" s="1559">
        <f t="shared" si="14"/>
        <v>100</v>
      </c>
      <c r="X32" s="1552"/>
      <c r="Y32" s="4075"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75"/>
      <c r="Q33" s="1589" t="str">
        <f t="shared" si="11"/>
        <v>项目建筑规模</v>
      </c>
      <c r="R33" s="1562" t="s">
        <v>8</v>
      </c>
      <c r="S33" s="1563">
        <f t="shared" si="12"/>
        <v>100</v>
      </c>
      <c r="T33" s="1562" t="s">
        <v>8</v>
      </c>
      <c r="U33" s="1563">
        <f t="shared" si="13"/>
        <v>100</v>
      </c>
      <c r="V33" s="1562" t="s">
        <v>8</v>
      </c>
      <c r="W33" s="1563">
        <f t="shared" si="14"/>
        <v>100</v>
      </c>
      <c r="X33" s="1564"/>
      <c r="Y33" s="4075"/>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75"/>
      <c r="Q34" s="1557" t="str">
        <f t="shared" si="11"/>
        <v>建筑结构</v>
      </c>
      <c r="R34" s="1558" t="s">
        <v>8</v>
      </c>
      <c r="S34" s="1559">
        <f t="shared" si="12"/>
        <v>100</v>
      </c>
      <c r="T34" s="1558" t="s">
        <v>8</v>
      </c>
      <c r="U34" s="1559">
        <f t="shared" si="13"/>
        <v>100</v>
      </c>
      <c r="V34" s="1558" t="s">
        <v>8</v>
      </c>
      <c r="W34" s="1559">
        <f t="shared" si="14"/>
        <v>100</v>
      </c>
      <c r="X34" s="1552"/>
      <c r="Y34" s="4075"/>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75"/>
      <c r="Q35" s="1557" t="str">
        <f t="shared" si="11"/>
        <v>公共部分装修</v>
      </c>
      <c r="R35" s="1558" t="s">
        <v>8</v>
      </c>
      <c r="S35" s="1559">
        <f t="shared" si="12"/>
        <v>100</v>
      </c>
      <c r="T35" s="1558" t="s">
        <v>8</v>
      </c>
      <c r="U35" s="1559">
        <f t="shared" si="13"/>
        <v>100</v>
      </c>
      <c r="V35" s="1558" t="s">
        <v>8</v>
      </c>
      <c r="W35" s="1559">
        <f t="shared" si="14"/>
        <v>100</v>
      </c>
      <c r="X35" s="1552"/>
      <c r="Y35" s="4075"/>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75"/>
      <c r="Q36" s="1557" t="str">
        <f t="shared" si="11"/>
        <v>成新度</v>
      </c>
      <c r="R36" s="1558" t="s">
        <v>8</v>
      </c>
      <c r="S36" s="1559">
        <f t="shared" si="12"/>
        <v>100</v>
      </c>
      <c r="T36" s="1558" t="s">
        <v>8</v>
      </c>
      <c r="U36" s="1559">
        <f t="shared" si="13"/>
        <v>100</v>
      </c>
      <c r="V36" s="1558" t="s">
        <v>8</v>
      </c>
      <c r="W36" s="1559">
        <f t="shared" si="14"/>
        <v>100</v>
      </c>
      <c r="X36" s="1552"/>
      <c r="Y36" s="4075"/>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75"/>
      <c r="Q37" s="1146" t="str">
        <f t="shared" si="11"/>
        <v>市政基础设施</v>
      </c>
      <c r="R37" s="1553" t="s">
        <v>8</v>
      </c>
      <c r="S37" s="1554">
        <f t="shared" si="12"/>
        <v>100</v>
      </c>
      <c r="T37" s="1553" t="s">
        <v>8</v>
      </c>
      <c r="U37" s="1554">
        <f t="shared" si="13"/>
        <v>100</v>
      </c>
      <c r="V37" s="1553" t="s">
        <v>8</v>
      </c>
      <c r="W37" s="1554">
        <f t="shared" si="14"/>
        <v>100</v>
      </c>
      <c r="X37" s="1555"/>
      <c r="Y37" s="4075"/>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75" t="s">
        <v>766</v>
      </c>
      <c r="Q38" s="1557" t="str">
        <f t="shared" si="11"/>
        <v>业态</v>
      </c>
      <c r="R38" s="1558" t="s">
        <v>8</v>
      </c>
      <c r="S38" s="1559">
        <f t="shared" si="12"/>
        <v>100</v>
      </c>
      <c r="T38" s="1558" t="s">
        <v>8</v>
      </c>
      <c r="U38" s="1559">
        <f t="shared" si="13"/>
        <v>100</v>
      </c>
      <c r="V38" s="1558" t="s">
        <v>8</v>
      </c>
      <c r="W38" s="1559">
        <f t="shared" si="14"/>
        <v>100</v>
      </c>
      <c r="X38" s="1552"/>
      <c r="Y38" s="4075"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075"/>
      <c r="Q39" s="1557" t="str">
        <f t="shared" si="11"/>
        <v>层高</v>
      </c>
      <c r="R39" s="1558" t="s">
        <v>8</v>
      </c>
      <c r="S39" s="1559">
        <f t="shared" si="12"/>
        <v>100</v>
      </c>
      <c r="T39" s="1558" t="s">
        <v>8</v>
      </c>
      <c r="U39" s="1559">
        <f t="shared" si="13"/>
        <v>100</v>
      </c>
      <c r="V39" s="1558" t="s">
        <v>8</v>
      </c>
      <c r="W39" s="1559">
        <f t="shared" si="14"/>
        <v>100</v>
      </c>
      <c r="X39" s="1552"/>
      <c r="Y39" s="4075"/>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75"/>
      <c r="Q40" s="1557" t="str">
        <f t="shared" si="11"/>
        <v>单套建筑面积</v>
      </c>
      <c r="R40" s="1558" t="s">
        <v>8</v>
      </c>
      <c r="S40" s="1559">
        <f t="shared" si="12"/>
        <v>100</v>
      </c>
      <c r="T40" s="1558" t="s">
        <v>8</v>
      </c>
      <c r="U40" s="1559">
        <f t="shared" si="13"/>
        <v>100</v>
      </c>
      <c r="V40" s="1558" t="s">
        <v>8</v>
      </c>
      <c r="W40" s="1559">
        <f t="shared" si="14"/>
        <v>100</v>
      </c>
      <c r="X40" s="1552"/>
      <c r="Y40" s="4075"/>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75"/>
      <c r="Q41" s="1589" t="str">
        <f t="shared" si="11"/>
        <v>进深比</v>
      </c>
      <c r="R41" s="1562" t="s">
        <v>8</v>
      </c>
      <c r="S41" s="1563">
        <f t="shared" si="12"/>
        <v>100</v>
      </c>
      <c r="T41" s="1562" t="s">
        <v>8</v>
      </c>
      <c r="U41" s="1563">
        <f t="shared" si="13"/>
        <v>100</v>
      </c>
      <c r="V41" s="1562" t="s">
        <v>8</v>
      </c>
      <c r="W41" s="1563">
        <f t="shared" si="14"/>
        <v>100</v>
      </c>
      <c r="X41" s="1564"/>
      <c r="Y41" s="4075"/>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075"/>
      <c r="Q42" s="1557" t="str">
        <f t="shared" si="11"/>
        <v>内部装修</v>
      </c>
      <c r="R42" s="1558" t="s">
        <v>8</v>
      </c>
      <c r="S42" s="1559">
        <f t="shared" si="12"/>
        <v>100</v>
      </c>
      <c r="T42" s="1558" t="s">
        <v>8</v>
      </c>
      <c r="U42" s="1559">
        <f t="shared" si="13"/>
        <v>100</v>
      </c>
      <c r="V42" s="1558" t="s">
        <v>8</v>
      </c>
      <c r="W42" s="1559">
        <f t="shared" si="14"/>
        <v>100</v>
      </c>
      <c r="X42" s="1552"/>
      <c r="Y42" s="4075"/>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75"/>
      <c r="Q43" s="1557" t="str">
        <f t="shared" si="11"/>
        <v>内部装修维护情况</v>
      </c>
      <c r="R43" s="1558" t="s">
        <v>8</v>
      </c>
      <c r="S43" s="1559">
        <f t="shared" si="12"/>
        <v>100</v>
      </c>
      <c r="T43" s="1558" t="s">
        <v>8</v>
      </c>
      <c r="U43" s="1559">
        <f t="shared" si="13"/>
        <v>100</v>
      </c>
      <c r="V43" s="1558" t="s">
        <v>8</v>
      </c>
      <c r="W43" s="1559">
        <f t="shared" si="14"/>
        <v>100</v>
      </c>
      <c r="X43" s="1552"/>
      <c r="Y43" s="407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75"/>
      <c r="Q44" s="1146">
        <f t="shared" si="11"/>
        <v>111</v>
      </c>
      <c r="R44" s="1553" t="s">
        <v>8</v>
      </c>
      <c r="S44" s="1554">
        <f t="shared" si="12"/>
        <v>100</v>
      </c>
      <c r="T44" s="1553" t="s">
        <v>8</v>
      </c>
      <c r="U44" s="1554">
        <f t="shared" si="13"/>
        <v>100</v>
      </c>
      <c r="V44" s="1553" t="s">
        <v>8</v>
      </c>
      <c r="W44" s="1554">
        <f t="shared" si="14"/>
        <v>100</v>
      </c>
      <c r="X44" s="1555"/>
      <c r="Y44" s="407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75"/>
      <c r="Q45" s="1557">
        <f t="shared" si="11"/>
        <v>111</v>
      </c>
      <c r="R45" s="1558" t="s">
        <v>8</v>
      </c>
      <c r="S45" s="1559">
        <f t="shared" si="12"/>
        <v>100</v>
      </c>
      <c r="T45" s="1558" t="s">
        <v>8</v>
      </c>
      <c r="U45" s="1559">
        <f t="shared" si="13"/>
        <v>100</v>
      </c>
      <c r="V45" s="1558" t="s">
        <v>8</v>
      </c>
      <c r="W45" s="1559">
        <f t="shared" si="14"/>
        <v>100</v>
      </c>
      <c r="X45" s="1552"/>
      <c r="Y45" s="4075"/>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33"/>
      <c r="Q46" s="1557">
        <f t="shared" si="11"/>
        <v>111</v>
      </c>
      <c r="R46" s="1558" t="s">
        <v>8</v>
      </c>
      <c r="S46" s="1559">
        <f t="shared" si="12"/>
        <v>100</v>
      </c>
      <c r="T46" s="1558" t="s">
        <v>8</v>
      </c>
      <c r="U46" s="1559">
        <f t="shared" si="13"/>
        <v>100</v>
      </c>
      <c r="V46" s="1558" t="s">
        <v>8</v>
      </c>
      <c r="W46" s="1559">
        <f t="shared" si="14"/>
        <v>100</v>
      </c>
      <c r="X46" s="1552"/>
      <c r="Y46" s="4133"/>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38" t="str">
        <f>A47</f>
        <v>成交单价（元/平方米）</v>
      </c>
      <c r="Q47" s="4038"/>
      <c r="R47" s="4132">
        <f>E47</f>
        <v>13000</v>
      </c>
      <c r="S47" s="4132"/>
      <c r="T47" s="4132">
        <f>G47</f>
        <v>13500</v>
      </c>
      <c r="U47" s="4132"/>
      <c r="V47" s="4132">
        <f>I47</f>
        <v>14800</v>
      </c>
      <c r="W47" s="4132"/>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38" t="str">
        <f>A48</f>
        <v>比较价格（元/平方米）</v>
      </c>
      <c r="Q48" s="4038"/>
      <c r="R48" s="4132">
        <f>IF(F1="售价",ROUND(PRODUCT(R47,AA7:AA46),0),ROUND(PRODUCT(R47,AA7:AA46),1))</f>
        <v>10000</v>
      </c>
      <c r="S48" s="4132"/>
      <c r="T48" s="4132">
        <f>IF(F1="售价",ROUND(PRODUCT(T47,AB7:AB46),0),ROUND(PRODUCT(T47,AB7:AB46),1))</f>
        <v>10381</v>
      </c>
      <c r="U48" s="4132"/>
      <c r="V48" s="4132">
        <f>IF(F1="售价",ROUND(PRODUCT(V47,AC7:AC46),0),ROUND(PRODUCT(V47,AC7:AC46),1))</f>
        <v>11161</v>
      </c>
      <c r="W48" s="4132"/>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35" t="str">
        <f>A49</f>
        <v>估价对象XX用房的比较价格（楼面单价，元/平方米）</v>
      </c>
      <c r="Q49" s="4036"/>
      <c r="R49" s="4131">
        <f>IF(F1="售价",ROUND(AVERAGE(R48:V48),0),ROUND(AVERAGE(R48:V48),1))</f>
        <v>10514</v>
      </c>
      <c r="S49" s="4131"/>
      <c r="T49" s="4131"/>
      <c r="U49" s="4131"/>
      <c r="V49" s="4131"/>
      <c r="W49" s="413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44" t="s">
        <v>522</v>
      </c>
      <c r="D4" s="4045"/>
      <c r="E4" s="4078" t="s">
        <v>523</v>
      </c>
      <c r="F4" s="4079"/>
      <c r="G4" s="4044" t="s">
        <v>524</v>
      </c>
      <c r="H4" s="4045"/>
      <c r="I4" s="4044" t="s">
        <v>525</v>
      </c>
      <c r="J4" s="4045"/>
      <c r="K4" s="513" t="s">
        <v>526</v>
      </c>
      <c r="L4" s="2117"/>
      <c r="M4" s="2118"/>
      <c r="N4" s="2118"/>
      <c r="O4" s="2118"/>
      <c r="P4" s="4160" t="s">
        <v>527</v>
      </c>
      <c r="Q4" s="4047"/>
      <c r="R4" s="4052" t="s">
        <v>523</v>
      </c>
      <c r="S4" s="4053"/>
      <c r="T4" s="4052" t="s">
        <v>524</v>
      </c>
      <c r="U4" s="4053"/>
      <c r="V4" s="4039" t="s">
        <v>525</v>
      </c>
      <c r="W4" s="4039"/>
      <c r="X4" s="1552"/>
      <c r="Y4" s="4052" t="s">
        <v>527</v>
      </c>
      <c r="Z4" s="4053"/>
      <c r="AA4" s="4041" t="s">
        <v>523</v>
      </c>
      <c r="AB4" s="4041" t="s">
        <v>524</v>
      </c>
      <c r="AC4" s="4041" t="s">
        <v>525</v>
      </c>
    </row>
    <row r="5" spans="1:29" ht="15">
      <c r="A5" s="514"/>
      <c r="B5" s="515"/>
      <c r="C5" s="4060" t="s">
        <v>2926</v>
      </c>
      <c r="D5" s="4061"/>
      <c r="E5" s="4080" t="s">
        <v>2927</v>
      </c>
      <c r="F5" s="4081"/>
      <c r="G5" s="4060" t="s">
        <v>2928</v>
      </c>
      <c r="H5" s="4061"/>
      <c r="I5" s="4060" t="s">
        <v>2929</v>
      </c>
      <c r="J5" s="4061"/>
      <c r="K5" s="513"/>
      <c r="L5" s="2117"/>
      <c r="M5" s="2118"/>
      <c r="N5" s="2118"/>
      <c r="O5" s="2118"/>
      <c r="P5" s="4161"/>
      <c r="Q5" s="4049"/>
      <c r="R5" s="4054"/>
      <c r="S5" s="4055"/>
      <c r="T5" s="4054"/>
      <c r="U5" s="4055"/>
      <c r="V5" s="4039"/>
      <c r="W5" s="4039"/>
      <c r="X5" s="1552"/>
      <c r="Y5" s="4054"/>
      <c r="Z5" s="4055"/>
      <c r="AA5" s="4042"/>
      <c r="AB5" s="4042"/>
      <c r="AC5" s="4042"/>
    </row>
    <row r="6" spans="1:29" ht="15.75" thickBot="1">
      <c r="A6" s="516"/>
      <c r="B6" s="517"/>
      <c r="C6" s="4058" t="s">
        <v>2930</v>
      </c>
      <c r="D6" s="4059"/>
      <c r="E6" s="4076" t="s">
        <v>2930</v>
      </c>
      <c r="F6" s="4077"/>
      <c r="G6" s="4058" t="s">
        <v>2930</v>
      </c>
      <c r="H6" s="4059"/>
      <c r="I6" s="4058" t="s">
        <v>2930</v>
      </c>
      <c r="J6" s="4059"/>
      <c r="K6" s="513" t="s">
        <v>528</v>
      </c>
      <c r="L6" s="2117"/>
      <c r="M6" s="2118"/>
      <c r="N6" s="2118"/>
      <c r="O6" s="2118"/>
      <c r="P6" s="4162"/>
      <c r="Q6" s="4051"/>
      <c r="R6" s="4054"/>
      <c r="S6" s="4055"/>
      <c r="T6" s="4056"/>
      <c r="U6" s="4057"/>
      <c r="V6" s="4039"/>
      <c r="W6" s="4039"/>
      <c r="X6" s="1552"/>
      <c r="Y6" s="4056"/>
      <c r="Z6" s="4057"/>
      <c r="AA6" s="4043"/>
      <c r="AB6" s="4043"/>
      <c r="AC6" s="4043"/>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71" t="s">
        <v>530</v>
      </c>
      <c r="Q7" s="4071"/>
      <c r="R7" s="1553" t="s">
        <v>8</v>
      </c>
      <c r="S7" s="1554">
        <f t="shared" ref="S7:S15" si="0">F7</f>
        <v>0</v>
      </c>
      <c r="T7" s="1553" t="s">
        <v>8</v>
      </c>
      <c r="U7" s="1554">
        <f t="shared" ref="U7:U15" si="1">H7</f>
        <v>0</v>
      </c>
      <c r="V7" s="1553" t="s">
        <v>8</v>
      </c>
      <c r="W7" s="1554">
        <f t="shared" ref="W7:W15" si="2">J7</f>
        <v>0</v>
      </c>
      <c r="X7" s="1555"/>
      <c r="Y7" s="4069" t="s">
        <v>530</v>
      </c>
      <c r="Z7" s="4070"/>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71" t="s">
        <v>533</v>
      </c>
      <c r="Q8" s="4070"/>
      <c r="R8" s="1553" t="s">
        <v>8</v>
      </c>
      <c r="S8" s="1554">
        <f t="shared" si="0"/>
        <v>0</v>
      </c>
      <c r="T8" s="1553" t="s">
        <v>8</v>
      </c>
      <c r="U8" s="1554">
        <f t="shared" si="1"/>
        <v>0</v>
      </c>
      <c r="V8" s="1553" t="s">
        <v>8</v>
      </c>
      <c r="W8" s="1554">
        <f t="shared" si="2"/>
        <v>0</v>
      </c>
      <c r="X8" s="1555"/>
      <c r="Y8" s="4069" t="s">
        <v>533</v>
      </c>
      <c r="Z8" s="4070"/>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38" t="s">
        <v>535</v>
      </c>
      <c r="Q9" s="1146" t="str">
        <f t="shared" ref="Q9:Q15" si="6">B9</f>
        <v>用途</v>
      </c>
      <c r="R9" s="1553" t="s">
        <v>8</v>
      </c>
      <c r="S9" s="1554">
        <f t="shared" si="0"/>
        <v>100</v>
      </c>
      <c r="T9" s="1553" t="s">
        <v>8</v>
      </c>
      <c r="U9" s="1554">
        <f t="shared" si="1"/>
        <v>100</v>
      </c>
      <c r="V9" s="1553" t="s">
        <v>8</v>
      </c>
      <c r="W9" s="1554">
        <f t="shared" si="2"/>
        <v>100</v>
      </c>
      <c r="X9" s="1555"/>
      <c r="Y9" s="3984"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38"/>
      <c r="Q10" s="1146" t="str">
        <f t="shared" si="6"/>
        <v>土地使用年限（年）</v>
      </c>
      <c r="R10" s="1553" t="s">
        <v>8</v>
      </c>
      <c r="S10" s="1554">
        <f t="shared" si="0"/>
        <v>100</v>
      </c>
      <c r="T10" s="1553" t="s">
        <v>8</v>
      </c>
      <c r="U10" s="1554">
        <f t="shared" si="1"/>
        <v>100</v>
      </c>
      <c r="V10" s="1553" t="s">
        <v>8</v>
      </c>
      <c r="W10" s="1554">
        <f t="shared" si="2"/>
        <v>100</v>
      </c>
      <c r="X10" s="1555"/>
      <c r="Y10" s="3984"/>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38"/>
      <c r="Q11" s="1146" t="str">
        <f t="shared" si="6"/>
        <v>容积率</v>
      </c>
      <c r="R11" s="1553" t="s">
        <v>8</v>
      </c>
      <c r="S11" s="1554" t="e">
        <f t="shared" si="0"/>
        <v>#N/A</v>
      </c>
      <c r="T11" s="1553" t="s">
        <v>8</v>
      </c>
      <c r="U11" s="1554" t="e">
        <f t="shared" si="1"/>
        <v>#N/A</v>
      </c>
      <c r="V11" s="1553" t="s">
        <v>8</v>
      </c>
      <c r="W11" s="1554" t="e">
        <f t="shared" si="2"/>
        <v>#N/A</v>
      </c>
      <c r="X11" s="1555"/>
      <c r="Y11" s="3984"/>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38"/>
      <c r="Q12" s="1146">
        <f t="shared" si="6"/>
        <v>111</v>
      </c>
      <c r="R12" s="1553" t="s">
        <v>8</v>
      </c>
      <c r="S12" s="1554">
        <f t="shared" si="0"/>
        <v>100</v>
      </c>
      <c r="T12" s="1553" t="s">
        <v>8</v>
      </c>
      <c r="U12" s="1554">
        <f t="shared" si="1"/>
        <v>100</v>
      </c>
      <c r="V12" s="1553" t="s">
        <v>8</v>
      </c>
      <c r="W12" s="1554">
        <f t="shared" si="2"/>
        <v>100</v>
      </c>
      <c r="X12" s="1555"/>
      <c r="Y12" s="3984"/>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38"/>
      <c r="Q13" s="1146">
        <f t="shared" si="6"/>
        <v>111</v>
      </c>
      <c r="R13" s="1553" t="s">
        <v>8</v>
      </c>
      <c r="S13" s="1554">
        <f t="shared" si="0"/>
        <v>100</v>
      </c>
      <c r="T13" s="1553" t="s">
        <v>8</v>
      </c>
      <c r="U13" s="1554">
        <f t="shared" si="1"/>
        <v>100</v>
      </c>
      <c r="V13" s="1553" t="s">
        <v>8</v>
      </c>
      <c r="W13" s="1554">
        <f t="shared" si="2"/>
        <v>100</v>
      </c>
      <c r="X13" s="1555"/>
      <c r="Y13" s="3984"/>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38"/>
      <c r="Q14" s="1146">
        <f t="shared" si="6"/>
        <v>111</v>
      </c>
      <c r="R14" s="1553" t="s">
        <v>8</v>
      </c>
      <c r="S14" s="1554">
        <f t="shared" si="0"/>
        <v>100</v>
      </c>
      <c r="T14" s="1553" t="s">
        <v>8</v>
      </c>
      <c r="U14" s="1554">
        <f t="shared" si="1"/>
        <v>100</v>
      </c>
      <c r="V14" s="1553" t="s">
        <v>8</v>
      </c>
      <c r="W14" s="1554">
        <f t="shared" si="2"/>
        <v>100</v>
      </c>
      <c r="X14" s="1555"/>
      <c r="Y14" s="3984"/>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72" t="s">
        <v>540</v>
      </c>
      <c r="Q15" s="1557" t="str">
        <f t="shared" si="6"/>
        <v>办公集聚程度</v>
      </c>
      <c r="R15" s="1558" t="s">
        <v>8</v>
      </c>
      <c r="S15" s="1559">
        <f t="shared" si="0"/>
        <v>100</v>
      </c>
      <c r="T15" s="1558" t="s">
        <v>8</v>
      </c>
      <c r="U15" s="1559">
        <f t="shared" si="1"/>
        <v>100</v>
      </c>
      <c r="V15" s="1558" t="s">
        <v>8</v>
      </c>
      <c r="W15" s="1559">
        <f t="shared" si="2"/>
        <v>100</v>
      </c>
      <c r="X15" s="1552"/>
      <c r="Y15" s="4072"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73"/>
      <c r="Q16" s="1557"/>
      <c r="R16" s="1558"/>
      <c r="S16" s="1559"/>
      <c r="T16" s="1558"/>
      <c r="U16" s="1559"/>
      <c r="V16" s="1558"/>
      <c r="W16" s="1559"/>
      <c r="X16" s="1552"/>
      <c r="Y16" s="4073"/>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73"/>
      <c r="Q17" s="1557" t="str">
        <f>B17</f>
        <v>交通便捷度</v>
      </c>
      <c r="R17" s="1558" t="s">
        <v>8</v>
      </c>
      <c r="S17" s="1559">
        <f>F17</f>
        <v>100</v>
      </c>
      <c r="T17" s="1558" t="s">
        <v>8</v>
      </c>
      <c r="U17" s="1559">
        <f>H17</f>
        <v>100</v>
      </c>
      <c r="V17" s="1558" t="s">
        <v>8</v>
      </c>
      <c r="W17" s="1559">
        <f>J17</f>
        <v>100</v>
      </c>
      <c r="X17" s="1552"/>
      <c r="Y17" s="4073"/>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73"/>
      <c r="Q18" s="1557"/>
      <c r="R18" s="1558"/>
      <c r="S18" s="1559"/>
      <c r="T18" s="1558"/>
      <c r="U18" s="1559"/>
      <c r="V18" s="1558"/>
      <c r="W18" s="1559"/>
      <c r="X18" s="1552"/>
      <c r="Y18" s="4073"/>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73"/>
      <c r="Q19" s="1557" t="str">
        <f>B19</f>
        <v>公共配套设施</v>
      </c>
      <c r="R19" s="1558" t="s">
        <v>8</v>
      </c>
      <c r="S19" s="1559">
        <f>F19</f>
        <v>100</v>
      </c>
      <c r="T19" s="1558" t="s">
        <v>8</v>
      </c>
      <c r="U19" s="1559">
        <f>H19</f>
        <v>100</v>
      </c>
      <c r="V19" s="1558" t="s">
        <v>8</v>
      </c>
      <c r="W19" s="1559">
        <f>J19</f>
        <v>100</v>
      </c>
      <c r="X19" s="1552"/>
      <c r="Y19" s="4073"/>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73"/>
      <c r="Q20" s="1557"/>
      <c r="R20" s="1558"/>
      <c r="S20" s="1559"/>
      <c r="T20" s="1558"/>
      <c r="U20" s="1559"/>
      <c r="V20" s="1558"/>
      <c r="W20" s="1559"/>
      <c r="X20" s="1552"/>
      <c r="Y20" s="4073"/>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73"/>
      <c r="Q21" s="2542" t="str">
        <f>B21</f>
        <v>基础设施水平</v>
      </c>
      <c r="R21" s="1558" t="s">
        <v>8</v>
      </c>
      <c r="S21" s="1559">
        <f>F21</f>
        <v>100</v>
      </c>
      <c r="T21" s="1558" t="s">
        <v>8</v>
      </c>
      <c r="U21" s="1559">
        <f>H21</f>
        <v>100</v>
      </c>
      <c r="V21" s="1558" t="s">
        <v>8</v>
      </c>
      <c r="W21" s="1559">
        <f>J21</f>
        <v>100</v>
      </c>
      <c r="X21" s="2544"/>
      <c r="Y21" s="4073"/>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73"/>
      <c r="Q22" s="2542"/>
      <c r="R22" s="1558"/>
      <c r="S22" s="1559"/>
      <c r="T22" s="1558"/>
      <c r="U22" s="1559"/>
      <c r="V22" s="1558"/>
      <c r="W22" s="1559"/>
      <c r="X22" s="2544"/>
      <c r="Y22" s="4073"/>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73"/>
      <c r="Q23" s="1557" t="str">
        <f>B23</f>
        <v>环境质量</v>
      </c>
      <c r="R23" s="1558" t="s">
        <v>8</v>
      </c>
      <c r="S23" s="1559">
        <f>F23</f>
        <v>100</v>
      </c>
      <c r="T23" s="1558" t="s">
        <v>8</v>
      </c>
      <c r="U23" s="1559">
        <f>H23</f>
        <v>100</v>
      </c>
      <c r="V23" s="1558" t="s">
        <v>8</v>
      </c>
      <c r="W23" s="1559">
        <f>J23</f>
        <v>100</v>
      </c>
      <c r="X23" s="1552"/>
      <c r="Y23" s="4073"/>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73"/>
      <c r="Q24" s="1557"/>
      <c r="R24" s="1558"/>
      <c r="S24" s="1559"/>
      <c r="T24" s="1558"/>
      <c r="U24" s="1559"/>
      <c r="V24" s="1558"/>
      <c r="W24" s="1559"/>
      <c r="X24" s="1552"/>
      <c r="Y24" s="4073"/>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73"/>
      <c r="Q25" s="1557" t="str">
        <f>B25</f>
        <v>毗邻道路的类型与等级</v>
      </c>
      <c r="R25" s="1558" t="s">
        <v>8</v>
      </c>
      <c r="S25" s="1559">
        <f>F25</f>
        <v>100</v>
      </c>
      <c r="T25" s="1558" t="s">
        <v>8</v>
      </c>
      <c r="U25" s="1559">
        <f>H25</f>
        <v>100</v>
      </c>
      <c r="V25" s="1558" t="s">
        <v>8</v>
      </c>
      <c r="W25" s="1559">
        <f>J25</f>
        <v>100</v>
      </c>
      <c r="X25" s="1552"/>
      <c r="Y25" s="4073"/>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73"/>
      <c r="Q26" s="1557"/>
      <c r="R26" s="1558"/>
      <c r="S26" s="1559"/>
      <c r="T26" s="1558"/>
      <c r="U26" s="1559"/>
      <c r="V26" s="1558"/>
      <c r="W26" s="1559"/>
      <c r="X26" s="1552"/>
      <c r="Y26" s="4073"/>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73"/>
      <c r="Q27" s="1557" t="str">
        <f t="shared" ref="Q27:Q47" si="11">B27</f>
        <v>楼层</v>
      </c>
      <c r="R27" s="1558" t="s">
        <v>8</v>
      </c>
      <c r="S27" s="1559">
        <f>F27</f>
        <v>100</v>
      </c>
      <c r="T27" s="1558" t="s">
        <v>8</v>
      </c>
      <c r="U27" s="1559">
        <f>H27</f>
        <v>100</v>
      </c>
      <c r="V27" s="1558" t="s">
        <v>8</v>
      </c>
      <c r="W27" s="1559">
        <f>J27</f>
        <v>100</v>
      </c>
      <c r="X27" s="1552"/>
      <c r="Y27" s="4073"/>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73"/>
      <c r="Q28" s="1146" t="str">
        <f t="shared" si="11"/>
        <v>朝向</v>
      </c>
      <c r="R28" s="1553" t="s">
        <v>8</v>
      </c>
      <c r="S28" s="1554">
        <f>F28</f>
        <v>100</v>
      </c>
      <c r="T28" s="1553" t="s">
        <v>8</v>
      </c>
      <c r="U28" s="1554">
        <f>H28</f>
        <v>100</v>
      </c>
      <c r="V28" s="1553" t="s">
        <v>8</v>
      </c>
      <c r="W28" s="1554">
        <f>J28</f>
        <v>100</v>
      </c>
      <c r="X28" s="1555"/>
      <c r="Y28" s="4073"/>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73"/>
      <c r="Q29" s="1557">
        <f t="shared" si="11"/>
        <v>111</v>
      </c>
      <c r="R29" s="1558" t="s">
        <v>8</v>
      </c>
      <c r="S29" s="1559">
        <f t="shared" ref="S29:S47" si="12">F29</f>
        <v>100</v>
      </c>
      <c r="T29" s="1558" t="s">
        <v>8</v>
      </c>
      <c r="U29" s="1559">
        <f t="shared" ref="U29:U47" si="13">H29</f>
        <v>100</v>
      </c>
      <c r="V29" s="1558" t="s">
        <v>8</v>
      </c>
      <c r="W29" s="1559">
        <f t="shared" ref="W29:W47" si="14">J29</f>
        <v>100</v>
      </c>
      <c r="X29" s="1552"/>
      <c r="Y29" s="4073"/>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73"/>
      <c r="Q30" s="1557">
        <f t="shared" si="11"/>
        <v>111</v>
      </c>
      <c r="R30" s="1558" t="s">
        <v>8</v>
      </c>
      <c r="S30" s="1559">
        <f t="shared" si="12"/>
        <v>100</v>
      </c>
      <c r="T30" s="1558" t="s">
        <v>8</v>
      </c>
      <c r="U30" s="1559">
        <f t="shared" si="13"/>
        <v>100</v>
      </c>
      <c r="V30" s="1558" t="s">
        <v>8</v>
      </c>
      <c r="W30" s="1559">
        <f t="shared" si="14"/>
        <v>100</v>
      </c>
      <c r="X30" s="1552"/>
      <c r="Y30" s="4073"/>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73"/>
      <c r="Q31" s="1557">
        <f t="shared" si="11"/>
        <v>111</v>
      </c>
      <c r="R31" s="1558" t="s">
        <v>8</v>
      </c>
      <c r="S31" s="1559">
        <f t="shared" si="12"/>
        <v>100</v>
      </c>
      <c r="T31" s="1558" t="s">
        <v>8</v>
      </c>
      <c r="U31" s="1559">
        <f t="shared" si="13"/>
        <v>100</v>
      </c>
      <c r="V31" s="1558" t="s">
        <v>8</v>
      </c>
      <c r="W31" s="1559">
        <f t="shared" si="14"/>
        <v>100</v>
      </c>
      <c r="X31" s="1552"/>
      <c r="Y31" s="4073"/>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73"/>
      <c r="Q32" s="1557">
        <f t="shared" si="11"/>
        <v>111</v>
      </c>
      <c r="R32" s="1558" t="s">
        <v>8</v>
      </c>
      <c r="S32" s="1559">
        <f t="shared" si="12"/>
        <v>100</v>
      </c>
      <c r="T32" s="1558" t="s">
        <v>8</v>
      </c>
      <c r="U32" s="1559">
        <f t="shared" si="13"/>
        <v>100</v>
      </c>
      <c r="V32" s="1558" t="s">
        <v>8</v>
      </c>
      <c r="W32" s="1559">
        <f t="shared" si="14"/>
        <v>100</v>
      </c>
      <c r="X32" s="1552"/>
      <c r="Y32" s="4073"/>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74" t="s">
        <v>550</v>
      </c>
      <c r="Q33" s="1557" t="str">
        <f t="shared" si="11"/>
        <v>建筑类型</v>
      </c>
      <c r="R33" s="1558" t="s">
        <v>8</v>
      </c>
      <c r="S33" s="1559">
        <f t="shared" si="12"/>
        <v>100</v>
      </c>
      <c r="T33" s="1558" t="s">
        <v>8</v>
      </c>
      <c r="U33" s="1559">
        <f t="shared" si="13"/>
        <v>100</v>
      </c>
      <c r="V33" s="1558" t="s">
        <v>8</v>
      </c>
      <c r="W33" s="1559">
        <f t="shared" si="14"/>
        <v>100</v>
      </c>
      <c r="X33" s="1552"/>
      <c r="Y33" s="4075"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75"/>
      <c r="Q34" s="1589" t="str">
        <f t="shared" si="11"/>
        <v>项目建筑规模</v>
      </c>
      <c r="R34" s="1562" t="s">
        <v>8</v>
      </c>
      <c r="S34" s="1563" t="e">
        <f t="shared" si="12"/>
        <v>#N/A</v>
      </c>
      <c r="T34" s="1562" t="s">
        <v>8</v>
      </c>
      <c r="U34" s="1563" t="e">
        <f t="shared" si="13"/>
        <v>#N/A</v>
      </c>
      <c r="V34" s="1562" t="s">
        <v>8</v>
      </c>
      <c r="W34" s="1563" t="e">
        <f t="shared" si="14"/>
        <v>#N/A</v>
      </c>
      <c r="X34" s="1564"/>
      <c r="Y34" s="4075"/>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75"/>
      <c r="Q35" s="1557" t="str">
        <f t="shared" si="11"/>
        <v>建筑结构</v>
      </c>
      <c r="R35" s="1558" t="s">
        <v>8</v>
      </c>
      <c r="S35" s="1559">
        <f t="shared" si="12"/>
        <v>100</v>
      </c>
      <c r="T35" s="1558" t="s">
        <v>8</v>
      </c>
      <c r="U35" s="1559">
        <f t="shared" si="13"/>
        <v>100</v>
      </c>
      <c r="V35" s="1558" t="s">
        <v>8</v>
      </c>
      <c r="W35" s="1559">
        <f t="shared" si="14"/>
        <v>100</v>
      </c>
      <c r="X35" s="1552"/>
      <c r="Y35" s="4075"/>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75"/>
      <c r="Q36" s="1557" t="str">
        <f t="shared" si="11"/>
        <v>公共部分装修</v>
      </c>
      <c r="R36" s="1558" t="s">
        <v>8</v>
      </c>
      <c r="S36" s="1559">
        <f t="shared" si="12"/>
        <v>100</v>
      </c>
      <c r="T36" s="1558" t="s">
        <v>8</v>
      </c>
      <c r="U36" s="1559">
        <f t="shared" si="13"/>
        <v>100</v>
      </c>
      <c r="V36" s="1558" t="s">
        <v>8</v>
      </c>
      <c r="W36" s="1559">
        <f t="shared" si="14"/>
        <v>100</v>
      </c>
      <c r="X36" s="1552"/>
      <c r="Y36" s="4075"/>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75"/>
      <c r="Q37" s="1557" t="str">
        <f t="shared" si="11"/>
        <v>成新度</v>
      </c>
      <c r="R37" s="1558" t="s">
        <v>8</v>
      </c>
      <c r="S37" s="1559" t="e">
        <f t="shared" si="12"/>
        <v>#N/A</v>
      </c>
      <c r="T37" s="1558" t="s">
        <v>8</v>
      </c>
      <c r="U37" s="1559" t="e">
        <f t="shared" si="13"/>
        <v>#N/A</v>
      </c>
      <c r="V37" s="1558" t="s">
        <v>8</v>
      </c>
      <c r="W37" s="1559" t="e">
        <f t="shared" si="14"/>
        <v>#N/A</v>
      </c>
      <c r="X37" s="1552"/>
      <c r="Y37" s="4075"/>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75"/>
      <c r="Q38" s="1146" t="str">
        <f t="shared" si="11"/>
        <v>写字楼等级</v>
      </c>
      <c r="R38" s="1553" t="s">
        <v>8</v>
      </c>
      <c r="S38" s="1554">
        <f t="shared" si="12"/>
        <v>100</v>
      </c>
      <c r="T38" s="1553" t="s">
        <v>8</v>
      </c>
      <c r="U38" s="1554">
        <f t="shared" si="13"/>
        <v>100</v>
      </c>
      <c r="V38" s="1553" t="s">
        <v>8</v>
      </c>
      <c r="W38" s="1554">
        <f t="shared" si="14"/>
        <v>100</v>
      </c>
      <c r="X38" s="1555"/>
      <c r="Y38" s="4075"/>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75" t="s">
        <v>550</v>
      </c>
      <c r="Q39" s="1557" t="str">
        <f t="shared" si="11"/>
        <v>物业管理</v>
      </c>
      <c r="R39" s="1558" t="s">
        <v>8</v>
      </c>
      <c r="S39" s="1559">
        <f t="shared" si="12"/>
        <v>100</v>
      </c>
      <c r="T39" s="1558" t="s">
        <v>8</v>
      </c>
      <c r="U39" s="1559">
        <f t="shared" si="13"/>
        <v>100</v>
      </c>
      <c r="V39" s="1558" t="s">
        <v>8</v>
      </c>
      <c r="W39" s="1559">
        <f t="shared" si="14"/>
        <v>100</v>
      </c>
      <c r="X39" s="1552"/>
      <c r="Y39" s="4075"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75"/>
      <c r="Q40" s="1557" t="str">
        <f t="shared" si="11"/>
        <v>市政基础设施</v>
      </c>
      <c r="R40" s="1558" t="s">
        <v>8</v>
      </c>
      <c r="S40" s="1559">
        <f t="shared" si="12"/>
        <v>100</v>
      </c>
      <c r="T40" s="1558" t="s">
        <v>8</v>
      </c>
      <c r="U40" s="1559">
        <f t="shared" si="13"/>
        <v>100</v>
      </c>
      <c r="V40" s="1558" t="s">
        <v>8</v>
      </c>
      <c r="W40" s="1559">
        <f t="shared" si="14"/>
        <v>100</v>
      </c>
      <c r="X40" s="1552"/>
      <c r="Y40" s="4075"/>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75"/>
      <c r="Q41" s="1557" t="str">
        <f t="shared" si="11"/>
        <v>层高</v>
      </c>
      <c r="R41" s="1558" t="s">
        <v>8</v>
      </c>
      <c r="S41" s="1559">
        <f t="shared" si="12"/>
        <v>100</v>
      </c>
      <c r="T41" s="1558" t="s">
        <v>8</v>
      </c>
      <c r="U41" s="1559">
        <f t="shared" si="13"/>
        <v>100</v>
      </c>
      <c r="V41" s="1558" t="s">
        <v>8</v>
      </c>
      <c r="W41" s="1559">
        <f t="shared" si="14"/>
        <v>100</v>
      </c>
      <c r="X41" s="1552"/>
      <c r="Y41" s="4075"/>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75"/>
      <c r="Q42" s="1589" t="str">
        <f t="shared" si="11"/>
        <v>单套建筑面积</v>
      </c>
      <c r="R42" s="1562" t="s">
        <v>8</v>
      </c>
      <c r="S42" s="1563">
        <f t="shared" si="12"/>
        <v>100</v>
      </c>
      <c r="T42" s="1562" t="s">
        <v>8</v>
      </c>
      <c r="U42" s="1563">
        <f t="shared" si="13"/>
        <v>100</v>
      </c>
      <c r="V42" s="1562" t="s">
        <v>8</v>
      </c>
      <c r="W42" s="1563">
        <f t="shared" si="14"/>
        <v>100</v>
      </c>
      <c r="X42" s="1564"/>
      <c r="Y42" s="4075"/>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75"/>
      <c r="Q43" s="1557" t="str">
        <f t="shared" si="11"/>
        <v>内部装修</v>
      </c>
      <c r="R43" s="1558" t="s">
        <v>8</v>
      </c>
      <c r="S43" s="1559">
        <f t="shared" si="12"/>
        <v>100</v>
      </c>
      <c r="T43" s="1558" t="s">
        <v>8</v>
      </c>
      <c r="U43" s="1559">
        <f t="shared" si="13"/>
        <v>100</v>
      </c>
      <c r="V43" s="1558" t="s">
        <v>8</v>
      </c>
      <c r="W43" s="1559">
        <f t="shared" si="14"/>
        <v>100</v>
      </c>
      <c r="X43" s="1552"/>
      <c r="Y43" s="4075"/>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75"/>
      <c r="Q44" s="1557" t="str">
        <f t="shared" si="11"/>
        <v>内部装修维护情况</v>
      </c>
      <c r="R44" s="1558" t="s">
        <v>8</v>
      </c>
      <c r="S44" s="1559">
        <f t="shared" si="12"/>
        <v>100</v>
      </c>
      <c r="T44" s="1558" t="s">
        <v>8</v>
      </c>
      <c r="U44" s="1559">
        <f t="shared" si="13"/>
        <v>100</v>
      </c>
      <c r="V44" s="1558" t="s">
        <v>8</v>
      </c>
      <c r="W44" s="1559">
        <f t="shared" si="14"/>
        <v>100</v>
      </c>
      <c r="X44" s="1552"/>
      <c r="Y44" s="4075"/>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75"/>
      <c r="Q45" s="1146">
        <f t="shared" si="11"/>
        <v>111</v>
      </c>
      <c r="R45" s="1553" t="s">
        <v>8</v>
      </c>
      <c r="S45" s="1554">
        <f t="shared" si="12"/>
        <v>100</v>
      </c>
      <c r="T45" s="1553" t="s">
        <v>8</v>
      </c>
      <c r="U45" s="1554">
        <f t="shared" si="13"/>
        <v>100</v>
      </c>
      <c r="V45" s="1553" t="s">
        <v>8</v>
      </c>
      <c r="W45" s="1554">
        <f t="shared" si="14"/>
        <v>100</v>
      </c>
      <c r="X45" s="1555"/>
      <c r="Y45" s="4075"/>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75"/>
      <c r="Q46" s="1557">
        <f t="shared" si="11"/>
        <v>111</v>
      </c>
      <c r="R46" s="1558" t="s">
        <v>8</v>
      </c>
      <c r="S46" s="1559">
        <f t="shared" si="12"/>
        <v>100</v>
      </c>
      <c r="T46" s="1558" t="s">
        <v>8</v>
      </c>
      <c r="U46" s="1559">
        <f t="shared" si="13"/>
        <v>100</v>
      </c>
      <c r="V46" s="1558" t="s">
        <v>8</v>
      </c>
      <c r="W46" s="1559">
        <f t="shared" si="14"/>
        <v>100</v>
      </c>
      <c r="X46" s="1552"/>
      <c r="Y46" s="4075"/>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33"/>
      <c r="Q47" s="1557">
        <f t="shared" si="11"/>
        <v>111</v>
      </c>
      <c r="R47" s="1558" t="s">
        <v>8</v>
      </c>
      <c r="S47" s="1559">
        <f t="shared" si="12"/>
        <v>100</v>
      </c>
      <c r="T47" s="1558" t="s">
        <v>8</v>
      </c>
      <c r="U47" s="1559">
        <f t="shared" si="13"/>
        <v>100</v>
      </c>
      <c r="V47" s="1558" t="s">
        <v>8</v>
      </c>
      <c r="W47" s="1559">
        <f t="shared" si="14"/>
        <v>100</v>
      </c>
      <c r="X47" s="1552"/>
      <c r="Y47" s="4133"/>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36" t="str">
        <f>A48</f>
        <v>成交单价（元/平方米）</v>
      </c>
      <c r="Q48" s="4038"/>
      <c r="R48" s="4132">
        <f>E48</f>
        <v>0</v>
      </c>
      <c r="S48" s="4132"/>
      <c r="T48" s="4132">
        <f>G48</f>
        <v>0</v>
      </c>
      <c r="U48" s="4132"/>
      <c r="V48" s="4132">
        <f>I48</f>
        <v>0</v>
      </c>
      <c r="W48" s="4132"/>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36" t="str">
        <f>A49</f>
        <v>比较价格（元/平方米）</v>
      </c>
      <c r="Q49" s="4038"/>
      <c r="R49" s="4132" t="e">
        <f>IF(F1="售价",ROUND(PRODUCT(R48,AA7:AA47),0),ROUND(PRODUCT(R48,AA7:AA47),1))</f>
        <v>#DIV/0!</v>
      </c>
      <c r="S49" s="4132"/>
      <c r="T49" s="4132" t="e">
        <f>IF(F1="售价",ROUND(PRODUCT(T48,AB7:AB47),0),ROUND(PRODUCT(T48,AB7:AB47),1))</f>
        <v>#DIV/0!</v>
      </c>
      <c r="U49" s="4132"/>
      <c r="V49" s="4132" t="e">
        <f>IF(F1="售价",ROUND(PRODUCT(V48,AC7:AC47),0),ROUND(PRODUCT(V48,AC7:AC47),1))</f>
        <v>#DIV/0!</v>
      </c>
      <c r="W49" s="4132"/>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59" t="str">
        <f>A50</f>
        <v>估价对象XX用房的比较价格（楼面单价，元/平方米）</v>
      </c>
      <c r="Q50" s="4036"/>
      <c r="R50" s="4131" t="e">
        <f>IF(F1="售价",ROUND(AVERAGE(R49:V49),0),ROUND(AVERAGE(R49:V49),1))</f>
        <v>#DIV/0!</v>
      </c>
      <c r="S50" s="4131"/>
      <c r="T50" s="4131"/>
      <c r="U50" s="4131"/>
      <c r="V50" s="4131"/>
      <c r="W50" s="413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44" t="s">
        <v>522</v>
      </c>
      <c r="D4" s="4045"/>
      <c r="E4" s="4078" t="s">
        <v>523</v>
      </c>
      <c r="F4" s="4079"/>
      <c r="G4" s="4044" t="s">
        <v>524</v>
      </c>
      <c r="H4" s="4045"/>
      <c r="I4" s="4044" t="s">
        <v>525</v>
      </c>
      <c r="J4" s="4045"/>
      <c r="K4" s="513" t="s">
        <v>526</v>
      </c>
      <c r="L4" s="2117"/>
      <c r="M4" s="2118"/>
      <c r="N4" s="2118"/>
      <c r="O4" s="2118"/>
      <c r="P4" s="4046" t="s">
        <v>527</v>
      </c>
      <c r="Q4" s="4047"/>
      <c r="R4" s="4052" t="s">
        <v>523</v>
      </c>
      <c r="S4" s="4053"/>
      <c r="T4" s="4052" t="s">
        <v>524</v>
      </c>
      <c r="U4" s="4053"/>
      <c r="V4" s="4039" t="s">
        <v>525</v>
      </c>
      <c r="W4" s="4039"/>
      <c r="X4" s="1552"/>
      <c r="Y4" s="4052" t="s">
        <v>527</v>
      </c>
      <c r="Z4" s="4053"/>
      <c r="AA4" s="4041" t="s">
        <v>523</v>
      </c>
      <c r="AB4" s="4042" t="s">
        <v>524</v>
      </c>
      <c r="AC4" s="4041" t="s">
        <v>525</v>
      </c>
    </row>
    <row r="5" spans="1:29" ht="15">
      <c r="A5" s="514"/>
      <c r="B5" s="515"/>
      <c r="C5" s="4060" t="s">
        <v>2926</v>
      </c>
      <c r="D5" s="4061"/>
      <c r="E5" s="4080" t="s">
        <v>2927</v>
      </c>
      <c r="F5" s="4081"/>
      <c r="G5" s="4060" t="s">
        <v>2928</v>
      </c>
      <c r="H5" s="4061"/>
      <c r="I5" s="4060" t="s">
        <v>2929</v>
      </c>
      <c r="J5" s="4061"/>
      <c r="K5" s="513"/>
      <c r="L5" s="2117"/>
      <c r="M5" s="2118"/>
      <c r="N5" s="2118"/>
      <c r="O5" s="2118"/>
      <c r="P5" s="4048"/>
      <c r="Q5" s="4049"/>
      <c r="R5" s="4054"/>
      <c r="S5" s="4055"/>
      <c r="T5" s="4054"/>
      <c r="U5" s="4055"/>
      <c r="V5" s="4039"/>
      <c r="W5" s="4039"/>
      <c r="X5" s="1552"/>
      <c r="Y5" s="4054"/>
      <c r="Z5" s="4055"/>
      <c r="AA5" s="4042"/>
      <c r="AB5" s="4042"/>
      <c r="AC5" s="4042"/>
    </row>
    <row r="6" spans="1:29" ht="15.75" thickBot="1">
      <c r="A6" s="516"/>
      <c r="B6" s="517"/>
      <c r="C6" s="4058" t="s">
        <v>2930</v>
      </c>
      <c r="D6" s="4059"/>
      <c r="E6" s="4076" t="s">
        <v>2930</v>
      </c>
      <c r="F6" s="4077"/>
      <c r="G6" s="4058" t="s">
        <v>2930</v>
      </c>
      <c r="H6" s="4059"/>
      <c r="I6" s="4058" t="s">
        <v>2930</v>
      </c>
      <c r="J6" s="4059"/>
      <c r="K6" s="513" t="s">
        <v>528</v>
      </c>
      <c r="L6" s="2117"/>
      <c r="M6" s="2118"/>
      <c r="N6" s="2118"/>
      <c r="O6" s="2118"/>
      <c r="P6" s="4050"/>
      <c r="Q6" s="4051"/>
      <c r="R6" s="4054"/>
      <c r="S6" s="4055"/>
      <c r="T6" s="4056"/>
      <c r="U6" s="4057"/>
      <c r="V6" s="4039"/>
      <c r="W6" s="4039"/>
      <c r="X6" s="1552"/>
      <c r="Y6" s="4056"/>
      <c r="Z6" s="4057"/>
      <c r="AA6" s="4043"/>
      <c r="AB6" s="4043"/>
      <c r="AC6" s="4043"/>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69" t="s">
        <v>530</v>
      </c>
      <c r="Q7" s="4071"/>
      <c r="R7" s="1553" t="s">
        <v>8</v>
      </c>
      <c r="S7" s="1554">
        <f t="shared" ref="S7:S15" si="0">F7</f>
        <v>0</v>
      </c>
      <c r="T7" s="1553" t="s">
        <v>8</v>
      </c>
      <c r="U7" s="1554">
        <f t="shared" ref="U7:U15" si="1">H7</f>
        <v>0</v>
      </c>
      <c r="V7" s="1553" t="s">
        <v>8</v>
      </c>
      <c r="W7" s="1554">
        <f t="shared" ref="W7:W15" si="2">J7</f>
        <v>0</v>
      </c>
      <c r="X7" s="1555"/>
      <c r="Y7" s="4069" t="s">
        <v>530</v>
      </c>
      <c r="Z7" s="4070"/>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69" t="s">
        <v>533</v>
      </c>
      <c r="Q8" s="4070"/>
      <c r="R8" s="1553" t="s">
        <v>8</v>
      </c>
      <c r="S8" s="1554">
        <f t="shared" si="0"/>
        <v>0</v>
      </c>
      <c r="T8" s="1553" t="s">
        <v>8</v>
      </c>
      <c r="U8" s="1554">
        <f t="shared" si="1"/>
        <v>0</v>
      </c>
      <c r="V8" s="1553" t="s">
        <v>8</v>
      </c>
      <c r="W8" s="1554">
        <f t="shared" si="2"/>
        <v>0</v>
      </c>
      <c r="X8" s="1555"/>
      <c r="Y8" s="4069" t="s">
        <v>533</v>
      </c>
      <c r="Z8" s="4070"/>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38" t="s">
        <v>535</v>
      </c>
      <c r="Q9" s="1146" t="str">
        <f t="shared" ref="Q9:Q15" si="6">B9</f>
        <v>用途</v>
      </c>
      <c r="R9" s="1553" t="s">
        <v>8</v>
      </c>
      <c r="S9" s="1554">
        <f t="shared" si="0"/>
        <v>100</v>
      </c>
      <c r="T9" s="1553" t="s">
        <v>8</v>
      </c>
      <c r="U9" s="1554">
        <f t="shared" si="1"/>
        <v>100</v>
      </c>
      <c r="V9" s="1553" t="s">
        <v>8</v>
      </c>
      <c r="W9" s="1554">
        <f t="shared" si="2"/>
        <v>100</v>
      </c>
      <c r="X9" s="1555"/>
      <c r="Y9" s="3984"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38"/>
      <c r="Q10" s="1146" t="str">
        <f t="shared" si="6"/>
        <v>土地使用年限（年）</v>
      </c>
      <c r="R10" s="1553" t="s">
        <v>8</v>
      </c>
      <c r="S10" s="1554">
        <f t="shared" si="0"/>
        <v>100</v>
      </c>
      <c r="T10" s="1553" t="s">
        <v>8</v>
      </c>
      <c r="U10" s="1554">
        <f t="shared" si="1"/>
        <v>100</v>
      </c>
      <c r="V10" s="1553" t="s">
        <v>8</v>
      </c>
      <c r="W10" s="1554">
        <f t="shared" si="2"/>
        <v>100</v>
      </c>
      <c r="X10" s="1555"/>
      <c r="Y10" s="3984"/>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38"/>
      <c r="Q11" s="1146" t="str">
        <f t="shared" si="6"/>
        <v>容积率</v>
      </c>
      <c r="R11" s="1553" t="s">
        <v>8</v>
      </c>
      <c r="S11" s="1554" t="e">
        <f t="shared" si="0"/>
        <v>#N/A</v>
      </c>
      <c r="T11" s="1553" t="s">
        <v>8</v>
      </c>
      <c r="U11" s="1554" t="e">
        <f t="shared" si="1"/>
        <v>#N/A</v>
      </c>
      <c r="V11" s="1553" t="s">
        <v>8</v>
      </c>
      <c r="W11" s="1554" t="e">
        <f t="shared" si="2"/>
        <v>#N/A</v>
      </c>
      <c r="X11" s="1555"/>
      <c r="Y11" s="3984"/>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38"/>
      <c r="Q12" s="1146">
        <f t="shared" si="6"/>
        <v>111</v>
      </c>
      <c r="R12" s="1553" t="s">
        <v>8</v>
      </c>
      <c r="S12" s="1554">
        <f t="shared" si="0"/>
        <v>100</v>
      </c>
      <c r="T12" s="1553" t="s">
        <v>8</v>
      </c>
      <c r="U12" s="1554">
        <f t="shared" si="1"/>
        <v>100</v>
      </c>
      <c r="V12" s="1553" t="s">
        <v>8</v>
      </c>
      <c r="W12" s="1554">
        <f t="shared" si="2"/>
        <v>100</v>
      </c>
      <c r="X12" s="1555"/>
      <c r="Y12" s="3984"/>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38"/>
      <c r="Q13" s="1146">
        <f t="shared" si="6"/>
        <v>111</v>
      </c>
      <c r="R13" s="1553" t="s">
        <v>8</v>
      </c>
      <c r="S13" s="1554">
        <f t="shared" si="0"/>
        <v>100</v>
      </c>
      <c r="T13" s="1553" t="s">
        <v>8</v>
      </c>
      <c r="U13" s="1554">
        <f t="shared" si="1"/>
        <v>100</v>
      </c>
      <c r="V13" s="1553" t="s">
        <v>8</v>
      </c>
      <c r="W13" s="1554">
        <f t="shared" si="2"/>
        <v>100</v>
      </c>
      <c r="X13" s="1555"/>
      <c r="Y13" s="3984"/>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38"/>
      <c r="Q14" s="1146">
        <f t="shared" si="6"/>
        <v>111</v>
      </c>
      <c r="R14" s="1553" t="s">
        <v>8</v>
      </c>
      <c r="S14" s="1554">
        <f t="shared" si="0"/>
        <v>100</v>
      </c>
      <c r="T14" s="1553" t="s">
        <v>8</v>
      </c>
      <c r="U14" s="1554">
        <f t="shared" si="1"/>
        <v>100</v>
      </c>
      <c r="V14" s="1553" t="s">
        <v>8</v>
      </c>
      <c r="W14" s="1554">
        <f t="shared" si="2"/>
        <v>100</v>
      </c>
      <c r="X14" s="1555"/>
      <c r="Y14" s="3984"/>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72" t="s">
        <v>540</v>
      </c>
      <c r="Q15" s="1557" t="str">
        <f t="shared" si="6"/>
        <v>产业集聚程度</v>
      </c>
      <c r="R15" s="1558" t="s">
        <v>8</v>
      </c>
      <c r="S15" s="1559">
        <f t="shared" si="0"/>
        <v>100</v>
      </c>
      <c r="T15" s="1558" t="s">
        <v>8</v>
      </c>
      <c r="U15" s="1559">
        <f t="shared" si="1"/>
        <v>100</v>
      </c>
      <c r="V15" s="1558" t="s">
        <v>8</v>
      </c>
      <c r="W15" s="1559">
        <f t="shared" si="2"/>
        <v>100</v>
      </c>
      <c r="X15" s="1552"/>
      <c r="Y15" s="4072"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73"/>
      <c r="Q16" s="1557"/>
      <c r="R16" s="1558"/>
      <c r="S16" s="1559"/>
      <c r="T16" s="1558"/>
      <c r="U16" s="1559"/>
      <c r="V16" s="1558"/>
      <c r="W16" s="1559"/>
      <c r="X16" s="1552"/>
      <c r="Y16" s="4073"/>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73"/>
      <c r="Q17" s="1557" t="str">
        <f>B17</f>
        <v>交通便捷度</v>
      </c>
      <c r="R17" s="1558" t="s">
        <v>8</v>
      </c>
      <c r="S17" s="1559">
        <f>F17</f>
        <v>100</v>
      </c>
      <c r="T17" s="1558" t="s">
        <v>8</v>
      </c>
      <c r="U17" s="1559">
        <f>H17</f>
        <v>100</v>
      </c>
      <c r="V17" s="1558" t="s">
        <v>8</v>
      </c>
      <c r="W17" s="1559">
        <f>J17</f>
        <v>100</v>
      </c>
      <c r="X17" s="1552"/>
      <c r="Y17" s="407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73"/>
      <c r="Q18" s="1557"/>
      <c r="R18" s="1558"/>
      <c r="S18" s="1559"/>
      <c r="T18" s="1558"/>
      <c r="U18" s="1559"/>
      <c r="V18" s="1558"/>
      <c r="W18" s="1559"/>
      <c r="X18" s="1552"/>
      <c r="Y18" s="4073"/>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73"/>
      <c r="Q19" s="1557" t="str">
        <f>B19</f>
        <v>公共配套设施</v>
      </c>
      <c r="R19" s="1558" t="s">
        <v>8</v>
      </c>
      <c r="S19" s="1559">
        <f>F19</f>
        <v>100</v>
      </c>
      <c r="T19" s="1558" t="s">
        <v>8</v>
      </c>
      <c r="U19" s="1559">
        <f>H19</f>
        <v>100</v>
      </c>
      <c r="V19" s="1558" t="s">
        <v>8</v>
      </c>
      <c r="W19" s="1559">
        <f>J19</f>
        <v>100</v>
      </c>
      <c r="X19" s="1552"/>
      <c r="Y19" s="4073"/>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73"/>
      <c r="Q20" s="1557"/>
      <c r="R20" s="1558"/>
      <c r="S20" s="1559"/>
      <c r="T20" s="1558"/>
      <c r="U20" s="1559"/>
      <c r="V20" s="1558"/>
      <c r="W20" s="1559"/>
      <c r="X20" s="1552"/>
      <c r="Y20" s="4073"/>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73"/>
      <c r="Q21" s="2542" t="str">
        <f>B21</f>
        <v>基础设施水平</v>
      </c>
      <c r="R21" s="1558" t="s">
        <v>8</v>
      </c>
      <c r="S21" s="1559">
        <f>F21</f>
        <v>100</v>
      </c>
      <c r="T21" s="1558" t="s">
        <v>8</v>
      </c>
      <c r="U21" s="1559">
        <f>H21</f>
        <v>100</v>
      </c>
      <c r="V21" s="1558" t="s">
        <v>8</v>
      </c>
      <c r="W21" s="1559">
        <f>J21</f>
        <v>100</v>
      </c>
      <c r="X21" s="2544"/>
      <c r="Y21" s="4073"/>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73"/>
      <c r="Q22" s="2542"/>
      <c r="R22" s="1558"/>
      <c r="S22" s="1559"/>
      <c r="T22" s="1558"/>
      <c r="U22" s="1559"/>
      <c r="V22" s="1558"/>
      <c r="W22" s="1559"/>
      <c r="X22" s="2544"/>
      <c r="Y22" s="4073"/>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73"/>
      <c r="Q23" s="1557" t="str">
        <f>B23</f>
        <v>环境质量</v>
      </c>
      <c r="R23" s="1558" t="s">
        <v>8</v>
      </c>
      <c r="S23" s="1559">
        <f>F23</f>
        <v>100</v>
      </c>
      <c r="T23" s="1558" t="s">
        <v>8</v>
      </c>
      <c r="U23" s="1559">
        <f>H23</f>
        <v>100</v>
      </c>
      <c r="V23" s="1558" t="s">
        <v>8</v>
      </c>
      <c r="W23" s="1559">
        <f>J23</f>
        <v>100</v>
      </c>
      <c r="X23" s="1552"/>
      <c r="Y23" s="4073"/>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73"/>
      <c r="Q24" s="1557"/>
      <c r="R24" s="1558"/>
      <c r="S24" s="1559"/>
      <c r="T24" s="1558"/>
      <c r="U24" s="1559"/>
      <c r="V24" s="1558"/>
      <c r="W24" s="1559"/>
      <c r="X24" s="1552"/>
      <c r="Y24" s="4073"/>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73"/>
      <c r="Q25" s="1557">
        <f>B25</f>
        <v>111</v>
      </c>
      <c r="R25" s="1558" t="s">
        <v>8</v>
      </c>
      <c r="S25" s="1559">
        <f>F25</f>
        <v>100</v>
      </c>
      <c r="T25" s="1558" t="s">
        <v>8</v>
      </c>
      <c r="U25" s="1559">
        <f>H25</f>
        <v>100</v>
      </c>
      <c r="V25" s="1558" t="s">
        <v>8</v>
      </c>
      <c r="W25" s="1559">
        <f>J25</f>
        <v>100</v>
      </c>
      <c r="X25" s="1552"/>
      <c r="Y25" s="4073"/>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73"/>
      <c r="Q26" s="1557">
        <f t="shared" ref="Q26:Q40" si="11">B26</f>
        <v>111</v>
      </c>
      <c r="R26" s="1558" t="s">
        <v>8</v>
      </c>
      <c r="S26" s="1559">
        <f>F26</f>
        <v>100</v>
      </c>
      <c r="T26" s="1558" t="s">
        <v>8</v>
      </c>
      <c r="U26" s="1559">
        <f>H26</f>
        <v>100</v>
      </c>
      <c r="V26" s="1558" t="s">
        <v>8</v>
      </c>
      <c r="W26" s="1559">
        <f>J26</f>
        <v>100</v>
      </c>
      <c r="X26" s="1552"/>
      <c r="Y26" s="4073"/>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73"/>
      <c r="Q27" s="1146">
        <f t="shared" si="11"/>
        <v>111</v>
      </c>
      <c r="R27" s="1553" t="s">
        <v>8</v>
      </c>
      <c r="S27" s="1554">
        <f>F27</f>
        <v>100</v>
      </c>
      <c r="T27" s="1553" t="s">
        <v>8</v>
      </c>
      <c r="U27" s="1554">
        <f>H27</f>
        <v>100</v>
      </c>
      <c r="V27" s="1553" t="s">
        <v>8</v>
      </c>
      <c r="W27" s="1554">
        <f>J27</f>
        <v>100</v>
      </c>
      <c r="X27" s="1555"/>
      <c r="Y27" s="4073"/>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73"/>
      <c r="Q28" s="1557">
        <f t="shared" si="11"/>
        <v>111</v>
      </c>
      <c r="R28" s="1558" t="s">
        <v>8</v>
      </c>
      <c r="S28" s="1559">
        <f t="shared" ref="S28:S40" si="12">F28</f>
        <v>100</v>
      </c>
      <c r="T28" s="1558" t="s">
        <v>8</v>
      </c>
      <c r="U28" s="1559">
        <f t="shared" ref="U28:U40" si="13">H28</f>
        <v>100</v>
      </c>
      <c r="V28" s="1558" t="s">
        <v>8</v>
      </c>
      <c r="W28" s="1559">
        <f t="shared" ref="W28:W40" si="14">J28</f>
        <v>100</v>
      </c>
      <c r="X28" s="1552"/>
      <c r="Y28" s="4073"/>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74" t="s">
        <v>550</v>
      </c>
      <c r="Q29" s="1557" t="str">
        <f t="shared" si="11"/>
        <v>建筑类型</v>
      </c>
      <c r="R29" s="1558" t="s">
        <v>8</v>
      </c>
      <c r="S29" s="1559">
        <f t="shared" si="12"/>
        <v>100</v>
      </c>
      <c r="T29" s="1558" t="s">
        <v>8</v>
      </c>
      <c r="U29" s="1559">
        <f t="shared" si="13"/>
        <v>100</v>
      </c>
      <c r="V29" s="1558" t="s">
        <v>8</v>
      </c>
      <c r="W29" s="1559">
        <f t="shared" si="14"/>
        <v>100</v>
      </c>
      <c r="X29" s="1552"/>
      <c r="Y29" s="4075"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75"/>
      <c r="Q30" s="1589" t="str">
        <f t="shared" si="11"/>
        <v>项目建筑规模</v>
      </c>
      <c r="R30" s="1562" t="s">
        <v>8</v>
      </c>
      <c r="S30" s="1563" t="e">
        <f t="shared" si="12"/>
        <v>#N/A</v>
      </c>
      <c r="T30" s="1562" t="s">
        <v>8</v>
      </c>
      <c r="U30" s="1563" t="e">
        <f t="shared" si="13"/>
        <v>#N/A</v>
      </c>
      <c r="V30" s="1562" t="s">
        <v>8</v>
      </c>
      <c r="W30" s="1563" t="e">
        <f t="shared" si="14"/>
        <v>#N/A</v>
      </c>
      <c r="X30" s="1564"/>
      <c r="Y30" s="4075"/>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75"/>
      <c r="Q31" s="1557" t="str">
        <f t="shared" si="11"/>
        <v>建筑结构</v>
      </c>
      <c r="R31" s="1558" t="s">
        <v>8</v>
      </c>
      <c r="S31" s="1559">
        <f t="shared" si="12"/>
        <v>100</v>
      </c>
      <c r="T31" s="1558" t="s">
        <v>8</v>
      </c>
      <c r="U31" s="1559">
        <f t="shared" si="13"/>
        <v>100</v>
      </c>
      <c r="V31" s="1558" t="s">
        <v>8</v>
      </c>
      <c r="W31" s="1559">
        <f t="shared" si="14"/>
        <v>100</v>
      </c>
      <c r="X31" s="1552"/>
      <c r="Y31" s="4075"/>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75"/>
      <c r="Q32" s="1557" t="str">
        <f t="shared" si="11"/>
        <v>公共部分装修</v>
      </c>
      <c r="R32" s="1558" t="s">
        <v>8</v>
      </c>
      <c r="S32" s="1559">
        <f t="shared" si="12"/>
        <v>100</v>
      </c>
      <c r="T32" s="1558" t="s">
        <v>8</v>
      </c>
      <c r="U32" s="1559">
        <f t="shared" si="13"/>
        <v>100</v>
      </c>
      <c r="V32" s="1558" t="s">
        <v>8</v>
      </c>
      <c r="W32" s="1559">
        <f t="shared" si="14"/>
        <v>100</v>
      </c>
      <c r="X32" s="1552"/>
      <c r="Y32" s="4075"/>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75"/>
      <c r="Q33" s="1557" t="str">
        <f t="shared" si="11"/>
        <v>成新度</v>
      </c>
      <c r="R33" s="1558" t="s">
        <v>8</v>
      </c>
      <c r="S33" s="1559" t="e">
        <f t="shared" si="12"/>
        <v>#N/A</v>
      </c>
      <c r="T33" s="1558" t="s">
        <v>8</v>
      </c>
      <c r="U33" s="1559" t="e">
        <f t="shared" si="13"/>
        <v>#N/A</v>
      </c>
      <c r="V33" s="1558" t="s">
        <v>8</v>
      </c>
      <c r="W33" s="1559" t="e">
        <f t="shared" si="14"/>
        <v>#N/A</v>
      </c>
      <c r="X33" s="1552"/>
      <c r="Y33" s="4075"/>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75"/>
      <c r="Q34" s="1146" t="str">
        <f t="shared" si="11"/>
        <v>物业管理</v>
      </c>
      <c r="R34" s="1553" t="s">
        <v>8</v>
      </c>
      <c r="S34" s="1554">
        <f t="shared" si="12"/>
        <v>100</v>
      </c>
      <c r="T34" s="1553" t="s">
        <v>8</v>
      </c>
      <c r="U34" s="1554">
        <f t="shared" si="13"/>
        <v>100</v>
      </c>
      <c r="V34" s="1553" t="s">
        <v>8</v>
      </c>
      <c r="W34" s="1554">
        <f t="shared" si="14"/>
        <v>100</v>
      </c>
      <c r="X34" s="1555"/>
      <c r="Y34" s="4075"/>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75" t="s">
        <v>550</v>
      </c>
      <c r="Q35" s="1557" t="str">
        <f t="shared" si="11"/>
        <v>市政基础设施</v>
      </c>
      <c r="R35" s="1558" t="s">
        <v>8</v>
      </c>
      <c r="S35" s="1559">
        <f t="shared" si="12"/>
        <v>100</v>
      </c>
      <c r="T35" s="1558" t="s">
        <v>8</v>
      </c>
      <c r="U35" s="1559">
        <f t="shared" si="13"/>
        <v>100</v>
      </c>
      <c r="V35" s="1558" t="s">
        <v>8</v>
      </c>
      <c r="W35" s="1559">
        <f t="shared" si="14"/>
        <v>100</v>
      </c>
      <c r="X35" s="1552"/>
      <c r="Y35" s="4075"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75"/>
      <c r="Q36" s="1557" t="str">
        <f t="shared" si="11"/>
        <v>内部装修</v>
      </c>
      <c r="R36" s="1558" t="s">
        <v>8</v>
      </c>
      <c r="S36" s="1559">
        <f t="shared" si="12"/>
        <v>100</v>
      </c>
      <c r="T36" s="1558" t="s">
        <v>8</v>
      </c>
      <c r="U36" s="1559">
        <f t="shared" si="13"/>
        <v>100</v>
      </c>
      <c r="V36" s="1558" t="s">
        <v>8</v>
      </c>
      <c r="W36" s="1559">
        <f t="shared" si="14"/>
        <v>100</v>
      </c>
      <c r="X36" s="1552"/>
      <c r="Y36" s="4075"/>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75"/>
      <c r="Q37" s="1557" t="str">
        <f t="shared" si="11"/>
        <v>内部装修状况</v>
      </c>
      <c r="R37" s="1558" t="s">
        <v>8</v>
      </c>
      <c r="S37" s="1559">
        <f t="shared" si="12"/>
        <v>100</v>
      </c>
      <c r="T37" s="1558" t="s">
        <v>8</v>
      </c>
      <c r="U37" s="1559">
        <f t="shared" si="13"/>
        <v>100</v>
      </c>
      <c r="V37" s="1558" t="s">
        <v>8</v>
      </c>
      <c r="W37" s="1559">
        <f t="shared" si="14"/>
        <v>100</v>
      </c>
      <c r="X37" s="1552"/>
      <c r="Y37" s="4075"/>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75"/>
      <c r="Q38" s="1589">
        <f t="shared" si="11"/>
        <v>111</v>
      </c>
      <c r="R38" s="1562" t="s">
        <v>8</v>
      </c>
      <c r="S38" s="1563">
        <f t="shared" si="12"/>
        <v>100</v>
      </c>
      <c r="T38" s="1562" t="s">
        <v>8</v>
      </c>
      <c r="U38" s="1563">
        <f t="shared" si="13"/>
        <v>100</v>
      </c>
      <c r="V38" s="1562" t="s">
        <v>8</v>
      </c>
      <c r="W38" s="1563">
        <f t="shared" si="14"/>
        <v>100</v>
      </c>
      <c r="X38" s="1564"/>
      <c r="Y38" s="4075"/>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75"/>
      <c r="Q39" s="1557">
        <f t="shared" si="11"/>
        <v>111</v>
      </c>
      <c r="R39" s="1558" t="s">
        <v>8</v>
      </c>
      <c r="S39" s="1559">
        <f t="shared" si="12"/>
        <v>100</v>
      </c>
      <c r="T39" s="1558" t="s">
        <v>8</v>
      </c>
      <c r="U39" s="1559">
        <f t="shared" si="13"/>
        <v>100</v>
      </c>
      <c r="V39" s="1558" t="s">
        <v>8</v>
      </c>
      <c r="W39" s="1559">
        <f t="shared" si="14"/>
        <v>100</v>
      </c>
      <c r="X39" s="1552"/>
      <c r="Y39" s="4075"/>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33"/>
      <c r="Q40" s="1557">
        <f t="shared" si="11"/>
        <v>111</v>
      </c>
      <c r="R40" s="1558" t="s">
        <v>8</v>
      </c>
      <c r="S40" s="1559">
        <f t="shared" si="12"/>
        <v>100</v>
      </c>
      <c r="T40" s="1558" t="s">
        <v>8</v>
      </c>
      <c r="U40" s="1559">
        <f t="shared" si="13"/>
        <v>100</v>
      </c>
      <c r="V40" s="1558" t="s">
        <v>8</v>
      </c>
      <c r="W40" s="1559">
        <f t="shared" si="14"/>
        <v>100</v>
      </c>
      <c r="X40" s="1552"/>
      <c r="Y40" s="4133"/>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38" t="str">
        <f>A41</f>
        <v>成交单价（元/平方米）</v>
      </c>
      <c r="Q41" s="4038"/>
      <c r="R41" s="4132">
        <f>E41</f>
        <v>0</v>
      </c>
      <c r="S41" s="4132"/>
      <c r="T41" s="4132">
        <f>G41</f>
        <v>0</v>
      </c>
      <c r="U41" s="4132"/>
      <c r="V41" s="4132">
        <f>I41</f>
        <v>0</v>
      </c>
      <c r="W41" s="4132"/>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38" t="str">
        <f>A42</f>
        <v>比较价格（元/平方米）</v>
      </c>
      <c r="Q42" s="4038"/>
      <c r="R42" s="4132" t="e">
        <f>IF(F1="售价",ROUND(PRODUCT(R41,AA7:AA40),0),ROUND(PRODUCT(R41,AA7:AA40),1))</f>
        <v>#DIV/0!</v>
      </c>
      <c r="S42" s="4132"/>
      <c r="T42" s="4132" t="e">
        <f>IF(F1="售价",ROUND(PRODUCT(T41,AB7:AB40),0),ROUND(PRODUCT(T41,AB7:AB40),1))</f>
        <v>#DIV/0!</v>
      </c>
      <c r="U42" s="4132"/>
      <c r="V42" s="4132" t="e">
        <f>IF(F1="售价",ROUND(PRODUCT(V41,AC7:AC40),0),ROUND(PRODUCT(V41,AC7:AC40),1))</f>
        <v>#DIV/0!</v>
      </c>
      <c r="W42" s="4132"/>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35" t="str">
        <f>A43</f>
        <v>估价对象XX用房的比较价格（楼面单价，元/平方米）</v>
      </c>
      <c r="Q43" s="4036"/>
      <c r="R43" s="4131" t="e">
        <f>IF(F1="售价",ROUND(AVERAGE(R42:V42),0),ROUND(AVERAGE(R42:V42),1))</f>
        <v>#DIV/0!</v>
      </c>
      <c r="S43" s="4131"/>
      <c r="T43" s="4131"/>
      <c r="U43" s="4131"/>
      <c r="V43" s="4131"/>
      <c r="W43" s="413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111281.46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根据《国有土地使用证》[]，估价对象（分摊）出让国有建设用地使用权面积为20122.04平方米。根据《建设工程规划许可证》[]、《出让合同》[]，估价对象规划建筑面积为111281.46平方米。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44" t="s">
        <v>798</v>
      </c>
      <c r="D4" s="4045"/>
      <c r="E4" s="4044" t="s">
        <v>799</v>
      </c>
      <c r="F4" s="4045"/>
      <c r="G4" s="4044" t="s">
        <v>800</v>
      </c>
      <c r="H4" s="4045"/>
      <c r="I4" s="4044" t="s">
        <v>801</v>
      </c>
      <c r="J4" s="4045"/>
      <c r="K4" s="513" t="s">
        <v>802</v>
      </c>
      <c r="L4" s="2117"/>
      <c r="M4" s="2118"/>
      <c r="N4" s="2118"/>
      <c r="O4" s="2118"/>
      <c r="P4" s="4046" t="s">
        <v>803</v>
      </c>
      <c r="Q4" s="4047"/>
      <c r="R4" s="4052" t="s">
        <v>799</v>
      </c>
      <c r="S4" s="4053"/>
      <c r="T4" s="4052" t="s">
        <v>800</v>
      </c>
      <c r="U4" s="4053"/>
      <c r="V4" s="4039" t="s">
        <v>801</v>
      </c>
      <c r="W4" s="4039"/>
      <c r="X4" s="1552"/>
      <c r="Y4" s="4052" t="s">
        <v>803</v>
      </c>
      <c r="Z4" s="4053"/>
      <c r="AA4" s="4041" t="s">
        <v>799</v>
      </c>
      <c r="AB4" s="4042" t="s">
        <v>800</v>
      </c>
      <c r="AC4" s="4041" t="s">
        <v>801</v>
      </c>
    </row>
    <row r="5" spans="1:29" ht="15">
      <c r="A5" s="514"/>
      <c r="B5" s="515"/>
      <c r="C5" s="4060" t="s">
        <v>2926</v>
      </c>
      <c r="D5" s="4061"/>
      <c r="E5" s="4060" t="s">
        <v>2927</v>
      </c>
      <c r="F5" s="4061"/>
      <c r="G5" s="4060" t="s">
        <v>2928</v>
      </c>
      <c r="H5" s="4061"/>
      <c r="I5" s="4060" t="s">
        <v>2929</v>
      </c>
      <c r="J5" s="4061"/>
      <c r="K5" s="513"/>
      <c r="L5" s="2117"/>
      <c r="M5" s="2118"/>
      <c r="N5" s="2118"/>
      <c r="O5" s="2118"/>
      <c r="P5" s="4048"/>
      <c r="Q5" s="4049"/>
      <c r="R5" s="4054"/>
      <c r="S5" s="4055"/>
      <c r="T5" s="4054"/>
      <c r="U5" s="4055"/>
      <c r="V5" s="4039"/>
      <c r="W5" s="4039"/>
      <c r="X5" s="1552"/>
      <c r="Y5" s="4054"/>
      <c r="Z5" s="4055"/>
      <c r="AA5" s="4042"/>
      <c r="AB5" s="4042"/>
      <c r="AC5" s="4042"/>
    </row>
    <row r="6" spans="1:29" ht="15.75" thickBot="1">
      <c r="A6" s="516"/>
      <c r="B6" s="517"/>
      <c r="C6" s="4058" t="s">
        <v>2930</v>
      </c>
      <c r="D6" s="4059"/>
      <c r="E6" s="4062" t="s">
        <v>2930</v>
      </c>
      <c r="F6" s="4063"/>
      <c r="G6" s="4058" t="s">
        <v>2930</v>
      </c>
      <c r="H6" s="4059"/>
      <c r="I6" s="4058" t="s">
        <v>2930</v>
      </c>
      <c r="J6" s="4059"/>
      <c r="K6" s="513" t="s">
        <v>528</v>
      </c>
      <c r="L6" s="2117"/>
      <c r="M6" s="2118"/>
      <c r="N6" s="2118"/>
      <c r="O6" s="2118"/>
      <c r="P6" s="4050"/>
      <c r="Q6" s="4051"/>
      <c r="R6" s="4054"/>
      <c r="S6" s="4055"/>
      <c r="T6" s="4056"/>
      <c r="U6" s="4057"/>
      <c r="V6" s="4039"/>
      <c r="W6" s="4039"/>
      <c r="X6" s="1552"/>
      <c r="Y6" s="4056"/>
      <c r="Z6" s="4057"/>
      <c r="AA6" s="4043"/>
      <c r="AB6" s="4043"/>
      <c r="AC6" s="4043"/>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69" t="s">
        <v>530</v>
      </c>
      <c r="Q7" s="4071"/>
      <c r="R7" s="1553" t="s">
        <v>8</v>
      </c>
      <c r="S7" s="1554">
        <f t="shared" ref="S7:S14" si="0">F7</f>
        <v>0</v>
      </c>
      <c r="T7" s="1553" t="s">
        <v>8</v>
      </c>
      <c r="U7" s="1554">
        <f t="shared" ref="U7:U14" si="1">H7</f>
        <v>0</v>
      </c>
      <c r="V7" s="1553" t="s">
        <v>8</v>
      </c>
      <c r="W7" s="1554">
        <f t="shared" ref="W7:W14" si="2">J7</f>
        <v>0</v>
      </c>
      <c r="X7" s="1555"/>
      <c r="Y7" s="4069" t="s">
        <v>530</v>
      </c>
      <c r="Z7" s="4070"/>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69" t="s">
        <v>533</v>
      </c>
      <c r="Q8" s="4070"/>
      <c r="R8" s="1553" t="s">
        <v>8</v>
      </c>
      <c r="S8" s="1554">
        <f t="shared" si="0"/>
        <v>0</v>
      </c>
      <c r="T8" s="1553" t="s">
        <v>8</v>
      </c>
      <c r="U8" s="1554">
        <f t="shared" si="1"/>
        <v>0</v>
      </c>
      <c r="V8" s="1553" t="s">
        <v>8</v>
      </c>
      <c r="W8" s="1554">
        <f t="shared" si="2"/>
        <v>0</v>
      </c>
      <c r="X8" s="1555"/>
      <c r="Y8" s="4069" t="s">
        <v>533</v>
      </c>
      <c r="Z8" s="4070"/>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38" t="s">
        <v>535</v>
      </c>
      <c r="Q9" s="1146" t="str">
        <f t="shared" ref="Q9:Q14" si="6">B9</f>
        <v>用途</v>
      </c>
      <c r="R9" s="1553" t="s">
        <v>8</v>
      </c>
      <c r="S9" s="1554">
        <f t="shared" si="0"/>
        <v>100</v>
      </c>
      <c r="T9" s="1553" t="s">
        <v>8</v>
      </c>
      <c r="U9" s="1554">
        <f t="shared" si="1"/>
        <v>100</v>
      </c>
      <c r="V9" s="1553" t="s">
        <v>8</v>
      </c>
      <c r="W9" s="1554">
        <f t="shared" si="2"/>
        <v>100</v>
      </c>
      <c r="X9" s="1555"/>
      <c r="Y9" s="3984"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38"/>
      <c r="Q10" s="1146" t="str">
        <f t="shared" si="6"/>
        <v>土地使用年限（年）</v>
      </c>
      <c r="R10" s="1553" t="s">
        <v>8</v>
      </c>
      <c r="S10" s="1554">
        <f t="shared" si="0"/>
        <v>100</v>
      </c>
      <c r="T10" s="1553" t="s">
        <v>8</v>
      </c>
      <c r="U10" s="1554">
        <f t="shared" si="1"/>
        <v>100</v>
      </c>
      <c r="V10" s="1553" t="s">
        <v>8</v>
      </c>
      <c r="W10" s="1554">
        <f t="shared" si="2"/>
        <v>100</v>
      </c>
      <c r="X10" s="1555"/>
      <c r="Y10" s="3984"/>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38"/>
      <c r="Q11" s="1146">
        <f t="shared" si="6"/>
        <v>111</v>
      </c>
      <c r="R11" s="1553" t="s">
        <v>8</v>
      </c>
      <c r="S11" s="1554">
        <f t="shared" si="0"/>
        <v>100</v>
      </c>
      <c r="T11" s="1553" t="s">
        <v>8</v>
      </c>
      <c r="U11" s="1554">
        <f t="shared" si="1"/>
        <v>100</v>
      </c>
      <c r="V11" s="1553" t="s">
        <v>8</v>
      </c>
      <c r="W11" s="1554">
        <f t="shared" si="2"/>
        <v>100</v>
      </c>
      <c r="X11" s="1555"/>
      <c r="Y11" s="3984"/>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38"/>
      <c r="Q12" s="1146">
        <f t="shared" si="6"/>
        <v>111</v>
      </c>
      <c r="R12" s="1553" t="s">
        <v>8</v>
      </c>
      <c r="S12" s="1554">
        <f t="shared" si="0"/>
        <v>100</v>
      </c>
      <c r="T12" s="1553" t="s">
        <v>8</v>
      </c>
      <c r="U12" s="1554">
        <f t="shared" si="1"/>
        <v>100</v>
      </c>
      <c r="V12" s="1553" t="s">
        <v>8</v>
      </c>
      <c r="W12" s="1554">
        <f t="shared" si="2"/>
        <v>100</v>
      </c>
      <c r="X12" s="1555"/>
      <c r="Y12" s="3984"/>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38"/>
      <c r="Q13" s="1146">
        <f t="shared" si="6"/>
        <v>111</v>
      </c>
      <c r="R13" s="1553" t="s">
        <v>8</v>
      </c>
      <c r="S13" s="1554">
        <f t="shared" si="0"/>
        <v>100</v>
      </c>
      <c r="T13" s="1553" t="s">
        <v>8</v>
      </c>
      <c r="U13" s="1554">
        <f t="shared" si="1"/>
        <v>100</v>
      </c>
      <c r="V13" s="1553" t="s">
        <v>8</v>
      </c>
      <c r="W13" s="1554">
        <f t="shared" si="2"/>
        <v>100</v>
      </c>
      <c r="X13" s="1555"/>
      <c r="Y13" s="3984"/>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72" t="s">
        <v>540</v>
      </c>
      <c r="Q14" s="1557" t="str">
        <f t="shared" si="6"/>
        <v>交通便捷度</v>
      </c>
      <c r="R14" s="1558" t="s">
        <v>8</v>
      </c>
      <c r="S14" s="1559">
        <f t="shared" si="0"/>
        <v>100</v>
      </c>
      <c r="T14" s="1558" t="s">
        <v>8</v>
      </c>
      <c r="U14" s="1559">
        <f t="shared" si="1"/>
        <v>100</v>
      </c>
      <c r="V14" s="1558" t="s">
        <v>8</v>
      </c>
      <c r="W14" s="1559">
        <f t="shared" si="2"/>
        <v>100</v>
      </c>
      <c r="X14" s="1552"/>
      <c r="Y14" s="4072"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73"/>
      <c r="Q15" s="1557"/>
      <c r="R15" s="1558"/>
      <c r="S15" s="1559"/>
      <c r="T15" s="1558"/>
      <c r="U15" s="1559"/>
      <c r="V15" s="1558"/>
      <c r="W15" s="1559"/>
      <c r="X15" s="1552"/>
      <c r="Y15" s="4073"/>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73"/>
      <c r="Q16" s="1557" t="str">
        <f>B16</f>
        <v>公共配套设施</v>
      </c>
      <c r="R16" s="1558" t="s">
        <v>8</v>
      </c>
      <c r="S16" s="1559">
        <f>F16</f>
        <v>100</v>
      </c>
      <c r="T16" s="1558" t="s">
        <v>8</v>
      </c>
      <c r="U16" s="1559">
        <f>H16</f>
        <v>100</v>
      </c>
      <c r="V16" s="1558" t="s">
        <v>8</v>
      </c>
      <c r="W16" s="1559">
        <f>J16</f>
        <v>100</v>
      </c>
      <c r="X16" s="1552"/>
      <c r="Y16" s="4073"/>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73"/>
      <c r="Q17" s="1557"/>
      <c r="R17" s="1558"/>
      <c r="S17" s="1559"/>
      <c r="T17" s="1558"/>
      <c r="U17" s="1559"/>
      <c r="V17" s="1558"/>
      <c r="W17" s="1559"/>
      <c r="X17" s="1552"/>
      <c r="Y17" s="4073"/>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73"/>
      <c r="Q18" s="2542" t="str">
        <f>B18</f>
        <v>基础设施水平</v>
      </c>
      <c r="R18" s="1558" t="s">
        <v>8</v>
      </c>
      <c r="S18" s="1559">
        <f>F18</f>
        <v>100</v>
      </c>
      <c r="T18" s="1558" t="s">
        <v>8</v>
      </c>
      <c r="U18" s="1559">
        <f>H18</f>
        <v>100</v>
      </c>
      <c r="V18" s="1558" t="s">
        <v>8</v>
      </c>
      <c r="W18" s="1559">
        <f>J18</f>
        <v>100</v>
      </c>
      <c r="X18" s="2544"/>
      <c r="Y18" s="4073"/>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73"/>
      <c r="Q19" s="2542"/>
      <c r="R19" s="1558"/>
      <c r="S19" s="1559"/>
      <c r="T19" s="1558"/>
      <c r="U19" s="1559"/>
      <c r="V19" s="1558"/>
      <c r="W19" s="1559"/>
      <c r="X19" s="2544"/>
      <c r="Y19" s="4073"/>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73"/>
      <c r="Q20" s="1557" t="str">
        <f>B20</f>
        <v>自然及人文环境</v>
      </c>
      <c r="R20" s="1558" t="s">
        <v>8</v>
      </c>
      <c r="S20" s="1559">
        <f>F20</f>
        <v>100</v>
      </c>
      <c r="T20" s="1558" t="s">
        <v>8</v>
      </c>
      <c r="U20" s="1559">
        <f>H20</f>
        <v>100</v>
      </c>
      <c r="V20" s="1558" t="s">
        <v>8</v>
      </c>
      <c r="W20" s="1559">
        <f>J20</f>
        <v>100</v>
      </c>
      <c r="X20" s="1552"/>
      <c r="Y20" s="4073"/>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73"/>
      <c r="Q21" s="1557"/>
      <c r="R21" s="1558"/>
      <c r="S21" s="1559"/>
      <c r="T21" s="1558"/>
      <c r="U21" s="1559"/>
      <c r="V21" s="1558"/>
      <c r="W21" s="1559"/>
      <c r="X21" s="1552"/>
      <c r="Y21" s="4073"/>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73"/>
      <c r="Q22" s="1557" t="str">
        <f>B22</f>
        <v>楼层</v>
      </c>
      <c r="R22" s="1558" t="s">
        <v>8</v>
      </c>
      <c r="S22" s="1559">
        <f>F22</f>
        <v>100</v>
      </c>
      <c r="T22" s="1558" t="s">
        <v>8</v>
      </c>
      <c r="U22" s="1559">
        <f>H22</f>
        <v>100</v>
      </c>
      <c r="V22" s="1558" t="s">
        <v>8</v>
      </c>
      <c r="W22" s="1559">
        <f>J22</f>
        <v>100</v>
      </c>
      <c r="X22" s="1552"/>
      <c r="Y22" s="4073"/>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73"/>
      <c r="Q23" s="1557">
        <f>B23</f>
        <v>111</v>
      </c>
      <c r="R23" s="1558" t="s">
        <v>8</v>
      </c>
      <c r="S23" s="1559">
        <f>F23</f>
        <v>100</v>
      </c>
      <c r="T23" s="1558" t="s">
        <v>8</v>
      </c>
      <c r="U23" s="1559">
        <f>H23</f>
        <v>100</v>
      </c>
      <c r="V23" s="1558" t="s">
        <v>8</v>
      </c>
      <c r="W23" s="1559">
        <f>J23</f>
        <v>100</v>
      </c>
      <c r="X23" s="1552"/>
      <c r="Y23" s="4073"/>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73"/>
      <c r="Q24" s="1557">
        <f t="shared" ref="Q24:Q36" si="11">B24</f>
        <v>111</v>
      </c>
      <c r="R24" s="1558" t="s">
        <v>8</v>
      </c>
      <c r="S24" s="1559">
        <f>F24</f>
        <v>100</v>
      </c>
      <c r="T24" s="1558" t="s">
        <v>8</v>
      </c>
      <c r="U24" s="1559">
        <f>H24</f>
        <v>100</v>
      </c>
      <c r="V24" s="1558" t="s">
        <v>8</v>
      </c>
      <c r="W24" s="1559">
        <f>J24</f>
        <v>100</v>
      </c>
      <c r="X24" s="1552"/>
      <c r="Y24" s="4073"/>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73"/>
      <c r="Q25" s="1146">
        <f t="shared" si="11"/>
        <v>111</v>
      </c>
      <c r="R25" s="1553" t="s">
        <v>8</v>
      </c>
      <c r="S25" s="1554">
        <f>F25</f>
        <v>100</v>
      </c>
      <c r="T25" s="1553" t="s">
        <v>8</v>
      </c>
      <c r="U25" s="1554">
        <f>H25</f>
        <v>100</v>
      </c>
      <c r="V25" s="1553" t="s">
        <v>8</v>
      </c>
      <c r="W25" s="1554">
        <f>J25</f>
        <v>100</v>
      </c>
      <c r="X25" s="1555"/>
      <c r="Y25" s="4073"/>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7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75"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75"/>
      <c r="Q27" s="1589" t="str">
        <f t="shared" si="11"/>
        <v>项目停车位配比</v>
      </c>
      <c r="R27" s="1562" t="s">
        <v>8</v>
      </c>
      <c r="S27" s="1563">
        <f t="shared" si="12"/>
        <v>100</v>
      </c>
      <c r="T27" s="1562" t="s">
        <v>8</v>
      </c>
      <c r="U27" s="1563">
        <f t="shared" si="13"/>
        <v>100</v>
      </c>
      <c r="V27" s="1562" t="s">
        <v>8</v>
      </c>
      <c r="W27" s="1563">
        <f t="shared" si="14"/>
        <v>100</v>
      </c>
      <c r="X27" s="1564"/>
      <c r="Y27" s="4075"/>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75"/>
      <c r="Q28" s="1557" t="str">
        <f t="shared" si="11"/>
        <v>公共部分装修</v>
      </c>
      <c r="R28" s="1558" t="s">
        <v>8</v>
      </c>
      <c r="S28" s="1559">
        <f t="shared" si="12"/>
        <v>100</v>
      </c>
      <c r="T28" s="1558" t="s">
        <v>8</v>
      </c>
      <c r="U28" s="1559">
        <f t="shared" si="13"/>
        <v>100</v>
      </c>
      <c r="V28" s="1558" t="s">
        <v>8</v>
      </c>
      <c r="W28" s="1559">
        <f t="shared" si="14"/>
        <v>100</v>
      </c>
      <c r="X28" s="1552"/>
      <c r="Y28" s="4075"/>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75"/>
      <c r="Q29" s="1557" t="str">
        <f t="shared" si="11"/>
        <v>成新率</v>
      </c>
      <c r="R29" s="1558" t="s">
        <v>8</v>
      </c>
      <c r="S29" s="1559" t="e">
        <f t="shared" si="12"/>
        <v>#N/A</v>
      </c>
      <c r="T29" s="1558" t="s">
        <v>8</v>
      </c>
      <c r="U29" s="1559" t="e">
        <f t="shared" si="13"/>
        <v>#N/A</v>
      </c>
      <c r="V29" s="1558" t="s">
        <v>8</v>
      </c>
      <c r="W29" s="1559" t="e">
        <f t="shared" si="14"/>
        <v>#N/A</v>
      </c>
      <c r="X29" s="1552"/>
      <c r="Y29" s="4075"/>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75"/>
      <c r="Q30" s="1557" t="str">
        <f t="shared" si="11"/>
        <v>物业等级</v>
      </c>
      <c r="R30" s="1558" t="s">
        <v>8</v>
      </c>
      <c r="S30" s="1559">
        <f t="shared" si="12"/>
        <v>100</v>
      </c>
      <c r="T30" s="1558" t="s">
        <v>8</v>
      </c>
      <c r="U30" s="1559">
        <f t="shared" si="13"/>
        <v>100</v>
      </c>
      <c r="V30" s="1558" t="s">
        <v>8</v>
      </c>
      <c r="W30" s="1559">
        <f t="shared" si="14"/>
        <v>100</v>
      </c>
      <c r="X30" s="1552"/>
      <c r="Y30" s="4075"/>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75"/>
      <c r="Q31" s="1146" t="str">
        <f t="shared" si="11"/>
        <v>停车位面积</v>
      </c>
      <c r="R31" s="1553" t="s">
        <v>8</v>
      </c>
      <c r="S31" s="1554" t="e">
        <f t="shared" si="12"/>
        <v>#N/A</v>
      </c>
      <c r="T31" s="1553" t="s">
        <v>8</v>
      </c>
      <c r="U31" s="1554" t="e">
        <f t="shared" si="13"/>
        <v>#N/A</v>
      </c>
      <c r="V31" s="1553" t="s">
        <v>8</v>
      </c>
      <c r="W31" s="1554" t="e">
        <f t="shared" si="14"/>
        <v>#N/A</v>
      </c>
      <c r="X31" s="1555"/>
      <c r="Y31" s="4075"/>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75" t="s">
        <v>550</v>
      </c>
      <c r="Q32" s="1557" t="str">
        <f t="shared" si="11"/>
        <v>车位类型</v>
      </c>
      <c r="R32" s="1558" t="s">
        <v>8</v>
      </c>
      <c r="S32" s="1559">
        <f t="shared" si="12"/>
        <v>100</v>
      </c>
      <c r="T32" s="1558" t="s">
        <v>8</v>
      </c>
      <c r="U32" s="1559">
        <f t="shared" si="13"/>
        <v>100</v>
      </c>
      <c r="V32" s="1558" t="s">
        <v>8</v>
      </c>
      <c r="W32" s="1559">
        <f t="shared" si="14"/>
        <v>100</v>
      </c>
      <c r="X32" s="1552"/>
      <c r="Y32" s="4075"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75"/>
      <c r="Q33" s="1557" t="str">
        <f t="shared" si="11"/>
        <v>是否直接入户</v>
      </c>
      <c r="R33" s="1558" t="s">
        <v>8</v>
      </c>
      <c r="S33" s="1559">
        <f t="shared" si="12"/>
        <v>100</v>
      </c>
      <c r="T33" s="1558" t="s">
        <v>8</v>
      </c>
      <c r="U33" s="1559">
        <f t="shared" si="13"/>
        <v>100</v>
      </c>
      <c r="V33" s="1558" t="s">
        <v>8</v>
      </c>
      <c r="W33" s="1559">
        <f t="shared" si="14"/>
        <v>100</v>
      </c>
      <c r="X33" s="1552"/>
      <c r="Y33" s="4075"/>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75"/>
      <c r="Q34" s="1557">
        <f t="shared" si="11"/>
        <v>111</v>
      </c>
      <c r="R34" s="1558" t="s">
        <v>8</v>
      </c>
      <c r="S34" s="1559">
        <f t="shared" si="12"/>
        <v>100</v>
      </c>
      <c r="T34" s="1558" t="s">
        <v>8</v>
      </c>
      <c r="U34" s="1559">
        <f t="shared" si="13"/>
        <v>100</v>
      </c>
      <c r="V34" s="1558" t="s">
        <v>8</v>
      </c>
      <c r="W34" s="1559">
        <f t="shared" si="14"/>
        <v>100</v>
      </c>
      <c r="X34" s="1552"/>
      <c r="Y34" s="4075"/>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75"/>
      <c r="Q35" s="1589">
        <f t="shared" si="11"/>
        <v>111</v>
      </c>
      <c r="R35" s="1562" t="s">
        <v>8</v>
      </c>
      <c r="S35" s="1563">
        <f t="shared" si="12"/>
        <v>100</v>
      </c>
      <c r="T35" s="1562" t="s">
        <v>8</v>
      </c>
      <c r="U35" s="1563">
        <f t="shared" si="13"/>
        <v>100</v>
      </c>
      <c r="V35" s="1562" t="s">
        <v>8</v>
      </c>
      <c r="W35" s="1563">
        <f t="shared" si="14"/>
        <v>100</v>
      </c>
      <c r="X35" s="1564"/>
      <c r="Y35" s="4075"/>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75"/>
      <c r="Q36" s="1557">
        <f t="shared" si="11"/>
        <v>111</v>
      </c>
      <c r="R36" s="1558" t="s">
        <v>8</v>
      </c>
      <c r="S36" s="1559">
        <f t="shared" si="12"/>
        <v>100</v>
      </c>
      <c r="T36" s="1558" t="s">
        <v>8</v>
      </c>
      <c r="U36" s="1559">
        <f t="shared" si="13"/>
        <v>100</v>
      </c>
      <c r="V36" s="1558" t="s">
        <v>8</v>
      </c>
      <c r="W36" s="1559">
        <f t="shared" si="14"/>
        <v>100</v>
      </c>
      <c r="X36" s="1552"/>
      <c r="Y36" s="4075"/>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38" t="str">
        <f>A37</f>
        <v>成交单价</v>
      </c>
      <c r="Q37" s="4038"/>
      <c r="R37" s="4132">
        <f>E37</f>
        <v>0</v>
      </c>
      <c r="S37" s="4132"/>
      <c r="T37" s="4132">
        <f>G37</f>
        <v>0</v>
      </c>
      <c r="U37" s="4132"/>
      <c r="V37" s="4132">
        <f>I37</f>
        <v>0</v>
      </c>
      <c r="W37" s="4132"/>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38" t="str">
        <f>A38</f>
        <v>比较价格（元/平方米）</v>
      </c>
      <c r="Q38" s="4038"/>
      <c r="R38" s="4132" t="e">
        <f>IF(F1="售价",ROUND(PRODUCT(R37,AA7:AA36),0),ROUND(PRODUCT(R37,AA7:AA36),1))</f>
        <v>#DIV/0!</v>
      </c>
      <c r="S38" s="4132"/>
      <c r="T38" s="4132" t="e">
        <f>IF(F1="售价",ROUND(PRODUCT(T37,AB7:AB36),0),ROUND(PRODUCT(T37,AB7:AB36),1))</f>
        <v>#DIV/0!</v>
      </c>
      <c r="U38" s="4132"/>
      <c r="V38" s="4132" t="e">
        <f>IF(F1="售价",ROUND(PRODUCT(V37,AC7:AC36),0),ROUND(PRODUCT(V37,AC7:AC36),1))</f>
        <v>#DIV/0!</v>
      </c>
      <c r="W38" s="4132"/>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35" t="str">
        <f>A39</f>
        <v>估价对象XX用房的比较价格（楼面单价，元/平方米）</v>
      </c>
      <c r="Q39" s="4036"/>
      <c r="R39" s="4131" t="e">
        <f>IF(F1="售价",ROUND(AVERAGE(R38:V38),0),ROUND(AVERAGE(R38:V38),1))</f>
        <v>#DIV/0!</v>
      </c>
      <c r="S39" s="4131"/>
      <c r="T39" s="4131"/>
      <c r="U39" s="4131"/>
      <c r="V39" s="4131"/>
      <c r="W39" s="413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44" t="s">
        <v>798</v>
      </c>
      <c r="D4" s="4045"/>
      <c r="E4" s="4078" t="s">
        <v>799</v>
      </c>
      <c r="F4" s="4079"/>
      <c r="G4" s="4044" t="s">
        <v>800</v>
      </c>
      <c r="H4" s="4045"/>
      <c r="I4" s="4044" t="s">
        <v>801</v>
      </c>
      <c r="J4" s="4045"/>
      <c r="K4" s="513" t="s">
        <v>802</v>
      </c>
      <c r="L4" s="2117"/>
      <c r="M4" s="2118"/>
      <c r="N4" s="2118"/>
      <c r="O4" s="2118"/>
      <c r="P4" s="4046" t="s">
        <v>803</v>
      </c>
      <c r="Q4" s="4047"/>
      <c r="R4" s="4052" t="s">
        <v>799</v>
      </c>
      <c r="S4" s="4053"/>
      <c r="T4" s="4052" t="s">
        <v>800</v>
      </c>
      <c r="U4" s="4053"/>
      <c r="V4" s="4039" t="s">
        <v>801</v>
      </c>
      <c r="W4" s="4039"/>
      <c r="X4" s="1552"/>
      <c r="Y4" s="4052" t="s">
        <v>803</v>
      </c>
      <c r="Z4" s="4053"/>
      <c r="AA4" s="4041" t="s">
        <v>799</v>
      </c>
      <c r="AB4" s="4042" t="s">
        <v>800</v>
      </c>
      <c r="AC4" s="4041" t="s">
        <v>801</v>
      </c>
    </row>
    <row r="5" spans="1:29" ht="15">
      <c r="A5" s="514"/>
      <c r="B5" s="515"/>
      <c r="C5" s="4060" t="s">
        <v>2926</v>
      </c>
      <c r="D5" s="4061"/>
      <c r="E5" s="4080" t="s">
        <v>2927</v>
      </c>
      <c r="F5" s="4081"/>
      <c r="G5" s="4060" t="s">
        <v>2928</v>
      </c>
      <c r="H5" s="4061"/>
      <c r="I5" s="4060" t="s">
        <v>2929</v>
      </c>
      <c r="J5" s="4061"/>
      <c r="K5" s="513"/>
      <c r="L5" s="2117"/>
      <c r="M5" s="2118"/>
      <c r="N5" s="2118"/>
      <c r="O5" s="2118"/>
      <c r="P5" s="4048"/>
      <c r="Q5" s="4049"/>
      <c r="R5" s="4054"/>
      <c r="S5" s="4055"/>
      <c r="T5" s="4054"/>
      <c r="U5" s="4055"/>
      <c r="V5" s="4039"/>
      <c r="W5" s="4039"/>
      <c r="X5" s="1552"/>
      <c r="Y5" s="4054"/>
      <c r="Z5" s="4055"/>
      <c r="AA5" s="4042"/>
      <c r="AB5" s="4042"/>
      <c r="AC5" s="4042"/>
    </row>
    <row r="6" spans="1:29" ht="15.75" thickBot="1">
      <c r="A6" s="516"/>
      <c r="B6" s="517"/>
      <c r="C6" s="4058" t="s">
        <v>2930</v>
      </c>
      <c r="D6" s="4059"/>
      <c r="E6" s="4076" t="s">
        <v>2930</v>
      </c>
      <c r="F6" s="4077"/>
      <c r="G6" s="4058" t="s">
        <v>2930</v>
      </c>
      <c r="H6" s="4059"/>
      <c r="I6" s="4058" t="s">
        <v>2930</v>
      </c>
      <c r="J6" s="4059"/>
      <c r="K6" s="513" t="s">
        <v>528</v>
      </c>
      <c r="L6" s="2117"/>
      <c r="M6" s="2118"/>
      <c r="N6" s="2118"/>
      <c r="O6" s="2118"/>
      <c r="P6" s="4050"/>
      <c r="Q6" s="4051"/>
      <c r="R6" s="4054"/>
      <c r="S6" s="4055"/>
      <c r="T6" s="4056"/>
      <c r="U6" s="4057"/>
      <c r="V6" s="4039"/>
      <c r="W6" s="4039"/>
      <c r="X6" s="1552"/>
      <c r="Y6" s="4056"/>
      <c r="Z6" s="4057"/>
      <c r="AA6" s="4043"/>
      <c r="AB6" s="4043"/>
      <c r="AC6" s="4043"/>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69" t="s">
        <v>530</v>
      </c>
      <c r="Q7" s="4071"/>
      <c r="R7" s="1553" t="s">
        <v>8</v>
      </c>
      <c r="S7" s="1554">
        <f t="shared" ref="S7:S14" si="0">F7</f>
        <v>0</v>
      </c>
      <c r="T7" s="1553" t="s">
        <v>8</v>
      </c>
      <c r="U7" s="1554">
        <f t="shared" ref="U7:U14" si="1">H7</f>
        <v>0</v>
      </c>
      <c r="V7" s="1553" t="s">
        <v>8</v>
      </c>
      <c r="W7" s="1554">
        <f t="shared" ref="W7:W14" si="2">J7</f>
        <v>0</v>
      </c>
      <c r="X7" s="1555"/>
      <c r="Y7" s="4069" t="s">
        <v>530</v>
      </c>
      <c r="Z7" s="4070"/>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69" t="s">
        <v>533</v>
      </c>
      <c r="Q8" s="4070"/>
      <c r="R8" s="1553" t="s">
        <v>8</v>
      </c>
      <c r="S8" s="1554">
        <f t="shared" si="0"/>
        <v>0</v>
      </c>
      <c r="T8" s="1553" t="s">
        <v>8</v>
      </c>
      <c r="U8" s="1554">
        <f t="shared" si="1"/>
        <v>0</v>
      </c>
      <c r="V8" s="1553" t="s">
        <v>8</v>
      </c>
      <c r="W8" s="1554">
        <f t="shared" si="2"/>
        <v>0</v>
      </c>
      <c r="X8" s="1555"/>
      <c r="Y8" s="4069" t="s">
        <v>533</v>
      </c>
      <c r="Z8" s="4070"/>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38" t="s">
        <v>535</v>
      </c>
      <c r="Q9" s="1146" t="str">
        <f t="shared" ref="Q9:Q14" si="6">B9</f>
        <v>用途</v>
      </c>
      <c r="R9" s="1553" t="s">
        <v>8</v>
      </c>
      <c r="S9" s="1554">
        <f t="shared" si="0"/>
        <v>100</v>
      </c>
      <c r="T9" s="1553" t="s">
        <v>8</v>
      </c>
      <c r="U9" s="1554">
        <f t="shared" si="1"/>
        <v>100</v>
      </c>
      <c r="V9" s="1553" t="s">
        <v>8</v>
      </c>
      <c r="W9" s="1554">
        <f t="shared" si="2"/>
        <v>100</v>
      </c>
      <c r="X9" s="1555"/>
      <c r="Y9" s="3984"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38"/>
      <c r="Q10" s="1146" t="str">
        <f t="shared" si="6"/>
        <v>土地使用年限（年）</v>
      </c>
      <c r="R10" s="1553" t="s">
        <v>8</v>
      </c>
      <c r="S10" s="1554">
        <f t="shared" si="0"/>
        <v>100</v>
      </c>
      <c r="T10" s="1553" t="s">
        <v>8</v>
      </c>
      <c r="U10" s="1554">
        <f t="shared" si="1"/>
        <v>100</v>
      </c>
      <c r="V10" s="1553" t="s">
        <v>8</v>
      </c>
      <c r="W10" s="1554">
        <f t="shared" si="2"/>
        <v>100</v>
      </c>
      <c r="X10" s="1555"/>
      <c r="Y10" s="3984"/>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38"/>
      <c r="Q11" s="1146">
        <f t="shared" si="6"/>
        <v>111</v>
      </c>
      <c r="R11" s="1553" t="s">
        <v>8</v>
      </c>
      <c r="S11" s="1554">
        <f t="shared" si="0"/>
        <v>100</v>
      </c>
      <c r="T11" s="1553" t="s">
        <v>8</v>
      </c>
      <c r="U11" s="1554">
        <f t="shared" si="1"/>
        <v>100</v>
      </c>
      <c r="V11" s="1553" t="s">
        <v>8</v>
      </c>
      <c r="W11" s="1554">
        <f t="shared" si="2"/>
        <v>100</v>
      </c>
      <c r="X11" s="1555"/>
      <c r="Y11" s="3984"/>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38"/>
      <c r="Q12" s="1146">
        <f t="shared" si="6"/>
        <v>111</v>
      </c>
      <c r="R12" s="1553" t="s">
        <v>8</v>
      </c>
      <c r="S12" s="1554">
        <f t="shared" si="0"/>
        <v>100</v>
      </c>
      <c r="T12" s="1553" t="s">
        <v>8</v>
      </c>
      <c r="U12" s="1554">
        <f t="shared" si="1"/>
        <v>100</v>
      </c>
      <c r="V12" s="1553" t="s">
        <v>8</v>
      </c>
      <c r="W12" s="1554">
        <f t="shared" si="2"/>
        <v>100</v>
      </c>
      <c r="X12" s="1555"/>
      <c r="Y12" s="3984"/>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38"/>
      <c r="Q13" s="1146">
        <f t="shared" si="6"/>
        <v>111</v>
      </c>
      <c r="R13" s="1553" t="s">
        <v>8</v>
      </c>
      <c r="S13" s="1554">
        <f t="shared" si="0"/>
        <v>100</v>
      </c>
      <c r="T13" s="1553" t="s">
        <v>8</v>
      </c>
      <c r="U13" s="1554">
        <f t="shared" si="1"/>
        <v>100</v>
      </c>
      <c r="V13" s="1553" t="s">
        <v>8</v>
      </c>
      <c r="W13" s="1554">
        <f t="shared" si="2"/>
        <v>100</v>
      </c>
      <c r="X13" s="1555"/>
      <c r="Y13" s="3984"/>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72" t="s">
        <v>540</v>
      </c>
      <c r="Q14" s="1557" t="str">
        <f t="shared" si="6"/>
        <v>交通便捷度</v>
      </c>
      <c r="R14" s="1558" t="s">
        <v>8</v>
      </c>
      <c r="S14" s="1559">
        <f t="shared" si="0"/>
        <v>100</v>
      </c>
      <c r="T14" s="1558" t="s">
        <v>8</v>
      </c>
      <c r="U14" s="1559">
        <f t="shared" si="1"/>
        <v>100</v>
      </c>
      <c r="V14" s="1558" t="s">
        <v>8</v>
      </c>
      <c r="W14" s="1559">
        <f t="shared" si="2"/>
        <v>100</v>
      </c>
      <c r="X14" s="1552"/>
      <c r="Y14" s="4072"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73"/>
      <c r="Q15" s="1557"/>
      <c r="R15" s="1558"/>
      <c r="S15" s="1559"/>
      <c r="T15" s="1558"/>
      <c r="U15" s="1559"/>
      <c r="V15" s="1558"/>
      <c r="W15" s="1559"/>
      <c r="X15" s="1552"/>
      <c r="Y15" s="4073"/>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73"/>
      <c r="Q16" s="1557" t="str">
        <f>B16</f>
        <v>公共配套设施</v>
      </c>
      <c r="R16" s="1558" t="s">
        <v>8</v>
      </c>
      <c r="S16" s="1559">
        <f>F16</f>
        <v>100</v>
      </c>
      <c r="T16" s="1558" t="s">
        <v>8</v>
      </c>
      <c r="U16" s="1559">
        <f>H16</f>
        <v>100</v>
      </c>
      <c r="V16" s="1558" t="s">
        <v>8</v>
      </c>
      <c r="W16" s="1559">
        <f>J16</f>
        <v>100</v>
      </c>
      <c r="X16" s="1552"/>
      <c r="Y16" s="4073"/>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73"/>
      <c r="Q17" s="1557"/>
      <c r="R17" s="1558"/>
      <c r="S17" s="1559"/>
      <c r="T17" s="1558"/>
      <c r="U17" s="1559"/>
      <c r="V17" s="1558"/>
      <c r="W17" s="1559"/>
      <c r="X17" s="1552"/>
      <c r="Y17" s="4073"/>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73"/>
      <c r="Q18" s="2542" t="str">
        <f>B18</f>
        <v>基础设施水平</v>
      </c>
      <c r="R18" s="1558" t="s">
        <v>8</v>
      </c>
      <c r="S18" s="1559">
        <f>F18</f>
        <v>100</v>
      </c>
      <c r="T18" s="1558" t="s">
        <v>8</v>
      </c>
      <c r="U18" s="1559">
        <f>H18</f>
        <v>100</v>
      </c>
      <c r="V18" s="1558" t="s">
        <v>8</v>
      </c>
      <c r="W18" s="1559">
        <f>J18</f>
        <v>100</v>
      </c>
      <c r="X18" s="2544"/>
      <c r="Y18" s="4073"/>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73"/>
      <c r="Q19" s="2542"/>
      <c r="R19" s="1558"/>
      <c r="S19" s="1559"/>
      <c r="T19" s="1558"/>
      <c r="U19" s="1559"/>
      <c r="V19" s="1558"/>
      <c r="W19" s="1559"/>
      <c r="X19" s="2544"/>
      <c r="Y19" s="4073"/>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73"/>
      <c r="Q20" s="1557" t="str">
        <f>B20</f>
        <v>自然及人文环境</v>
      </c>
      <c r="R20" s="1558" t="s">
        <v>8</v>
      </c>
      <c r="S20" s="1559">
        <f>F20</f>
        <v>100</v>
      </c>
      <c r="T20" s="1558" t="s">
        <v>8</v>
      </c>
      <c r="U20" s="1559">
        <f>H20</f>
        <v>100</v>
      </c>
      <c r="V20" s="1558" t="s">
        <v>8</v>
      </c>
      <c r="W20" s="1559">
        <f>J20</f>
        <v>100</v>
      </c>
      <c r="X20" s="1552"/>
      <c r="Y20" s="4073"/>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73"/>
      <c r="Q21" s="1557"/>
      <c r="R21" s="1558"/>
      <c r="S21" s="1559"/>
      <c r="T21" s="1558"/>
      <c r="U21" s="1559"/>
      <c r="V21" s="1558"/>
      <c r="W21" s="1559"/>
      <c r="X21" s="1552"/>
      <c r="Y21" s="4073"/>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73"/>
      <c r="Q22" s="1557" t="str">
        <f>B22</f>
        <v>楼层</v>
      </c>
      <c r="R22" s="1558" t="s">
        <v>8</v>
      </c>
      <c r="S22" s="1559">
        <f>F22</f>
        <v>100</v>
      </c>
      <c r="T22" s="1558" t="s">
        <v>8</v>
      </c>
      <c r="U22" s="1559">
        <f>H22</f>
        <v>100</v>
      </c>
      <c r="V22" s="1558" t="s">
        <v>8</v>
      </c>
      <c r="W22" s="1559">
        <f>J22</f>
        <v>100</v>
      </c>
      <c r="X22" s="1552"/>
      <c r="Y22" s="4073"/>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73"/>
      <c r="Q23" s="1557">
        <f>B23</f>
        <v>111</v>
      </c>
      <c r="R23" s="1558" t="s">
        <v>8</v>
      </c>
      <c r="S23" s="1559">
        <f>F23</f>
        <v>100</v>
      </c>
      <c r="T23" s="1558" t="s">
        <v>8</v>
      </c>
      <c r="U23" s="1559">
        <f>H23</f>
        <v>100</v>
      </c>
      <c r="V23" s="1558" t="s">
        <v>8</v>
      </c>
      <c r="W23" s="1559">
        <f>J23</f>
        <v>100</v>
      </c>
      <c r="X23" s="1552"/>
      <c r="Y23" s="4073"/>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73"/>
      <c r="Q24" s="1557">
        <f t="shared" ref="Q24:Q34" si="11">B24</f>
        <v>111</v>
      </c>
      <c r="R24" s="1558" t="s">
        <v>8</v>
      </c>
      <c r="S24" s="1559">
        <f>F24</f>
        <v>100</v>
      </c>
      <c r="T24" s="1558" t="s">
        <v>8</v>
      </c>
      <c r="U24" s="1559">
        <f>H24</f>
        <v>100</v>
      </c>
      <c r="V24" s="1558" t="s">
        <v>8</v>
      </c>
      <c r="W24" s="1559">
        <f>J24</f>
        <v>100</v>
      </c>
      <c r="X24" s="1552"/>
      <c r="Y24" s="4073"/>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73"/>
      <c r="Q25" s="1146">
        <f t="shared" si="11"/>
        <v>111</v>
      </c>
      <c r="R25" s="1553" t="s">
        <v>8</v>
      </c>
      <c r="S25" s="1554">
        <f>F25</f>
        <v>100</v>
      </c>
      <c r="T25" s="1553" t="s">
        <v>8</v>
      </c>
      <c r="U25" s="1554">
        <f>H25</f>
        <v>100</v>
      </c>
      <c r="V25" s="1553" t="s">
        <v>8</v>
      </c>
      <c r="W25" s="1554">
        <f>J25</f>
        <v>100</v>
      </c>
      <c r="X25" s="1555"/>
      <c r="Y25" s="4073"/>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7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75"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75"/>
      <c r="Q27" s="1589" t="str">
        <f t="shared" si="11"/>
        <v>成新率</v>
      </c>
      <c r="R27" s="1562" t="s">
        <v>8</v>
      </c>
      <c r="S27" s="1563" t="e">
        <f t="shared" si="12"/>
        <v>#N/A</v>
      </c>
      <c r="T27" s="1562" t="s">
        <v>8</v>
      </c>
      <c r="U27" s="1563" t="e">
        <f t="shared" si="13"/>
        <v>#N/A</v>
      </c>
      <c r="V27" s="1562" t="s">
        <v>8</v>
      </c>
      <c r="W27" s="1563" t="e">
        <f t="shared" si="14"/>
        <v>#N/A</v>
      </c>
      <c r="X27" s="1564"/>
      <c r="Y27" s="4075"/>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75"/>
      <c r="Q28" s="1557" t="str">
        <f t="shared" si="11"/>
        <v>物业等级</v>
      </c>
      <c r="R28" s="1558" t="s">
        <v>8</v>
      </c>
      <c r="S28" s="1559">
        <f t="shared" si="12"/>
        <v>100</v>
      </c>
      <c r="T28" s="1558" t="s">
        <v>8</v>
      </c>
      <c r="U28" s="1559">
        <f t="shared" si="13"/>
        <v>100</v>
      </c>
      <c r="V28" s="1558" t="s">
        <v>8</v>
      </c>
      <c r="W28" s="1559">
        <f t="shared" si="14"/>
        <v>100</v>
      </c>
      <c r="X28" s="1552"/>
      <c r="Y28" s="4075"/>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75"/>
      <c r="Q29" s="1557" t="str">
        <f t="shared" si="11"/>
        <v>有无电梯</v>
      </c>
      <c r="R29" s="1558" t="s">
        <v>8</v>
      </c>
      <c r="S29" s="1559">
        <f t="shared" si="12"/>
        <v>100</v>
      </c>
      <c r="T29" s="1558" t="s">
        <v>8</v>
      </c>
      <c r="U29" s="1559">
        <f t="shared" si="13"/>
        <v>100</v>
      </c>
      <c r="V29" s="1558" t="s">
        <v>8</v>
      </c>
      <c r="W29" s="1559">
        <f t="shared" si="14"/>
        <v>100</v>
      </c>
      <c r="X29" s="1552"/>
      <c r="Y29" s="4075"/>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75"/>
      <c r="Q30" s="1557" t="str">
        <f t="shared" si="11"/>
        <v>建筑面积</v>
      </c>
      <c r="R30" s="1558" t="s">
        <v>8</v>
      </c>
      <c r="S30" s="1559" t="e">
        <f t="shared" si="12"/>
        <v>#N/A</v>
      </c>
      <c r="T30" s="1558" t="s">
        <v>8</v>
      </c>
      <c r="U30" s="1559" t="e">
        <f t="shared" si="13"/>
        <v>#N/A</v>
      </c>
      <c r="V30" s="1558" t="s">
        <v>8</v>
      </c>
      <c r="W30" s="1559" t="e">
        <f t="shared" si="14"/>
        <v>#N/A</v>
      </c>
      <c r="X30" s="1552"/>
      <c r="Y30" s="4075"/>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75"/>
      <c r="Q31" s="1146" t="str">
        <f t="shared" si="11"/>
        <v>是否封闭</v>
      </c>
      <c r="R31" s="1553" t="s">
        <v>8</v>
      </c>
      <c r="S31" s="1554">
        <f t="shared" si="12"/>
        <v>100</v>
      </c>
      <c r="T31" s="1553" t="s">
        <v>8</v>
      </c>
      <c r="U31" s="1554">
        <f t="shared" si="13"/>
        <v>100</v>
      </c>
      <c r="V31" s="1553" t="s">
        <v>8</v>
      </c>
      <c r="W31" s="1554">
        <f t="shared" si="14"/>
        <v>100</v>
      </c>
      <c r="X31" s="1555"/>
      <c r="Y31" s="4075"/>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75" t="s">
        <v>550</v>
      </c>
      <c r="Q32" s="1557">
        <f t="shared" si="11"/>
        <v>111</v>
      </c>
      <c r="R32" s="1558" t="s">
        <v>8</v>
      </c>
      <c r="S32" s="1559">
        <f t="shared" si="12"/>
        <v>100</v>
      </c>
      <c r="T32" s="1558" t="s">
        <v>8</v>
      </c>
      <c r="U32" s="1559">
        <f t="shared" si="13"/>
        <v>100</v>
      </c>
      <c r="V32" s="1558" t="s">
        <v>8</v>
      </c>
      <c r="W32" s="1559">
        <f t="shared" si="14"/>
        <v>100</v>
      </c>
      <c r="X32" s="1552"/>
      <c r="Y32" s="4075"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75"/>
      <c r="Q33" s="1557">
        <f t="shared" si="11"/>
        <v>111</v>
      </c>
      <c r="R33" s="1558" t="s">
        <v>8</v>
      </c>
      <c r="S33" s="1559">
        <f t="shared" si="12"/>
        <v>100</v>
      </c>
      <c r="T33" s="1558" t="s">
        <v>8</v>
      </c>
      <c r="U33" s="1559">
        <f t="shared" si="13"/>
        <v>100</v>
      </c>
      <c r="V33" s="1558" t="s">
        <v>8</v>
      </c>
      <c r="W33" s="1559">
        <f t="shared" si="14"/>
        <v>100</v>
      </c>
      <c r="X33" s="1552"/>
      <c r="Y33" s="4075"/>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75"/>
      <c r="Q34" s="1557">
        <f t="shared" si="11"/>
        <v>111</v>
      </c>
      <c r="R34" s="1558" t="s">
        <v>8</v>
      </c>
      <c r="S34" s="1559">
        <f t="shared" si="12"/>
        <v>100</v>
      </c>
      <c r="T34" s="1558" t="s">
        <v>8</v>
      </c>
      <c r="U34" s="1559">
        <f t="shared" si="13"/>
        <v>100</v>
      </c>
      <c r="V34" s="1558" t="s">
        <v>8</v>
      </c>
      <c r="W34" s="1559">
        <f t="shared" si="14"/>
        <v>100</v>
      </c>
      <c r="X34" s="1552"/>
      <c r="Y34" s="4075"/>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38" t="str">
        <f>A35</f>
        <v>成交单价（元/平方米）</v>
      </c>
      <c r="Q35" s="4038"/>
      <c r="R35" s="4132">
        <f>E35</f>
        <v>0</v>
      </c>
      <c r="S35" s="4132"/>
      <c r="T35" s="4132">
        <f>G35</f>
        <v>0</v>
      </c>
      <c r="U35" s="4132"/>
      <c r="V35" s="4132">
        <f>I35</f>
        <v>0</v>
      </c>
      <c r="W35" s="4132"/>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38" t="str">
        <f>A36</f>
        <v>比较价格（元/平方米）</v>
      </c>
      <c r="Q36" s="4038"/>
      <c r="R36" s="4132" t="e">
        <f>IF(F1="售价",ROUND(PRODUCT(R35,AA7:AA34),0),ROUND(PRODUCT(R35,AA7:AA34),1))</f>
        <v>#DIV/0!</v>
      </c>
      <c r="S36" s="4132"/>
      <c r="T36" s="4132" t="e">
        <f>IF(F1="售价",ROUND(PRODUCT(T35,AB7:AB34),0),ROUND(PRODUCT(T35,AB7:AB34),1))</f>
        <v>#DIV/0!</v>
      </c>
      <c r="U36" s="4132"/>
      <c r="V36" s="4132" t="e">
        <f>IF(F1="售价",ROUND(PRODUCT(V35,AC7:AC34),0),ROUND(PRODUCT(V35,AC7:AC34),1))</f>
        <v>#DIV/0!</v>
      </c>
      <c r="W36" s="4132"/>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35" t="str">
        <f>A37</f>
        <v>估价对象XX用房的比较价格（楼面单价，元/平方米）</v>
      </c>
      <c r="Q37" s="4036"/>
      <c r="R37" s="4131" t="e">
        <f>IF(F1="售价",ROUND(AVERAGE(R36:V36),0),ROUND(AVERAGE(R36:V36),1))</f>
        <v>#DIV/0!</v>
      </c>
      <c r="S37" s="4131"/>
      <c r="T37" s="4131"/>
      <c r="U37" s="4131"/>
      <c r="V37" s="4131"/>
      <c r="W37" s="413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66" t="s">
        <v>2304</v>
      </c>
      <c r="D1" s="4167"/>
      <c r="E1" s="4167"/>
      <c r="F1" s="4167"/>
      <c r="G1" s="4167"/>
      <c r="H1" s="4167"/>
      <c r="I1" s="4167"/>
      <c r="J1" s="4167"/>
      <c r="K1" s="4167"/>
      <c r="L1" s="4167"/>
      <c r="M1" s="4167"/>
      <c r="N1" s="4167"/>
      <c r="O1" s="4167"/>
      <c r="P1" s="4167"/>
      <c r="Q1" s="4167"/>
      <c r="R1" s="4167"/>
      <c r="S1" s="416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63" t="s">
        <v>20</v>
      </c>
      <c r="D22" s="4164"/>
      <c r="E22" s="4164"/>
      <c r="F22" s="4164"/>
      <c r="G22" s="4164"/>
      <c r="H22" s="4164"/>
      <c r="I22" s="4164"/>
      <c r="J22" s="4164"/>
      <c r="K22" s="4164"/>
      <c r="L22" s="4164"/>
      <c r="M22" s="4164"/>
      <c r="N22" s="4164"/>
      <c r="O22" s="4164"/>
      <c r="P22" s="4164"/>
      <c r="Q22" s="4165"/>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06" t="s">
        <v>798</v>
      </c>
      <c r="D4" s="3807"/>
      <c r="E4" s="3808" t="s">
        <v>799</v>
      </c>
      <c r="F4" s="3809"/>
      <c r="G4" s="3806" t="s">
        <v>524</v>
      </c>
      <c r="H4" s="3807"/>
      <c r="I4" s="3806" t="s">
        <v>801</v>
      </c>
      <c r="J4" s="3807"/>
      <c r="K4" s="3365" t="s">
        <v>802</v>
      </c>
      <c r="L4" s="3366"/>
      <c r="M4" s="3367"/>
      <c r="N4" s="3367"/>
      <c r="O4" s="3367"/>
      <c r="P4" s="3810" t="s">
        <v>803</v>
      </c>
      <c r="Q4" s="3811"/>
      <c r="R4" s="3816" t="s">
        <v>799</v>
      </c>
      <c r="S4" s="3817"/>
      <c r="T4" s="3816" t="s">
        <v>524</v>
      </c>
      <c r="U4" s="3817"/>
      <c r="V4" s="3831" t="s">
        <v>801</v>
      </c>
      <c r="W4" s="3831"/>
      <c r="X4" s="3368"/>
      <c r="Y4" s="3816" t="s">
        <v>803</v>
      </c>
      <c r="Z4" s="3817"/>
      <c r="AA4" s="3803" t="s">
        <v>799</v>
      </c>
      <c r="AB4" s="3803" t="s">
        <v>524</v>
      </c>
      <c r="AC4" s="3803" t="s">
        <v>801</v>
      </c>
    </row>
    <row r="5" spans="1:29" ht="15">
      <c r="A5" s="3370"/>
      <c r="B5" s="3371"/>
      <c r="C5" s="3820" t="s">
        <v>2926</v>
      </c>
      <c r="D5" s="3821"/>
      <c r="E5" s="3822" t="s">
        <v>3016</v>
      </c>
      <c r="F5" s="3823"/>
      <c r="G5" s="3824" t="s">
        <v>3321</v>
      </c>
      <c r="H5" s="3821"/>
      <c r="I5" s="3824" t="s">
        <v>3345</v>
      </c>
      <c r="J5" s="3821"/>
      <c r="K5" s="3372"/>
      <c r="L5" s="3366"/>
      <c r="M5" s="3367"/>
      <c r="N5" s="3367"/>
      <c r="O5" s="3367"/>
      <c r="P5" s="3812"/>
      <c r="Q5" s="3813"/>
      <c r="R5" s="3818"/>
      <c r="S5" s="3819"/>
      <c r="T5" s="3818"/>
      <c r="U5" s="3819"/>
      <c r="V5" s="3831"/>
      <c r="W5" s="3831"/>
      <c r="X5" s="3368"/>
      <c r="Y5" s="3818"/>
      <c r="Z5" s="3819"/>
      <c r="AA5" s="3804"/>
      <c r="AB5" s="3804"/>
      <c r="AC5" s="3804"/>
    </row>
    <row r="6" spans="1:29" ht="15.75" thickBot="1">
      <c r="A6" s="3373"/>
      <c r="B6" s="3374"/>
      <c r="C6" s="3825" t="s">
        <v>2930</v>
      </c>
      <c r="D6" s="3826"/>
      <c r="E6" s="3827" t="s">
        <v>2930</v>
      </c>
      <c r="F6" s="3828"/>
      <c r="G6" s="3825" t="s">
        <v>2930</v>
      </c>
      <c r="H6" s="3826"/>
      <c r="I6" s="3825" t="s">
        <v>2930</v>
      </c>
      <c r="J6" s="3826"/>
      <c r="K6" s="3372" t="s">
        <v>528</v>
      </c>
      <c r="L6" s="3366"/>
      <c r="M6" s="3367"/>
      <c r="N6" s="3367"/>
      <c r="O6" s="3367"/>
      <c r="P6" s="3814"/>
      <c r="Q6" s="3815"/>
      <c r="R6" s="3818"/>
      <c r="S6" s="3819"/>
      <c r="T6" s="3829"/>
      <c r="U6" s="3830"/>
      <c r="V6" s="3831"/>
      <c r="W6" s="3831"/>
      <c r="X6" s="3368"/>
      <c r="Y6" s="3829"/>
      <c r="Z6" s="3830"/>
      <c r="AA6" s="3805"/>
      <c r="AB6" s="3805"/>
      <c r="AC6" s="3805"/>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32" t="s">
        <v>530</v>
      </c>
      <c r="Q7" s="3833"/>
      <c r="R7" s="3385" t="s">
        <v>8</v>
      </c>
      <c r="S7" s="3386">
        <f t="shared" ref="S7:S15" si="0">F7</f>
        <v>100</v>
      </c>
      <c r="T7" s="3385" t="s">
        <v>8</v>
      </c>
      <c r="U7" s="3386">
        <f t="shared" ref="U7:U15" si="1">H7</f>
        <v>100</v>
      </c>
      <c r="V7" s="3385" t="s">
        <v>8</v>
      </c>
      <c r="W7" s="3386">
        <f t="shared" ref="W7:W15" si="2">J7</f>
        <v>100</v>
      </c>
      <c r="X7" s="3387"/>
      <c r="Y7" s="3832" t="s">
        <v>530</v>
      </c>
      <c r="Z7" s="3834"/>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32" t="s">
        <v>533</v>
      </c>
      <c r="Q8" s="3834"/>
      <c r="R8" s="3385" t="s">
        <v>8</v>
      </c>
      <c r="S8" s="3386">
        <f t="shared" si="0"/>
        <v>100</v>
      </c>
      <c r="T8" s="3385" t="s">
        <v>8</v>
      </c>
      <c r="U8" s="3386">
        <f t="shared" si="1"/>
        <v>100</v>
      </c>
      <c r="V8" s="3385" t="s">
        <v>8</v>
      </c>
      <c r="W8" s="3386">
        <f t="shared" si="2"/>
        <v>100</v>
      </c>
      <c r="X8" s="3387"/>
      <c r="Y8" s="3832" t="s">
        <v>533</v>
      </c>
      <c r="Z8" s="3834"/>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35" t="s">
        <v>535</v>
      </c>
      <c r="Q9" s="3402" t="str">
        <f t="shared" ref="Q9:Q15" si="6">B9</f>
        <v>用途</v>
      </c>
      <c r="R9" s="3385" t="s">
        <v>8</v>
      </c>
      <c r="S9" s="3386">
        <f t="shared" si="0"/>
        <v>100</v>
      </c>
      <c r="T9" s="3385" t="s">
        <v>8</v>
      </c>
      <c r="U9" s="3386">
        <f t="shared" si="1"/>
        <v>100</v>
      </c>
      <c r="V9" s="3385" t="s">
        <v>8</v>
      </c>
      <c r="W9" s="3386">
        <f t="shared" si="2"/>
        <v>100</v>
      </c>
      <c r="X9" s="3387"/>
      <c r="Y9" s="3836"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35"/>
      <c r="Q10" s="3402" t="str">
        <f t="shared" si="6"/>
        <v>土地使用年限（年）</v>
      </c>
      <c r="R10" s="3385" t="s">
        <v>8</v>
      </c>
      <c r="S10" s="3386">
        <f t="shared" si="0"/>
        <v>100</v>
      </c>
      <c r="T10" s="3385" t="s">
        <v>8</v>
      </c>
      <c r="U10" s="3386">
        <f t="shared" si="1"/>
        <v>100</v>
      </c>
      <c r="V10" s="3385" t="s">
        <v>8</v>
      </c>
      <c r="W10" s="3386">
        <f t="shared" si="2"/>
        <v>100</v>
      </c>
      <c r="X10" s="3387"/>
      <c r="Y10" s="3836"/>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35"/>
      <c r="Q11" s="3402" t="str">
        <f t="shared" si="6"/>
        <v>容积率</v>
      </c>
      <c r="R11" s="3385" t="s">
        <v>8</v>
      </c>
      <c r="S11" s="3386">
        <f t="shared" si="0"/>
        <v>102</v>
      </c>
      <c r="T11" s="3385" t="s">
        <v>8</v>
      </c>
      <c r="U11" s="3386">
        <f t="shared" si="1"/>
        <v>101</v>
      </c>
      <c r="V11" s="3385" t="s">
        <v>8</v>
      </c>
      <c r="W11" s="3386">
        <f t="shared" si="2"/>
        <v>102</v>
      </c>
      <c r="X11" s="3387"/>
      <c r="Y11" s="3836"/>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35"/>
      <c r="Q12" s="3402">
        <f t="shared" si="6"/>
        <v>111</v>
      </c>
      <c r="R12" s="3385" t="s">
        <v>8</v>
      </c>
      <c r="S12" s="3386">
        <f t="shared" si="0"/>
        <v>100</v>
      </c>
      <c r="T12" s="3385" t="s">
        <v>8</v>
      </c>
      <c r="U12" s="3386">
        <f t="shared" si="1"/>
        <v>100</v>
      </c>
      <c r="V12" s="3385" t="s">
        <v>8</v>
      </c>
      <c r="W12" s="3386">
        <f t="shared" si="2"/>
        <v>100</v>
      </c>
      <c r="X12" s="3387"/>
      <c r="Y12" s="3836"/>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35"/>
      <c r="Q13" s="3402">
        <f t="shared" si="6"/>
        <v>111</v>
      </c>
      <c r="R13" s="3385" t="s">
        <v>8</v>
      </c>
      <c r="S13" s="3386">
        <f t="shared" si="0"/>
        <v>100</v>
      </c>
      <c r="T13" s="3385" t="s">
        <v>8</v>
      </c>
      <c r="U13" s="3386">
        <f t="shared" si="1"/>
        <v>100</v>
      </c>
      <c r="V13" s="3385" t="s">
        <v>8</v>
      </c>
      <c r="W13" s="3386">
        <f t="shared" si="2"/>
        <v>100</v>
      </c>
      <c r="X13" s="3387"/>
      <c r="Y13" s="3836"/>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35"/>
      <c r="Q14" s="3402">
        <f t="shared" si="6"/>
        <v>111</v>
      </c>
      <c r="R14" s="3385" t="s">
        <v>8</v>
      </c>
      <c r="S14" s="3386">
        <f t="shared" si="0"/>
        <v>100</v>
      </c>
      <c r="T14" s="3385" t="s">
        <v>8</v>
      </c>
      <c r="U14" s="3386">
        <f t="shared" si="1"/>
        <v>100</v>
      </c>
      <c r="V14" s="3385" t="s">
        <v>8</v>
      </c>
      <c r="W14" s="3386">
        <f t="shared" si="2"/>
        <v>100</v>
      </c>
      <c r="X14" s="3387"/>
      <c r="Y14" s="3836"/>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37" t="s">
        <v>540</v>
      </c>
      <c r="Q15" s="3441" t="str">
        <f t="shared" si="6"/>
        <v>居住社区成熟度</v>
      </c>
      <c r="R15" s="3442" t="s">
        <v>8</v>
      </c>
      <c r="S15" s="3443">
        <f t="shared" si="0"/>
        <v>100</v>
      </c>
      <c r="T15" s="3442" t="s">
        <v>8</v>
      </c>
      <c r="U15" s="3443">
        <f t="shared" si="1"/>
        <v>100</v>
      </c>
      <c r="V15" s="3442" t="s">
        <v>8</v>
      </c>
      <c r="W15" s="3443">
        <f t="shared" si="2"/>
        <v>100</v>
      </c>
      <c r="X15" s="3368"/>
      <c r="Y15" s="3837"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38"/>
      <c r="Q16" s="3441"/>
      <c r="R16" s="3442"/>
      <c r="S16" s="3443"/>
      <c r="T16" s="3442"/>
      <c r="U16" s="3443"/>
      <c r="V16" s="3442"/>
      <c r="W16" s="3443"/>
      <c r="X16" s="3368"/>
      <c r="Y16" s="3838"/>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38"/>
      <c r="Q17" s="3441" t="str">
        <f>B17</f>
        <v>交通便捷度</v>
      </c>
      <c r="R17" s="3442" t="s">
        <v>8</v>
      </c>
      <c r="S17" s="3443">
        <f>F17</f>
        <v>100</v>
      </c>
      <c r="T17" s="3442" t="s">
        <v>8</v>
      </c>
      <c r="U17" s="3443">
        <f>H17</f>
        <v>100</v>
      </c>
      <c r="V17" s="3442" t="s">
        <v>8</v>
      </c>
      <c r="W17" s="3443">
        <f>J17</f>
        <v>100</v>
      </c>
      <c r="X17" s="3368"/>
      <c r="Y17" s="3838"/>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38"/>
      <c r="Q18" s="3441"/>
      <c r="R18" s="3442"/>
      <c r="S18" s="3443"/>
      <c r="T18" s="3442"/>
      <c r="U18" s="3443"/>
      <c r="V18" s="3442"/>
      <c r="W18" s="3443"/>
      <c r="X18" s="3368"/>
      <c r="Y18" s="3838"/>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38"/>
      <c r="Q19" s="3441" t="str">
        <f>B19</f>
        <v>公共配套设施</v>
      </c>
      <c r="R19" s="3442" t="s">
        <v>8</v>
      </c>
      <c r="S19" s="3443">
        <f>F19</f>
        <v>100</v>
      </c>
      <c r="T19" s="3442" t="s">
        <v>8</v>
      </c>
      <c r="U19" s="3443">
        <f>H19</f>
        <v>102</v>
      </c>
      <c r="V19" s="3442" t="s">
        <v>8</v>
      </c>
      <c r="W19" s="3443">
        <f>J19</f>
        <v>102</v>
      </c>
      <c r="X19" s="3368"/>
      <c r="Y19" s="3838"/>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38"/>
      <c r="Q20" s="3441"/>
      <c r="R20" s="3442"/>
      <c r="S20" s="3443"/>
      <c r="T20" s="3442"/>
      <c r="U20" s="3443"/>
      <c r="V20" s="3442"/>
      <c r="W20" s="3443"/>
      <c r="X20" s="3368"/>
      <c r="Y20" s="3838"/>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38"/>
      <c r="Q21" s="3441" t="str">
        <f>B21</f>
        <v>基础设施水平</v>
      </c>
      <c r="R21" s="3442" t="s">
        <v>8</v>
      </c>
      <c r="S21" s="3443">
        <f>F21</f>
        <v>100</v>
      </c>
      <c r="T21" s="3442" t="s">
        <v>8</v>
      </c>
      <c r="U21" s="3443">
        <f>H21</f>
        <v>100</v>
      </c>
      <c r="V21" s="3442" t="s">
        <v>8</v>
      </c>
      <c r="W21" s="3443">
        <f>J21</f>
        <v>100</v>
      </c>
      <c r="X21" s="3368"/>
      <c r="Y21" s="3838"/>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38"/>
      <c r="Q22" s="3441"/>
      <c r="R22" s="3442"/>
      <c r="S22" s="3443"/>
      <c r="T22" s="3442"/>
      <c r="U22" s="3443"/>
      <c r="V22" s="3442"/>
      <c r="W22" s="3443"/>
      <c r="X22" s="3368"/>
      <c r="Y22" s="3838"/>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38"/>
      <c r="Q23" s="3441" t="str">
        <f>B23</f>
        <v>自然及人文环境</v>
      </c>
      <c r="R23" s="3442" t="s">
        <v>8</v>
      </c>
      <c r="S23" s="3443">
        <f>F23</f>
        <v>98</v>
      </c>
      <c r="T23" s="3442" t="s">
        <v>8</v>
      </c>
      <c r="U23" s="3443">
        <f>H23</f>
        <v>100</v>
      </c>
      <c r="V23" s="3442" t="s">
        <v>8</v>
      </c>
      <c r="W23" s="3443">
        <f>J23</f>
        <v>100</v>
      </c>
      <c r="X23" s="3368"/>
      <c r="Y23" s="3838"/>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38"/>
      <c r="Q24" s="3441"/>
      <c r="R24" s="3442"/>
      <c r="S24" s="3443"/>
      <c r="T24" s="3442"/>
      <c r="U24" s="3443"/>
      <c r="V24" s="3442"/>
      <c r="W24" s="3443"/>
      <c r="X24" s="3368"/>
      <c r="Y24" s="3838"/>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38"/>
      <c r="Q25" s="3441" t="str">
        <f t="shared" ref="Q25:Q46" si="11">B25</f>
        <v>楼层-1</v>
      </c>
      <c r="R25" s="3442" t="s">
        <v>8</v>
      </c>
      <c r="S25" s="3443">
        <f>F25</f>
        <v>100</v>
      </c>
      <c r="T25" s="3442" t="s">
        <v>8</v>
      </c>
      <c r="U25" s="3443">
        <f>H25</f>
        <v>100</v>
      </c>
      <c r="V25" s="3442" t="s">
        <v>8</v>
      </c>
      <c r="W25" s="3443">
        <f>J25</f>
        <v>100</v>
      </c>
      <c r="X25" s="3368"/>
      <c r="Y25" s="3838"/>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38"/>
      <c r="Q26" s="3441" t="str">
        <f t="shared" si="11"/>
        <v>朝向</v>
      </c>
      <c r="R26" s="3442" t="s">
        <v>8</v>
      </c>
      <c r="S26" s="3443">
        <f>F26</f>
        <v>100</v>
      </c>
      <c r="T26" s="3442" t="s">
        <v>8</v>
      </c>
      <c r="U26" s="3443">
        <f>H26</f>
        <v>100</v>
      </c>
      <c r="V26" s="3442" t="s">
        <v>8</v>
      </c>
      <c r="W26" s="3443">
        <f>J26</f>
        <v>100</v>
      </c>
      <c r="X26" s="3368"/>
      <c r="Y26" s="3838"/>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38"/>
      <c r="Q27" s="3402" t="str">
        <f t="shared" si="11"/>
        <v>道路级别</v>
      </c>
      <c r="R27" s="3385" t="s">
        <v>8</v>
      </c>
      <c r="S27" s="3386">
        <f>F27</f>
        <v>101</v>
      </c>
      <c r="T27" s="3385" t="s">
        <v>8</v>
      </c>
      <c r="U27" s="3386">
        <f>H27</f>
        <v>101</v>
      </c>
      <c r="V27" s="3385" t="s">
        <v>8</v>
      </c>
      <c r="W27" s="3386">
        <f>J27</f>
        <v>99</v>
      </c>
      <c r="X27" s="3387"/>
      <c r="Y27" s="3838"/>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38"/>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38"/>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38"/>
      <c r="Q29" s="3441">
        <f t="shared" si="11"/>
        <v>111</v>
      </c>
      <c r="R29" s="3442" t="s">
        <v>3480</v>
      </c>
      <c r="S29" s="3443">
        <f t="shared" si="12"/>
        <v>100</v>
      </c>
      <c r="T29" s="3442" t="s">
        <v>3480</v>
      </c>
      <c r="U29" s="3443">
        <f t="shared" si="13"/>
        <v>100</v>
      </c>
      <c r="V29" s="3442" t="s">
        <v>3480</v>
      </c>
      <c r="W29" s="3443">
        <f t="shared" si="14"/>
        <v>100</v>
      </c>
      <c r="X29" s="3368"/>
      <c r="Y29" s="3838"/>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38"/>
      <c r="Q30" s="3441">
        <f t="shared" si="11"/>
        <v>111</v>
      </c>
      <c r="R30" s="3442" t="s">
        <v>3480</v>
      </c>
      <c r="S30" s="3443">
        <f t="shared" si="12"/>
        <v>100</v>
      </c>
      <c r="T30" s="3442" t="s">
        <v>3480</v>
      </c>
      <c r="U30" s="3443">
        <f t="shared" si="13"/>
        <v>100</v>
      </c>
      <c r="V30" s="3442" t="s">
        <v>3480</v>
      </c>
      <c r="W30" s="3443">
        <f t="shared" si="14"/>
        <v>100</v>
      </c>
      <c r="X30" s="3368"/>
      <c r="Y30" s="3838"/>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38"/>
      <c r="Q31" s="3441">
        <f t="shared" si="11"/>
        <v>111</v>
      </c>
      <c r="R31" s="3442" t="s">
        <v>3480</v>
      </c>
      <c r="S31" s="3443">
        <f t="shared" si="12"/>
        <v>100</v>
      </c>
      <c r="T31" s="3442" t="s">
        <v>3480</v>
      </c>
      <c r="U31" s="3443">
        <f t="shared" si="13"/>
        <v>100</v>
      </c>
      <c r="V31" s="3442" t="s">
        <v>3480</v>
      </c>
      <c r="W31" s="3443">
        <f t="shared" si="14"/>
        <v>100</v>
      </c>
      <c r="X31" s="3368"/>
      <c r="Y31" s="3838"/>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39" t="s">
        <v>3482</v>
      </c>
      <c r="Q32" s="3441" t="str">
        <f t="shared" si="11"/>
        <v>建筑类型</v>
      </c>
      <c r="R32" s="3442" t="s">
        <v>3483</v>
      </c>
      <c r="S32" s="3443">
        <f t="shared" si="12"/>
        <v>100</v>
      </c>
      <c r="T32" s="3442" t="s">
        <v>3483</v>
      </c>
      <c r="U32" s="3443">
        <f t="shared" si="13"/>
        <v>100</v>
      </c>
      <c r="V32" s="3442" t="s">
        <v>3483</v>
      </c>
      <c r="W32" s="3443">
        <f t="shared" si="14"/>
        <v>100</v>
      </c>
      <c r="X32" s="3368"/>
      <c r="Y32" s="3840"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40"/>
      <c r="Q33" s="3501" t="str">
        <f t="shared" si="11"/>
        <v>项目建筑规模</v>
      </c>
      <c r="R33" s="3502" t="s">
        <v>3485</v>
      </c>
      <c r="S33" s="3503">
        <f t="shared" si="12"/>
        <v>100</v>
      </c>
      <c r="T33" s="3502" t="s">
        <v>3485</v>
      </c>
      <c r="U33" s="3503">
        <f t="shared" si="13"/>
        <v>100</v>
      </c>
      <c r="V33" s="3502" t="s">
        <v>3485</v>
      </c>
      <c r="W33" s="3503">
        <f t="shared" si="14"/>
        <v>100</v>
      </c>
      <c r="X33" s="3504"/>
      <c r="Y33" s="3840"/>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40"/>
      <c r="Q34" s="3441" t="str">
        <f t="shared" si="11"/>
        <v>建筑结构</v>
      </c>
      <c r="R34" s="3442" t="s">
        <v>3486</v>
      </c>
      <c r="S34" s="3443">
        <f t="shared" si="12"/>
        <v>100</v>
      </c>
      <c r="T34" s="3442" t="s">
        <v>3486</v>
      </c>
      <c r="U34" s="3443">
        <f t="shared" si="13"/>
        <v>100</v>
      </c>
      <c r="V34" s="3442" t="s">
        <v>3486</v>
      </c>
      <c r="W34" s="3443">
        <f t="shared" si="14"/>
        <v>100</v>
      </c>
      <c r="X34" s="3368"/>
      <c r="Y34" s="3840"/>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40"/>
      <c r="Q35" s="3441" t="str">
        <f t="shared" si="11"/>
        <v>建筑品质</v>
      </c>
      <c r="R35" s="3442" t="s">
        <v>3487</v>
      </c>
      <c r="S35" s="3443">
        <f t="shared" si="12"/>
        <v>100</v>
      </c>
      <c r="T35" s="3442" t="s">
        <v>3487</v>
      </c>
      <c r="U35" s="3443">
        <f t="shared" si="13"/>
        <v>100</v>
      </c>
      <c r="V35" s="3442" t="s">
        <v>3487</v>
      </c>
      <c r="W35" s="3443">
        <f t="shared" si="14"/>
        <v>100</v>
      </c>
      <c r="X35" s="3368"/>
      <c r="Y35" s="3840"/>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40"/>
      <c r="Q36" s="3441" t="str">
        <f t="shared" si="11"/>
        <v>公共部分装修</v>
      </c>
      <c r="R36" s="3442" t="s">
        <v>3488</v>
      </c>
      <c r="S36" s="3443">
        <f t="shared" si="12"/>
        <v>100</v>
      </c>
      <c r="T36" s="3442" t="s">
        <v>3488</v>
      </c>
      <c r="U36" s="3443">
        <f t="shared" si="13"/>
        <v>100</v>
      </c>
      <c r="V36" s="3442" t="s">
        <v>3488</v>
      </c>
      <c r="W36" s="3443">
        <f t="shared" si="14"/>
        <v>100</v>
      </c>
      <c r="X36" s="3368"/>
      <c r="Y36" s="3840"/>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40"/>
      <c r="Q37" s="3402" t="str">
        <f t="shared" si="11"/>
        <v>成新度</v>
      </c>
      <c r="R37" s="3385" t="s">
        <v>3489</v>
      </c>
      <c r="S37" s="3386">
        <f t="shared" si="12"/>
        <v>100</v>
      </c>
      <c r="T37" s="3385" t="s">
        <v>3489</v>
      </c>
      <c r="U37" s="3386">
        <f t="shared" si="13"/>
        <v>100</v>
      </c>
      <c r="V37" s="3385" t="s">
        <v>3489</v>
      </c>
      <c r="W37" s="3386">
        <f t="shared" si="14"/>
        <v>100</v>
      </c>
      <c r="X37" s="3387"/>
      <c r="Y37" s="3840"/>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40" t="s">
        <v>3490</v>
      </c>
      <c r="Q38" s="3441" t="str">
        <f t="shared" si="11"/>
        <v>物业管理</v>
      </c>
      <c r="R38" s="3442" t="s">
        <v>3491</v>
      </c>
      <c r="S38" s="3443">
        <f t="shared" si="12"/>
        <v>100</v>
      </c>
      <c r="T38" s="3442" t="s">
        <v>3491</v>
      </c>
      <c r="U38" s="3443">
        <f t="shared" si="13"/>
        <v>100</v>
      </c>
      <c r="V38" s="3442" t="s">
        <v>3491</v>
      </c>
      <c r="W38" s="3443">
        <f t="shared" si="14"/>
        <v>100</v>
      </c>
      <c r="X38" s="3368"/>
      <c r="Y38" s="3840"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40"/>
      <c r="Q39" s="3441" t="str">
        <f t="shared" si="11"/>
        <v>市政基础设施</v>
      </c>
      <c r="R39" s="3442" t="s">
        <v>3494</v>
      </c>
      <c r="S39" s="3443">
        <f t="shared" si="12"/>
        <v>100</v>
      </c>
      <c r="T39" s="3442" t="s">
        <v>3494</v>
      </c>
      <c r="U39" s="3443">
        <f t="shared" si="13"/>
        <v>100</v>
      </c>
      <c r="V39" s="3442" t="s">
        <v>3494</v>
      </c>
      <c r="W39" s="3443">
        <f t="shared" si="14"/>
        <v>100</v>
      </c>
      <c r="X39" s="3368"/>
      <c r="Y39" s="3840"/>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40"/>
      <c r="Q40" s="3441" t="str">
        <f t="shared" si="11"/>
        <v>房型</v>
      </c>
      <c r="R40" s="3442" t="s">
        <v>3488</v>
      </c>
      <c r="S40" s="3443">
        <f t="shared" si="12"/>
        <v>100</v>
      </c>
      <c r="T40" s="3442" t="s">
        <v>3488</v>
      </c>
      <c r="U40" s="3443">
        <f t="shared" si="13"/>
        <v>100</v>
      </c>
      <c r="V40" s="3442" t="s">
        <v>3488</v>
      </c>
      <c r="W40" s="3443">
        <f t="shared" si="14"/>
        <v>100</v>
      </c>
      <c r="X40" s="3368"/>
      <c r="Y40" s="3840"/>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40"/>
      <c r="Q41" s="3501" t="str">
        <f t="shared" si="11"/>
        <v>单套/主力户型建筑面积</v>
      </c>
      <c r="R41" s="3502" t="s">
        <v>8</v>
      </c>
      <c r="S41" s="3503">
        <f t="shared" si="12"/>
        <v>98</v>
      </c>
      <c r="T41" s="3502" t="s">
        <v>8</v>
      </c>
      <c r="U41" s="3503">
        <f t="shared" si="13"/>
        <v>100</v>
      </c>
      <c r="V41" s="3502" t="s">
        <v>8</v>
      </c>
      <c r="W41" s="3503">
        <f t="shared" si="14"/>
        <v>96</v>
      </c>
      <c r="X41" s="3504"/>
      <c r="Y41" s="3840"/>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40"/>
      <c r="Q42" s="3441" t="str">
        <f t="shared" si="11"/>
        <v>内部装修</v>
      </c>
      <c r="R42" s="3442" t="s">
        <v>3488</v>
      </c>
      <c r="S42" s="3443">
        <f t="shared" si="12"/>
        <v>100</v>
      </c>
      <c r="T42" s="3442" t="s">
        <v>3488</v>
      </c>
      <c r="U42" s="3443">
        <f t="shared" si="13"/>
        <v>100</v>
      </c>
      <c r="V42" s="3442" t="s">
        <v>3488</v>
      </c>
      <c r="W42" s="3443">
        <f t="shared" si="14"/>
        <v>100</v>
      </c>
      <c r="X42" s="3368"/>
      <c r="Y42" s="3840"/>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40"/>
      <c r="Q43" s="3441" t="str">
        <f t="shared" si="11"/>
        <v>内部装修维护情况</v>
      </c>
      <c r="R43" s="3442" t="s">
        <v>3483</v>
      </c>
      <c r="S43" s="3443">
        <f t="shared" si="12"/>
        <v>100</v>
      </c>
      <c r="T43" s="3442" t="s">
        <v>3483</v>
      </c>
      <c r="U43" s="3443">
        <f t="shared" si="13"/>
        <v>100</v>
      </c>
      <c r="V43" s="3442" t="s">
        <v>3483</v>
      </c>
      <c r="W43" s="3443">
        <f t="shared" si="14"/>
        <v>100</v>
      </c>
      <c r="X43" s="3368"/>
      <c r="Y43" s="3840"/>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40"/>
      <c r="Q44" s="3402">
        <f t="shared" si="11"/>
        <v>111</v>
      </c>
      <c r="R44" s="3385" t="s">
        <v>3483</v>
      </c>
      <c r="S44" s="3386">
        <f t="shared" si="12"/>
        <v>100</v>
      </c>
      <c r="T44" s="3385" t="s">
        <v>3483</v>
      </c>
      <c r="U44" s="3386">
        <f t="shared" si="13"/>
        <v>100</v>
      </c>
      <c r="V44" s="3385" t="s">
        <v>3483</v>
      </c>
      <c r="W44" s="3386">
        <f t="shared" si="14"/>
        <v>100</v>
      </c>
      <c r="X44" s="3387"/>
      <c r="Y44" s="3840"/>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40"/>
      <c r="Q45" s="3441">
        <f t="shared" si="11"/>
        <v>111</v>
      </c>
      <c r="R45" s="3442" t="s">
        <v>3483</v>
      </c>
      <c r="S45" s="3443">
        <f t="shared" si="12"/>
        <v>100</v>
      </c>
      <c r="T45" s="3442" t="s">
        <v>3483</v>
      </c>
      <c r="U45" s="3443">
        <f t="shared" si="13"/>
        <v>100</v>
      </c>
      <c r="V45" s="3442" t="s">
        <v>3483</v>
      </c>
      <c r="W45" s="3443">
        <f t="shared" si="14"/>
        <v>100</v>
      </c>
      <c r="X45" s="3368"/>
      <c r="Y45" s="3840"/>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41"/>
      <c r="Q46" s="3441">
        <f t="shared" si="11"/>
        <v>111</v>
      </c>
      <c r="R46" s="3442" t="s">
        <v>3483</v>
      </c>
      <c r="S46" s="3443">
        <f t="shared" si="12"/>
        <v>100</v>
      </c>
      <c r="T46" s="3442" t="s">
        <v>3483</v>
      </c>
      <c r="U46" s="3443">
        <f t="shared" si="13"/>
        <v>100</v>
      </c>
      <c r="V46" s="3442" t="s">
        <v>3483</v>
      </c>
      <c r="W46" s="3443">
        <f t="shared" si="14"/>
        <v>100</v>
      </c>
      <c r="X46" s="3368"/>
      <c r="Y46" s="3841"/>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35" t="str">
        <f>A47</f>
        <v>成交单价（元/平方米）</v>
      </c>
      <c r="Q47" s="3835"/>
      <c r="R47" s="3842">
        <f>E47</f>
        <v>13000</v>
      </c>
      <c r="S47" s="3842"/>
      <c r="T47" s="3842">
        <f>G47</f>
        <v>13500</v>
      </c>
      <c r="U47" s="3842"/>
      <c r="V47" s="3842">
        <f>I47</f>
        <v>15000</v>
      </c>
      <c r="W47" s="3842"/>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35" t="str">
        <f>A48</f>
        <v>比较价格（元/平方米）</v>
      </c>
      <c r="Q48" s="3835"/>
      <c r="R48" s="3842">
        <f>IF(F1="售价",ROUND(PRODUCT(R47,AA7:AA46),0),ROUND(PRODUCT(R47,AA7:AA46),1))</f>
        <v>13139</v>
      </c>
      <c r="S48" s="3842"/>
      <c r="T48" s="3842">
        <f>IF(F1="售价",ROUND(PRODUCT(T47,AB7:AB46),0),ROUND(PRODUCT(T47,AB7:AB46),1))</f>
        <v>12975</v>
      </c>
      <c r="U48" s="3842"/>
      <c r="V48" s="3842">
        <f>IF(F1="售价",ROUND(PRODUCT(V47,AC7:AC46),0),ROUND(PRODUCT(V47,AC7:AC46),1))</f>
        <v>15170</v>
      </c>
      <c r="W48" s="3842"/>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43" t="str">
        <f>A49</f>
        <v>估价对象XX用房的比较价格（楼面单价，元/平方米）</v>
      </c>
      <c r="Q49" s="3844"/>
      <c r="R49" s="3845">
        <f>IF(F1="售价",ROUND(AVERAGE(R48:V48),0),ROUND(AVERAGE(R48:V48),1))</f>
        <v>13761</v>
      </c>
      <c r="S49" s="3845"/>
      <c r="T49" s="3845"/>
      <c r="U49" s="3845"/>
      <c r="V49" s="3845"/>
      <c r="W49" s="3845"/>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25" t="s">
        <v>2462</v>
      </c>
      <c r="C6" s="782">
        <f ca="1">ROUND(F6*F8*F7*(1-F9)/10000,0)</f>
        <v>343</v>
      </c>
      <c r="D6" s="2460" t="s">
        <v>2461</v>
      </c>
      <c r="E6" s="783" t="s">
        <v>637</v>
      </c>
      <c r="F6" s="784">
        <f ca="1">INDIRECT("'数据-取费表'!u"&amp;$G$1)</f>
        <v>0.5</v>
      </c>
      <c r="G6" s="1577"/>
      <c r="H6" s="2467" t="s">
        <v>1824</v>
      </c>
      <c r="I6" s="4125" t="s">
        <v>2462</v>
      </c>
      <c r="J6" s="782">
        <f ca="1">ROUND(M6*M8*M7*(1-M9)/10000,0)</f>
        <v>0</v>
      </c>
      <c r="K6" s="340" t="s">
        <v>636</v>
      </c>
      <c r="L6" s="783" t="s">
        <v>637</v>
      </c>
      <c r="M6" s="784">
        <f ca="1">INDIRECT("'数据-取费表'!z"&amp;$G$1)</f>
        <v>0</v>
      </c>
    </row>
    <row r="7" spans="1:33" ht="18" customHeight="1">
      <c r="A7" s="2463"/>
      <c r="B7" s="4126"/>
      <c r="C7" s="787"/>
      <c r="D7" s="788"/>
      <c r="E7" s="783" t="s">
        <v>638</v>
      </c>
      <c r="F7" s="784">
        <f ca="1">IF(INDIRECT("'数据-取费表'!ah"&amp;$G$1)="",INDIRECT("'数据-取费表'!k"&amp;$G$1),INDIRECT("'数据-取费表'!ah"&amp;$G$1))</f>
        <v>19390.11</v>
      </c>
      <c r="G7" s="1577"/>
      <c r="H7" s="2452"/>
      <c r="I7" s="4126"/>
      <c r="J7" s="787"/>
      <c r="K7" s="788"/>
      <c r="L7" s="783" t="s">
        <v>638</v>
      </c>
      <c r="M7" s="784">
        <f ca="1">F7</f>
        <v>19390.11</v>
      </c>
    </row>
    <row r="8" spans="1:33" ht="18" customHeight="1">
      <c r="A8" s="2456"/>
      <c r="B8" s="4127"/>
      <c r="C8" s="787"/>
      <c r="D8" s="788"/>
      <c r="E8" s="783" t="s">
        <v>639</v>
      </c>
      <c r="F8" s="784">
        <f ca="1">INDIRECT("'数据-取费表'!ai"&amp;$G$1)</f>
        <v>365</v>
      </c>
      <c r="G8" s="1577"/>
      <c r="H8" s="2452"/>
      <c r="I8" s="4127"/>
      <c r="J8" s="787"/>
      <c r="K8" s="788"/>
      <c r="L8" s="783" t="s">
        <v>639</v>
      </c>
      <c r="M8" s="784">
        <f ca="1">INDIRECT("'数据-取费表'!ai"&amp;$G$1)</f>
        <v>365</v>
      </c>
    </row>
    <row r="9" spans="1:33" ht="18" customHeight="1">
      <c r="A9" s="785"/>
      <c r="B9" s="4128"/>
      <c r="C9" s="787"/>
      <c r="D9" s="788"/>
      <c r="E9" s="783" t="s">
        <v>640</v>
      </c>
      <c r="F9" s="793">
        <f ca="1">INDIRECT("'数据-取费表'!w"&amp;$G$1)</f>
        <v>0.03</v>
      </c>
      <c r="G9" s="1577"/>
      <c r="H9" s="2468"/>
      <c r="I9" s="4127"/>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3575</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36" t="s">
        <v>2962</v>
      </c>
      <c r="L53" s="4137"/>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3575</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77" t="s">
        <v>2038</v>
      </c>
      <c r="B1" s="3777"/>
      <c r="C1" s="3777"/>
      <c r="D1" s="3777"/>
      <c r="E1" s="3777"/>
      <c r="F1" s="3777"/>
      <c r="G1" s="3777"/>
      <c r="H1" s="3777"/>
      <c r="I1" s="3777"/>
      <c r="J1" s="3777"/>
      <c r="K1" s="3777"/>
      <c r="L1" s="3777"/>
      <c r="M1" s="3777"/>
      <c r="N1" s="3777"/>
      <c r="O1" s="3777"/>
      <c r="P1" s="3777"/>
      <c r="Q1" s="3777"/>
      <c r="R1" s="3777"/>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778" t="s">
        <v>2029</v>
      </c>
      <c r="B3" s="3778" t="s">
        <v>2730</v>
      </c>
      <c r="C3" s="3779" t="s">
        <v>2030</v>
      </c>
      <c r="D3" s="3778" t="s">
        <v>2734</v>
      </c>
      <c r="E3" s="3781" t="s">
        <v>2031</v>
      </c>
      <c r="F3" s="3781"/>
      <c r="G3" s="3781"/>
      <c r="H3" s="3781" t="s">
        <v>2032</v>
      </c>
      <c r="I3" s="3781"/>
      <c r="J3" s="3781"/>
      <c r="K3" s="3779" t="s">
        <v>2033</v>
      </c>
      <c r="L3" s="3779" t="s">
        <v>2034</v>
      </c>
      <c r="M3" s="3778" t="s">
        <v>2731</v>
      </c>
      <c r="N3" s="3780" t="str">
        <f>"（分摊）"&amp;项目基本情况!B16&amp;"国有建设用地使用权面积/㎡"</f>
        <v>（分摊）出让国有建设用地使用权面积/㎡</v>
      </c>
      <c r="O3" s="3778" t="s">
        <v>2063</v>
      </c>
      <c r="P3" s="3779" t="s">
        <v>2043</v>
      </c>
      <c r="Q3" s="3779" t="s">
        <v>2064</v>
      </c>
      <c r="R3" s="3779" t="s">
        <v>2035</v>
      </c>
    </row>
    <row r="4" spans="1:18" ht="36.75" customHeight="1">
      <c r="A4" s="3778"/>
      <c r="B4" s="3778"/>
      <c r="C4" s="3779"/>
      <c r="D4" s="3778"/>
      <c r="E4" s="2612" t="s">
        <v>2042</v>
      </c>
      <c r="F4" s="2612" t="s">
        <v>2743</v>
      </c>
      <c r="G4" s="2612" t="s">
        <v>2036</v>
      </c>
      <c r="H4" s="2612" t="s">
        <v>2037</v>
      </c>
      <c r="I4" s="2612" t="s">
        <v>2744</v>
      </c>
      <c r="J4" s="2612" t="s">
        <v>2036</v>
      </c>
      <c r="K4" s="3779"/>
      <c r="L4" s="3779"/>
      <c r="M4" s="3778"/>
      <c r="N4" s="3780"/>
      <c r="O4" s="3778"/>
      <c r="P4" s="3779"/>
      <c r="Q4" s="3779"/>
      <c r="R4" s="3779"/>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111281.46</v>
      </c>
      <c r="P5" s="1794">
        <f ca="1">结果表!E42</f>
        <v>7142</v>
      </c>
      <c r="Q5" s="1794">
        <f ca="1">结果表!D42</f>
        <v>1291</v>
      </c>
      <c r="R5" s="1795">
        <f ca="1">结果表!C42</f>
        <v>14372</v>
      </c>
    </row>
    <row r="6" spans="1:18">
      <c r="A6" s="3782" t="str">
        <f>IF(项目基本情况!B9="市场价格","——","抵押价格")</f>
        <v>抵押价格</v>
      </c>
      <c r="B6" s="3783"/>
      <c r="C6" s="3783"/>
      <c r="D6" s="3783"/>
      <c r="E6" s="3783"/>
      <c r="F6" s="3783"/>
      <c r="G6" s="3783"/>
      <c r="H6" s="3783"/>
      <c r="I6" s="3783"/>
      <c r="J6" s="3783"/>
      <c r="K6" s="3783"/>
      <c r="L6" s="3783"/>
      <c r="M6" s="3783"/>
      <c r="N6" s="3783"/>
      <c r="O6" s="3783"/>
      <c r="P6" s="3783"/>
      <c r="Q6" s="3784"/>
      <c r="R6" s="1796">
        <f ca="1">结果表!O39</f>
        <v>14372</v>
      </c>
    </row>
    <row r="7" spans="1:18">
      <c r="A7" s="3782" t="str">
        <f>IF(项目基本情况!B9="市场价格","——",IF(项目基本情况!E8="已注销及未注销","抵押担保权已注销时的抵押价格","——"))</f>
        <v>——</v>
      </c>
      <c r="B7" s="3783"/>
      <c r="C7" s="3783"/>
      <c r="D7" s="3783"/>
      <c r="E7" s="3783"/>
      <c r="F7" s="3783"/>
      <c r="G7" s="3783"/>
      <c r="H7" s="3783"/>
      <c r="I7" s="3783"/>
      <c r="J7" s="3783"/>
      <c r="K7" s="3783"/>
      <c r="L7" s="3783"/>
      <c r="M7" s="3783"/>
      <c r="N7" s="3783"/>
      <c r="O7" s="3783"/>
      <c r="P7" s="3783"/>
      <c r="Q7" s="3784"/>
      <c r="R7" s="1796" t="str">
        <f>结果表!O40</f>
        <v>——</v>
      </c>
    </row>
    <row r="8" spans="1:18">
      <c r="A8" s="3782" t="str">
        <f>IF(项目基本情况!B9="市场价格","——",项目基本情况!E9)</f>
        <v>抵押净值</v>
      </c>
      <c r="B8" s="3783"/>
      <c r="C8" s="3783"/>
      <c r="D8" s="3783"/>
      <c r="E8" s="3783"/>
      <c r="F8" s="3783"/>
      <c r="G8" s="3783"/>
      <c r="H8" s="3783"/>
      <c r="I8" s="3783"/>
      <c r="J8" s="3783"/>
      <c r="K8" s="3783"/>
      <c r="L8" s="3783"/>
      <c r="M8" s="3783"/>
      <c r="N8" s="3783"/>
      <c r="O8" s="3783"/>
      <c r="P8" s="3783"/>
      <c r="Q8" s="3784"/>
      <c r="R8" s="1796">
        <f ca="1">结果表!O41</f>
        <v>10178</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786" t="s">
        <v>2065</v>
      </c>
      <c r="B1" s="3786"/>
      <c r="C1" s="3786"/>
      <c r="D1" s="3786"/>
    </row>
    <row r="2" spans="1:4" ht="47.25" customHeight="1">
      <c r="A2" s="3787" t="str">
        <f>"1.权利限制："&amp;项目基本情况!L24&amp;"未设定租赁等其他他项权利。"</f>
        <v>1.权利限制：根据估价对象《不动产权证书》原件、《国有土地使用权》复印件，截至估价期日，估价对象抵押权未见登记。未设定租赁等其他他项权利。</v>
      </c>
      <c r="B2" s="3787"/>
      <c r="C2" s="3787"/>
      <c r="D2" s="3787"/>
    </row>
    <row r="3" spans="1:4" ht="48" customHeight="1">
      <c r="A3" s="37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86"/>
      <c r="C3" s="3786"/>
      <c r="D3" s="3786"/>
    </row>
    <row r="4" spans="1:4" ht="36.75" customHeight="1">
      <c r="A4" s="3786" t="str">
        <f>"3.估价规划限制条件：详见"&amp;项目基本情况!E21&amp;"。"</f>
        <v>3.估价规划限制条件：详见《建设工程规划许可证》[]、《出让合同》[]。</v>
      </c>
      <c r="B4" s="3786"/>
      <c r="C4" s="3786"/>
      <c r="D4" s="3786"/>
    </row>
    <row r="5" spans="1:4">
      <c r="A5" s="3785" t="s">
        <v>2066</v>
      </c>
      <c r="B5" s="3785"/>
      <c r="C5" s="3785"/>
      <c r="D5" s="3785"/>
    </row>
    <row r="6" spans="1:4">
      <c r="A6" s="3786" t="s">
        <v>2044</v>
      </c>
      <c r="B6" s="3786"/>
      <c r="C6" s="3786"/>
      <c r="D6" s="3786"/>
    </row>
    <row r="7" spans="1:4" ht="33" customHeight="1">
      <c r="A7" s="3786" t="s">
        <v>2574</v>
      </c>
      <c r="B7" s="3786"/>
      <c r="C7" s="3786"/>
      <c r="D7" s="3786"/>
    </row>
    <row r="8" spans="1:4" ht="32.25" customHeight="1">
      <c r="A8" s="37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86"/>
      <c r="C8" s="3786"/>
      <c r="D8" s="3786"/>
    </row>
    <row r="9" spans="1:4" ht="33.75" customHeight="1">
      <c r="A9" s="37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86"/>
      <c r="C9" s="3786"/>
      <c r="D9" s="3786"/>
    </row>
    <row r="10" spans="1:4">
      <c r="A10" s="3786" t="str">
        <f>IF(项目基本情况!B8="抵押","4.估价师所知悉的法定优先受偿款情况为：","——")</f>
        <v>4.估价师所知悉的法定优先受偿款情况为：</v>
      </c>
      <c r="B10" s="3786"/>
      <c r="C10" s="3786"/>
      <c r="D10" s="3786"/>
    </row>
    <row r="11" spans="1:4" ht="37.5" customHeight="1">
      <c r="A11" s="37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88"/>
      <c r="C11" s="3788"/>
      <c r="D11" s="3788"/>
    </row>
    <row r="12" spans="1:4" ht="168" customHeight="1">
      <c r="A12" s="3785" t="s">
        <v>2068</v>
      </c>
      <c r="B12" s="3785"/>
      <c r="C12" s="3785"/>
      <c r="D12" s="3785"/>
    </row>
    <row r="13" spans="1:4">
      <c r="A13" s="3789" t="s">
        <v>2745</v>
      </c>
      <c r="B13" s="3789"/>
      <c r="C13" s="3789"/>
      <c r="D13" s="3789"/>
    </row>
    <row r="14" spans="1:4">
      <c r="A14" s="3788" t="str">
        <f>IF(项目基本情况!B8="抵押","综上，"&amp;结果表!K47,"——")</f>
        <v>综上，本次评估不存在估价师知悉的法定优先受偿款</v>
      </c>
      <c r="B14" s="3788"/>
      <c r="C14" s="3788"/>
      <c r="D14" s="3788"/>
    </row>
    <row r="15" spans="1:4" ht="58.5" customHeight="1">
      <c r="A15" s="37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86"/>
      <c r="C15" s="3786"/>
      <c r="D15" s="3786"/>
    </row>
    <row r="16" spans="1:4" ht="70.5" customHeight="1">
      <c r="A16" s="37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86"/>
      <c r="C16" s="3786"/>
      <c r="D16" s="3786"/>
    </row>
    <row r="17" spans="1:4">
      <c r="A17" s="3786" t="s">
        <v>2701</v>
      </c>
      <c r="B17" s="3786"/>
      <c r="C17" s="3786"/>
      <c r="D17" s="3786"/>
    </row>
    <row r="18" spans="1:4">
      <c r="A18" s="3786" t="s">
        <v>2693</v>
      </c>
      <c r="B18" s="3786"/>
      <c r="C18" s="3786"/>
      <c r="D18" s="3786"/>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786" t="s">
        <v>2698</v>
      </c>
      <c r="B23" s="3786"/>
      <c r="C23" s="3786"/>
      <c r="D23" s="3786"/>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797" t="s">
        <v>53</v>
      </c>
      <c r="B15" s="3798" t="s">
        <v>846</v>
      </c>
      <c r="C15" s="3794"/>
    </row>
    <row r="16" spans="1:7" ht="14.25">
      <c r="A16" s="3797"/>
      <c r="B16" s="3795" t="s">
        <v>54</v>
      </c>
      <c r="C16" s="1167" t="s">
        <v>53</v>
      </c>
    </row>
    <row r="17" spans="1:3" ht="14.25">
      <c r="A17" s="3797"/>
      <c r="B17" s="3795"/>
      <c r="C17" s="1167" t="s">
        <v>55</v>
      </c>
    </row>
    <row r="18" spans="1:3" ht="14.25">
      <c r="A18" s="3797"/>
      <c r="B18" s="3795"/>
      <c r="C18" s="1167" t="s">
        <v>56</v>
      </c>
    </row>
    <row r="19" spans="1:3" ht="14.25">
      <c r="A19" s="3797"/>
      <c r="B19" s="3793" t="s">
        <v>57</v>
      </c>
      <c r="C19" s="3794"/>
    </row>
    <row r="20" spans="1:3" ht="14.25">
      <c r="A20" s="1168" t="s">
        <v>58</v>
      </c>
      <c r="B20" s="1169"/>
      <c r="C20" s="1170"/>
    </row>
    <row r="21" spans="1:3" ht="14.25">
      <c r="A21" s="3796" t="s">
        <v>59</v>
      </c>
      <c r="B21" s="3793" t="s">
        <v>60</v>
      </c>
      <c r="C21" s="3794"/>
    </row>
    <row r="22" spans="1:3" ht="14.25">
      <c r="A22" s="3796"/>
      <c r="B22" s="3793" t="s">
        <v>61</v>
      </c>
      <c r="C22" s="3794"/>
    </row>
    <row r="23" spans="1:3" ht="14.25">
      <c r="A23" s="3796"/>
      <c r="B23" s="3793" t="s">
        <v>62</v>
      </c>
      <c r="C23" s="3794"/>
    </row>
    <row r="24" spans="1:3" ht="14.25">
      <c r="A24" s="3796"/>
      <c r="B24" s="3799" t="s">
        <v>63</v>
      </c>
      <c r="C24" s="1171" t="s">
        <v>837</v>
      </c>
    </row>
    <row r="25" spans="1:3" ht="14.25">
      <c r="A25" s="3796"/>
      <c r="B25" s="3800"/>
      <c r="C25" s="1171" t="s">
        <v>838</v>
      </c>
    </row>
    <row r="26" spans="1:3" ht="14.25">
      <c r="A26" s="3796"/>
      <c r="B26" s="3800"/>
      <c r="C26" s="1171" t="s">
        <v>839</v>
      </c>
    </row>
    <row r="27" spans="1:3" ht="14.25">
      <c r="A27" s="3796"/>
      <c r="B27" s="3800"/>
      <c r="C27" s="1171" t="s">
        <v>840</v>
      </c>
    </row>
    <row r="28" spans="1:3" ht="14.25">
      <c r="A28" s="3796"/>
      <c r="B28" s="3800"/>
      <c r="C28" s="1171" t="s">
        <v>841</v>
      </c>
    </row>
    <row r="29" spans="1:3" ht="14.25">
      <c r="A29" s="3796"/>
      <c r="B29" s="3800"/>
      <c r="C29" s="1171" t="s">
        <v>842</v>
      </c>
    </row>
    <row r="30" spans="1:3" ht="14.25">
      <c r="A30" s="3796"/>
      <c r="B30" s="3800"/>
      <c r="C30" s="1171" t="s">
        <v>843</v>
      </c>
    </row>
    <row r="31" spans="1:3" ht="14.25">
      <c r="A31" s="3796"/>
      <c r="B31" s="3800"/>
      <c r="C31" s="1171" t="s">
        <v>844</v>
      </c>
    </row>
    <row r="32" spans="1:3" ht="14.25">
      <c r="A32" s="3796"/>
      <c r="B32" s="3800"/>
      <c r="C32" s="1171" t="s">
        <v>1646</v>
      </c>
    </row>
    <row r="33" spans="1:3" ht="14.25">
      <c r="A33" s="3796"/>
      <c r="B33" s="3790" t="s">
        <v>1652</v>
      </c>
      <c r="C33" s="1171" t="s">
        <v>1647</v>
      </c>
    </row>
    <row r="34" spans="1:3" ht="14.25">
      <c r="A34" s="3796"/>
      <c r="B34" s="3791"/>
      <c r="C34" s="1176" t="s">
        <v>1648</v>
      </c>
    </row>
    <row r="35" spans="1:3" ht="14.25">
      <c r="A35" s="3796"/>
      <c r="B35" s="3791"/>
      <c r="C35" s="1177" t="s">
        <v>1649</v>
      </c>
    </row>
    <row r="36" spans="1:3" ht="14.25">
      <c r="A36" s="3796"/>
      <c r="B36" s="3791"/>
      <c r="C36" s="1177" t="s">
        <v>1650</v>
      </c>
    </row>
    <row r="37" spans="1:3" ht="14.25">
      <c r="A37" s="3796"/>
      <c r="B37" s="379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43672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01" t="s">
        <v>1926</v>
      </c>
      <c r="B25" s="3801"/>
      <c r="C25" s="3801"/>
      <c r="D25" s="3801"/>
      <c r="E25" s="3801"/>
      <c r="F25" s="3801"/>
      <c r="G25" s="3801"/>
    </row>
    <row r="26" spans="1:7" ht="20.25" customHeight="1">
      <c r="A26" s="3802" t="s">
        <v>1927</v>
      </c>
      <c r="B26" s="3802"/>
      <c r="C26" s="3802"/>
      <c r="D26" s="3802" t="s">
        <v>1928</v>
      </c>
      <c r="E26" s="3802"/>
      <c r="F26" s="3802"/>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06" t="s">
        <v>3333</v>
      </c>
      <c r="D4" s="3807"/>
      <c r="E4" s="3808" t="s">
        <v>3334</v>
      </c>
      <c r="F4" s="3809"/>
      <c r="G4" s="3806" t="s">
        <v>3335</v>
      </c>
      <c r="H4" s="3807"/>
      <c r="I4" s="3806" t="s">
        <v>3336</v>
      </c>
      <c r="J4" s="3807"/>
      <c r="K4" s="3365" t="s">
        <v>3337</v>
      </c>
      <c r="L4" s="3366"/>
      <c r="M4" s="3367"/>
      <c r="N4" s="3367"/>
      <c r="O4" s="3367"/>
      <c r="P4" s="3810" t="s">
        <v>3338</v>
      </c>
      <c r="Q4" s="3811"/>
      <c r="R4" s="3816" t="s">
        <v>3339</v>
      </c>
      <c r="S4" s="3817"/>
      <c r="T4" s="3816" t="s">
        <v>3340</v>
      </c>
      <c r="U4" s="3817"/>
      <c r="V4" s="3831" t="s">
        <v>3341</v>
      </c>
      <c r="W4" s="3831"/>
      <c r="X4" s="3368"/>
      <c r="Y4" s="3816" t="s">
        <v>3338</v>
      </c>
      <c r="Z4" s="3817"/>
      <c r="AA4" s="3803" t="s">
        <v>3339</v>
      </c>
      <c r="AB4" s="3803" t="s">
        <v>3340</v>
      </c>
      <c r="AC4" s="3803" t="s">
        <v>3341</v>
      </c>
    </row>
    <row r="5" spans="1:29" ht="15">
      <c r="A5" s="3370"/>
      <c r="B5" s="3371"/>
      <c r="C5" s="3820" t="s">
        <v>3342</v>
      </c>
      <c r="D5" s="3821"/>
      <c r="E5" s="3822" t="s">
        <v>3343</v>
      </c>
      <c r="F5" s="3823"/>
      <c r="G5" s="3824" t="s">
        <v>3344</v>
      </c>
      <c r="H5" s="3821"/>
      <c r="I5" s="3824" t="s">
        <v>3346</v>
      </c>
      <c r="J5" s="3821"/>
      <c r="K5" s="3372"/>
      <c r="L5" s="3366"/>
      <c r="M5" s="3367"/>
      <c r="N5" s="3367"/>
      <c r="O5" s="3367"/>
      <c r="P5" s="3812"/>
      <c r="Q5" s="3813"/>
      <c r="R5" s="3818"/>
      <c r="S5" s="3819"/>
      <c r="T5" s="3818"/>
      <c r="U5" s="3819"/>
      <c r="V5" s="3831"/>
      <c r="W5" s="3831"/>
      <c r="X5" s="3368"/>
      <c r="Y5" s="3818"/>
      <c r="Z5" s="3819"/>
      <c r="AA5" s="3804"/>
      <c r="AB5" s="3804"/>
      <c r="AC5" s="3804"/>
    </row>
    <row r="6" spans="1:29" ht="15.75" thickBot="1">
      <c r="A6" s="3373"/>
      <c r="B6" s="3374"/>
      <c r="C6" s="3825" t="s">
        <v>3347</v>
      </c>
      <c r="D6" s="3826"/>
      <c r="E6" s="3827" t="s">
        <v>3347</v>
      </c>
      <c r="F6" s="3828"/>
      <c r="G6" s="3825" t="s">
        <v>3347</v>
      </c>
      <c r="H6" s="3826"/>
      <c r="I6" s="3825" t="s">
        <v>3347</v>
      </c>
      <c r="J6" s="3826"/>
      <c r="K6" s="3372" t="s">
        <v>3348</v>
      </c>
      <c r="L6" s="3366"/>
      <c r="M6" s="3367"/>
      <c r="N6" s="3367"/>
      <c r="O6" s="3367"/>
      <c r="P6" s="3814"/>
      <c r="Q6" s="3815"/>
      <c r="R6" s="3818"/>
      <c r="S6" s="3819"/>
      <c r="T6" s="3829"/>
      <c r="U6" s="3830"/>
      <c r="V6" s="3831"/>
      <c r="W6" s="3831"/>
      <c r="X6" s="3368"/>
      <c r="Y6" s="3829"/>
      <c r="Z6" s="3830"/>
      <c r="AA6" s="3805"/>
      <c r="AB6" s="3805"/>
      <c r="AC6" s="3805"/>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32" t="s">
        <v>3350</v>
      </c>
      <c r="Q7" s="3833"/>
      <c r="R7" s="3385" t="s">
        <v>3351</v>
      </c>
      <c r="S7" s="3386">
        <f t="shared" ref="S7:S15" si="0">F7</f>
        <v>100</v>
      </c>
      <c r="T7" s="3385" t="s">
        <v>3351</v>
      </c>
      <c r="U7" s="3386">
        <f t="shared" ref="U7:U15" si="1">H7</f>
        <v>100</v>
      </c>
      <c r="V7" s="3385" t="s">
        <v>3351</v>
      </c>
      <c r="W7" s="3386">
        <f t="shared" ref="W7:W15" si="2">J7</f>
        <v>100</v>
      </c>
      <c r="X7" s="3387"/>
      <c r="Y7" s="3832" t="s">
        <v>3350</v>
      </c>
      <c r="Z7" s="3834"/>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32" t="s">
        <v>3354</v>
      </c>
      <c r="Q8" s="3834"/>
      <c r="R8" s="3385" t="s">
        <v>3355</v>
      </c>
      <c r="S8" s="3386">
        <f t="shared" si="0"/>
        <v>100</v>
      </c>
      <c r="T8" s="3385" t="s">
        <v>3355</v>
      </c>
      <c r="U8" s="3386">
        <f t="shared" si="1"/>
        <v>100</v>
      </c>
      <c r="V8" s="3385" t="s">
        <v>3355</v>
      </c>
      <c r="W8" s="3386">
        <f t="shared" si="2"/>
        <v>100</v>
      </c>
      <c r="X8" s="3387"/>
      <c r="Y8" s="3832" t="s">
        <v>3354</v>
      </c>
      <c r="Z8" s="3834"/>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35" t="s">
        <v>535</v>
      </c>
      <c r="Q9" s="3402" t="str">
        <f t="shared" ref="Q9:Q15" si="6">B9</f>
        <v>用途</v>
      </c>
      <c r="R9" s="3385" t="s">
        <v>3355</v>
      </c>
      <c r="S9" s="3386">
        <f t="shared" si="0"/>
        <v>100</v>
      </c>
      <c r="T9" s="3385" t="s">
        <v>3355</v>
      </c>
      <c r="U9" s="3386">
        <f t="shared" si="1"/>
        <v>100</v>
      </c>
      <c r="V9" s="3385" t="s">
        <v>3355</v>
      </c>
      <c r="W9" s="3386">
        <f t="shared" si="2"/>
        <v>100</v>
      </c>
      <c r="X9" s="3387"/>
      <c r="Y9" s="3836"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35"/>
      <c r="Q10" s="3402" t="str">
        <f t="shared" si="6"/>
        <v>土地使用年限（年）</v>
      </c>
      <c r="R10" s="3385" t="s">
        <v>8</v>
      </c>
      <c r="S10" s="3386">
        <f t="shared" si="0"/>
        <v>100</v>
      </c>
      <c r="T10" s="3385" t="s">
        <v>8</v>
      </c>
      <c r="U10" s="3386">
        <f t="shared" si="1"/>
        <v>100</v>
      </c>
      <c r="V10" s="3385" t="s">
        <v>8</v>
      </c>
      <c r="W10" s="3386">
        <f t="shared" si="2"/>
        <v>100</v>
      </c>
      <c r="X10" s="3387"/>
      <c r="Y10" s="3836"/>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35"/>
      <c r="Q11" s="3402" t="str">
        <f t="shared" si="6"/>
        <v>容积率</v>
      </c>
      <c r="R11" s="3385" t="s">
        <v>3351</v>
      </c>
      <c r="S11" s="3386" t="e">
        <f t="shared" si="0"/>
        <v>#REF!</v>
      </c>
      <c r="T11" s="3385" t="s">
        <v>3351</v>
      </c>
      <c r="U11" s="3386" t="e">
        <f t="shared" si="1"/>
        <v>#REF!</v>
      </c>
      <c r="V11" s="3385" t="s">
        <v>3351</v>
      </c>
      <c r="W11" s="3386" t="e">
        <f t="shared" si="2"/>
        <v>#REF!</v>
      </c>
      <c r="X11" s="3387"/>
      <c r="Y11" s="3836"/>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35"/>
      <c r="Q12" s="3402">
        <f t="shared" si="6"/>
        <v>111</v>
      </c>
      <c r="R12" s="3385" t="s">
        <v>3351</v>
      </c>
      <c r="S12" s="3386">
        <f t="shared" si="0"/>
        <v>100</v>
      </c>
      <c r="T12" s="3385" t="s">
        <v>3351</v>
      </c>
      <c r="U12" s="3386">
        <f t="shared" si="1"/>
        <v>100</v>
      </c>
      <c r="V12" s="3385" t="s">
        <v>3351</v>
      </c>
      <c r="W12" s="3386">
        <f t="shared" si="2"/>
        <v>100</v>
      </c>
      <c r="X12" s="3387"/>
      <c r="Y12" s="3836"/>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35"/>
      <c r="Q13" s="3402">
        <f t="shared" si="6"/>
        <v>111</v>
      </c>
      <c r="R13" s="3385" t="s">
        <v>3351</v>
      </c>
      <c r="S13" s="3386">
        <f t="shared" si="0"/>
        <v>100</v>
      </c>
      <c r="T13" s="3385" t="s">
        <v>3351</v>
      </c>
      <c r="U13" s="3386">
        <f t="shared" si="1"/>
        <v>100</v>
      </c>
      <c r="V13" s="3385" t="s">
        <v>3351</v>
      </c>
      <c r="W13" s="3386">
        <f t="shared" si="2"/>
        <v>100</v>
      </c>
      <c r="X13" s="3387"/>
      <c r="Y13" s="3836"/>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35"/>
      <c r="Q14" s="3402">
        <f t="shared" si="6"/>
        <v>111</v>
      </c>
      <c r="R14" s="3385" t="s">
        <v>3351</v>
      </c>
      <c r="S14" s="3386">
        <f t="shared" si="0"/>
        <v>100</v>
      </c>
      <c r="T14" s="3385" t="s">
        <v>3351</v>
      </c>
      <c r="U14" s="3386">
        <f t="shared" si="1"/>
        <v>100</v>
      </c>
      <c r="V14" s="3385" t="s">
        <v>3351</v>
      </c>
      <c r="W14" s="3386">
        <f t="shared" si="2"/>
        <v>100</v>
      </c>
      <c r="X14" s="3387"/>
      <c r="Y14" s="3836"/>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37" t="s">
        <v>3363</v>
      </c>
      <c r="Q15" s="3441" t="str">
        <f t="shared" si="6"/>
        <v>居住社区成熟度</v>
      </c>
      <c r="R15" s="3442" t="s">
        <v>3351</v>
      </c>
      <c r="S15" s="3443">
        <f t="shared" si="0"/>
        <v>100</v>
      </c>
      <c r="T15" s="3442" t="s">
        <v>3351</v>
      </c>
      <c r="U15" s="3443">
        <f t="shared" si="1"/>
        <v>100</v>
      </c>
      <c r="V15" s="3442" t="s">
        <v>3351</v>
      </c>
      <c r="W15" s="3443">
        <f t="shared" si="2"/>
        <v>100</v>
      </c>
      <c r="X15" s="3368"/>
      <c r="Y15" s="3837"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38"/>
      <c r="Q16" s="3441"/>
      <c r="R16" s="3442"/>
      <c r="S16" s="3443"/>
      <c r="T16" s="3442"/>
      <c r="U16" s="3443"/>
      <c r="V16" s="3442"/>
      <c r="W16" s="3443"/>
      <c r="X16" s="3368"/>
      <c r="Y16" s="3838"/>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38"/>
      <c r="Q17" s="3441" t="str">
        <f>B17</f>
        <v>交通便捷度</v>
      </c>
      <c r="R17" s="3442" t="s">
        <v>3367</v>
      </c>
      <c r="S17" s="3443">
        <f>F17</f>
        <v>100</v>
      </c>
      <c r="T17" s="3442" t="s">
        <v>3351</v>
      </c>
      <c r="U17" s="3443">
        <f>H17</f>
        <v>100</v>
      </c>
      <c r="V17" s="3442" t="s">
        <v>3351</v>
      </c>
      <c r="W17" s="3443">
        <f>J17</f>
        <v>100</v>
      </c>
      <c r="X17" s="3368"/>
      <c r="Y17" s="3838"/>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38"/>
      <c r="Q18" s="3441"/>
      <c r="R18" s="3442"/>
      <c r="S18" s="3443"/>
      <c r="T18" s="3442"/>
      <c r="U18" s="3443"/>
      <c r="V18" s="3442"/>
      <c r="W18" s="3443"/>
      <c r="X18" s="3368"/>
      <c r="Y18" s="3838"/>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38"/>
      <c r="Q19" s="3441" t="str">
        <f>B19</f>
        <v>公共配套设施</v>
      </c>
      <c r="R19" s="3442" t="s">
        <v>3351</v>
      </c>
      <c r="S19" s="3443">
        <f>F19</f>
        <v>100</v>
      </c>
      <c r="T19" s="3442" t="s">
        <v>3351</v>
      </c>
      <c r="U19" s="3443">
        <f>H19</f>
        <v>102</v>
      </c>
      <c r="V19" s="3442" t="s">
        <v>3351</v>
      </c>
      <c r="W19" s="3443">
        <f>J19</f>
        <v>102</v>
      </c>
      <c r="X19" s="3368"/>
      <c r="Y19" s="3838"/>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38"/>
      <c r="Q20" s="3441"/>
      <c r="R20" s="3442"/>
      <c r="S20" s="3443"/>
      <c r="T20" s="3442"/>
      <c r="U20" s="3443"/>
      <c r="V20" s="3442"/>
      <c r="W20" s="3443"/>
      <c r="X20" s="3368"/>
      <c r="Y20" s="3838"/>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38"/>
      <c r="Q21" s="3441" t="str">
        <f>B21</f>
        <v>基础设施水平</v>
      </c>
      <c r="R21" s="3442" t="s">
        <v>3351</v>
      </c>
      <c r="S21" s="3443">
        <f>F21</f>
        <v>100</v>
      </c>
      <c r="T21" s="3442" t="s">
        <v>3351</v>
      </c>
      <c r="U21" s="3443">
        <f>H21</f>
        <v>100</v>
      </c>
      <c r="V21" s="3442" t="s">
        <v>3351</v>
      </c>
      <c r="W21" s="3443">
        <f>J21</f>
        <v>100</v>
      </c>
      <c r="X21" s="3368"/>
      <c r="Y21" s="3838"/>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38"/>
      <c r="Q22" s="3441"/>
      <c r="R22" s="3442"/>
      <c r="S22" s="3443"/>
      <c r="T22" s="3442"/>
      <c r="U22" s="3443"/>
      <c r="V22" s="3442"/>
      <c r="W22" s="3443"/>
      <c r="X22" s="3368"/>
      <c r="Y22" s="3838"/>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38"/>
      <c r="Q23" s="3441" t="str">
        <f>B23</f>
        <v>自然及人文环境</v>
      </c>
      <c r="R23" s="3442" t="s">
        <v>3351</v>
      </c>
      <c r="S23" s="3443">
        <f>F23</f>
        <v>98</v>
      </c>
      <c r="T23" s="3442" t="s">
        <v>3351</v>
      </c>
      <c r="U23" s="3443">
        <f>H23</f>
        <v>100</v>
      </c>
      <c r="V23" s="3442" t="s">
        <v>3351</v>
      </c>
      <c r="W23" s="3443">
        <f>J23</f>
        <v>100</v>
      </c>
      <c r="X23" s="3368"/>
      <c r="Y23" s="3838"/>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38"/>
      <c r="Q24" s="3441"/>
      <c r="R24" s="3442"/>
      <c r="S24" s="3443"/>
      <c r="T24" s="3442"/>
      <c r="U24" s="3443"/>
      <c r="V24" s="3442"/>
      <c r="W24" s="3443"/>
      <c r="X24" s="3368"/>
      <c r="Y24" s="3838"/>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38"/>
      <c r="Q25" s="3441" t="str">
        <f t="shared" ref="Q25:Q46" si="11">B25</f>
        <v>楼层-1</v>
      </c>
      <c r="R25" s="3442" t="s">
        <v>3351</v>
      </c>
      <c r="S25" s="3443">
        <f>F25</f>
        <v>100</v>
      </c>
      <c r="T25" s="3442" t="s">
        <v>3351</v>
      </c>
      <c r="U25" s="3443">
        <f>H25</f>
        <v>100</v>
      </c>
      <c r="V25" s="3442" t="s">
        <v>3351</v>
      </c>
      <c r="W25" s="3443">
        <f>J25</f>
        <v>100</v>
      </c>
      <c r="X25" s="3368"/>
      <c r="Y25" s="3838"/>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38"/>
      <c r="Q26" s="3441" t="str">
        <f t="shared" si="11"/>
        <v>朝向</v>
      </c>
      <c r="R26" s="3442" t="s">
        <v>3351</v>
      </c>
      <c r="S26" s="3443">
        <f>F26</f>
        <v>100</v>
      </c>
      <c r="T26" s="3442" t="s">
        <v>3351</v>
      </c>
      <c r="U26" s="3443">
        <f>H26</f>
        <v>100</v>
      </c>
      <c r="V26" s="3442" t="s">
        <v>3351</v>
      </c>
      <c r="W26" s="3443">
        <f>J26</f>
        <v>100</v>
      </c>
      <c r="X26" s="3368"/>
      <c r="Y26" s="3838"/>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38"/>
      <c r="Q27" s="3402" t="str">
        <f t="shared" si="11"/>
        <v>道路级别</v>
      </c>
      <c r="R27" s="3385" t="s">
        <v>3351</v>
      </c>
      <c r="S27" s="3386">
        <f>F27</f>
        <v>101</v>
      </c>
      <c r="T27" s="3385" t="s">
        <v>3351</v>
      </c>
      <c r="U27" s="3386">
        <f>H27</f>
        <v>101</v>
      </c>
      <c r="V27" s="3385" t="s">
        <v>3351</v>
      </c>
      <c r="W27" s="3386">
        <f>J27</f>
        <v>99</v>
      </c>
      <c r="X27" s="3387"/>
      <c r="Y27" s="3838"/>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38"/>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38"/>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38"/>
      <c r="Q29" s="3441">
        <f t="shared" si="11"/>
        <v>111</v>
      </c>
      <c r="R29" s="3442" t="s">
        <v>3351</v>
      </c>
      <c r="S29" s="3443">
        <f t="shared" si="12"/>
        <v>100</v>
      </c>
      <c r="T29" s="3442" t="s">
        <v>3351</v>
      </c>
      <c r="U29" s="3443">
        <f t="shared" si="13"/>
        <v>100</v>
      </c>
      <c r="V29" s="3442" t="s">
        <v>3351</v>
      </c>
      <c r="W29" s="3443">
        <f t="shared" si="14"/>
        <v>100</v>
      </c>
      <c r="X29" s="3368"/>
      <c r="Y29" s="3838"/>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38"/>
      <c r="Q30" s="3441">
        <f t="shared" si="11"/>
        <v>111</v>
      </c>
      <c r="R30" s="3442" t="s">
        <v>3351</v>
      </c>
      <c r="S30" s="3443">
        <f t="shared" si="12"/>
        <v>100</v>
      </c>
      <c r="T30" s="3442" t="s">
        <v>3351</v>
      </c>
      <c r="U30" s="3443">
        <f t="shared" si="13"/>
        <v>100</v>
      </c>
      <c r="V30" s="3442" t="s">
        <v>3351</v>
      </c>
      <c r="W30" s="3443">
        <f t="shared" si="14"/>
        <v>100</v>
      </c>
      <c r="X30" s="3368"/>
      <c r="Y30" s="3838"/>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38"/>
      <c r="Q31" s="3441">
        <f t="shared" si="11"/>
        <v>111</v>
      </c>
      <c r="R31" s="3442" t="s">
        <v>3351</v>
      </c>
      <c r="S31" s="3443">
        <f t="shared" si="12"/>
        <v>100</v>
      </c>
      <c r="T31" s="3442" t="s">
        <v>3351</v>
      </c>
      <c r="U31" s="3443">
        <f t="shared" si="13"/>
        <v>100</v>
      </c>
      <c r="V31" s="3442" t="s">
        <v>3351</v>
      </c>
      <c r="W31" s="3443">
        <f t="shared" si="14"/>
        <v>100</v>
      </c>
      <c r="X31" s="3368"/>
      <c r="Y31" s="3838"/>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39" t="s">
        <v>3386</v>
      </c>
      <c r="Q32" s="3441" t="str">
        <f t="shared" si="11"/>
        <v>建筑类型</v>
      </c>
      <c r="R32" s="3442" t="s">
        <v>3351</v>
      </c>
      <c r="S32" s="3443">
        <f t="shared" si="12"/>
        <v>100</v>
      </c>
      <c r="T32" s="3442" t="s">
        <v>3351</v>
      </c>
      <c r="U32" s="3443">
        <f t="shared" si="13"/>
        <v>100</v>
      </c>
      <c r="V32" s="3442" t="s">
        <v>3351</v>
      </c>
      <c r="W32" s="3443">
        <f t="shared" si="14"/>
        <v>100</v>
      </c>
      <c r="X32" s="3368"/>
      <c r="Y32" s="3840"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40"/>
      <c r="Q33" s="3501" t="str">
        <f t="shared" si="11"/>
        <v>项目建筑规模</v>
      </c>
      <c r="R33" s="3502" t="s">
        <v>3351</v>
      </c>
      <c r="S33" s="3503">
        <f t="shared" si="12"/>
        <v>100</v>
      </c>
      <c r="T33" s="3502" t="s">
        <v>3351</v>
      </c>
      <c r="U33" s="3503">
        <f t="shared" si="13"/>
        <v>100</v>
      </c>
      <c r="V33" s="3502" t="s">
        <v>3351</v>
      </c>
      <c r="W33" s="3503">
        <f t="shared" si="14"/>
        <v>100</v>
      </c>
      <c r="X33" s="3504"/>
      <c r="Y33" s="3840"/>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40"/>
      <c r="Q34" s="3441" t="str">
        <f t="shared" si="11"/>
        <v>建筑结构</v>
      </c>
      <c r="R34" s="3442" t="s">
        <v>3351</v>
      </c>
      <c r="S34" s="3443">
        <f t="shared" si="12"/>
        <v>100</v>
      </c>
      <c r="T34" s="3442" t="s">
        <v>3351</v>
      </c>
      <c r="U34" s="3443">
        <f t="shared" si="13"/>
        <v>100</v>
      </c>
      <c r="V34" s="3442" t="s">
        <v>3351</v>
      </c>
      <c r="W34" s="3443">
        <f t="shared" si="14"/>
        <v>100</v>
      </c>
      <c r="X34" s="3368"/>
      <c r="Y34" s="3840"/>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40"/>
      <c r="Q35" s="3441" t="str">
        <f t="shared" si="11"/>
        <v>建筑品质</v>
      </c>
      <c r="R35" s="3442" t="s">
        <v>3351</v>
      </c>
      <c r="S35" s="3443">
        <f t="shared" si="12"/>
        <v>100</v>
      </c>
      <c r="T35" s="3442" t="s">
        <v>3351</v>
      </c>
      <c r="U35" s="3443">
        <f t="shared" si="13"/>
        <v>100</v>
      </c>
      <c r="V35" s="3442" t="s">
        <v>3351</v>
      </c>
      <c r="W35" s="3443">
        <f t="shared" si="14"/>
        <v>100</v>
      </c>
      <c r="X35" s="3368"/>
      <c r="Y35" s="3840"/>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40"/>
      <c r="Q36" s="3441" t="str">
        <f t="shared" si="11"/>
        <v>公共部分装修</v>
      </c>
      <c r="R36" s="3442" t="s">
        <v>3351</v>
      </c>
      <c r="S36" s="3443">
        <f t="shared" si="12"/>
        <v>100</v>
      </c>
      <c r="T36" s="3442" t="s">
        <v>3351</v>
      </c>
      <c r="U36" s="3443">
        <f t="shared" si="13"/>
        <v>100</v>
      </c>
      <c r="V36" s="3442" t="s">
        <v>3351</v>
      </c>
      <c r="W36" s="3443">
        <f t="shared" si="14"/>
        <v>100</v>
      </c>
      <c r="X36" s="3368"/>
      <c r="Y36" s="3840"/>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40"/>
      <c r="Q37" s="3402" t="str">
        <f t="shared" si="11"/>
        <v>成新度</v>
      </c>
      <c r="R37" s="3385" t="s">
        <v>3351</v>
      </c>
      <c r="S37" s="3386">
        <f t="shared" si="12"/>
        <v>100</v>
      </c>
      <c r="T37" s="3385" t="s">
        <v>3351</v>
      </c>
      <c r="U37" s="3386">
        <f t="shared" si="13"/>
        <v>100</v>
      </c>
      <c r="V37" s="3385" t="s">
        <v>3351</v>
      </c>
      <c r="W37" s="3386">
        <f t="shared" si="14"/>
        <v>100</v>
      </c>
      <c r="X37" s="3387"/>
      <c r="Y37" s="3840"/>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40" t="s">
        <v>3386</v>
      </c>
      <c r="Q38" s="3441" t="str">
        <f t="shared" si="11"/>
        <v>物业管理</v>
      </c>
      <c r="R38" s="3442" t="s">
        <v>3351</v>
      </c>
      <c r="S38" s="3443">
        <f t="shared" si="12"/>
        <v>100</v>
      </c>
      <c r="T38" s="3442" t="s">
        <v>3351</v>
      </c>
      <c r="U38" s="3443">
        <f t="shared" si="13"/>
        <v>100</v>
      </c>
      <c r="V38" s="3442" t="s">
        <v>3351</v>
      </c>
      <c r="W38" s="3443">
        <f t="shared" si="14"/>
        <v>100</v>
      </c>
      <c r="X38" s="3368"/>
      <c r="Y38" s="3840"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40"/>
      <c r="Q39" s="3441" t="str">
        <f t="shared" si="11"/>
        <v>市政基础设施</v>
      </c>
      <c r="R39" s="3442" t="s">
        <v>3351</v>
      </c>
      <c r="S39" s="3443">
        <f t="shared" si="12"/>
        <v>100</v>
      </c>
      <c r="T39" s="3442" t="s">
        <v>3351</v>
      </c>
      <c r="U39" s="3443">
        <f t="shared" si="13"/>
        <v>100</v>
      </c>
      <c r="V39" s="3442" t="s">
        <v>3351</v>
      </c>
      <c r="W39" s="3443">
        <f t="shared" si="14"/>
        <v>100</v>
      </c>
      <c r="X39" s="3368"/>
      <c r="Y39" s="3840"/>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40"/>
      <c r="Q40" s="3441" t="str">
        <f t="shared" si="11"/>
        <v>房型</v>
      </c>
      <c r="R40" s="3442" t="s">
        <v>3351</v>
      </c>
      <c r="S40" s="3443">
        <f t="shared" si="12"/>
        <v>100</v>
      </c>
      <c r="T40" s="3442" t="s">
        <v>3351</v>
      </c>
      <c r="U40" s="3443">
        <f t="shared" si="13"/>
        <v>100</v>
      </c>
      <c r="V40" s="3442" t="s">
        <v>3351</v>
      </c>
      <c r="W40" s="3443">
        <f t="shared" si="14"/>
        <v>100</v>
      </c>
      <c r="X40" s="3368"/>
      <c r="Y40" s="3840"/>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40"/>
      <c r="Q41" s="3501" t="str">
        <f t="shared" si="11"/>
        <v>单套/主力户型建筑面积</v>
      </c>
      <c r="R41" s="3502" t="s">
        <v>8</v>
      </c>
      <c r="S41" s="3503">
        <f t="shared" si="12"/>
        <v>98</v>
      </c>
      <c r="T41" s="3502" t="s">
        <v>8</v>
      </c>
      <c r="U41" s="3503">
        <f t="shared" si="13"/>
        <v>100</v>
      </c>
      <c r="V41" s="3502" t="s">
        <v>8</v>
      </c>
      <c r="W41" s="3503">
        <f t="shared" si="14"/>
        <v>96</v>
      </c>
      <c r="X41" s="3504"/>
      <c r="Y41" s="3840"/>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40"/>
      <c r="Q42" s="3441" t="str">
        <f t="shared" si="11"/>
        <v>内部装修</v>
      </c>
      <c r="R42" s="3442" t="s">
        <v>3351</v>
      </c>
      <c r="S42" s="3443">
        <f t="shared" si="12"/>
        <v>100</v>
      </c>
      <c r="T42" s="3442" t="s">
        <v>3351</v>
      </c>
      <c r="U42" s="3443">
        <f t="shared" si="13"/>
        <v>100</v>
      </c>
      <c r="V42" s="3442" t="s">
        <v>3351</v>
      </c>
      <c r="W42" s="3443">
        <f t="shared" si="14"/>
        <v>100</v>
      </c>
      <c r="X42" s="3368"/>
      <c r="Y42" s="3840"/>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40"/>
      <c r="Q43" s="3441" t="str">
        <f t="shared" si="11"/>
        <v>内部装修维护情况</v>
      </c>
      <c r="R43" s="3442" t="s">
        <v>3351</v>
      </c>
      <c r="S43" s="3443">
        <f t="shared" si="12"/>
        <v>100</v>
      </c>
      <c r="T43" s="3442" t="s">
        <v>3351</v>
      </c>
      <c r="U43" s="3443">
        <f t="shared" si="13"/>
        <v>100</v>
      </c>
      <c r="V43" s="3442" t="s">
        <v>3351</v>
      </c>
      <c r="W43" s="3443">
        <f t="shared" si="14"/>
        <v>100</v>
      </c>
      <c r="X43" s="3368"/>
      <c r="Y43" s="3840"/>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40"/>
      <c r="Q44" s="3402">
        <f t="shared" si="11"/>
        <v>111</v>
      </c>
      <c r="R44" s="3385" t="s">
        <v>3351</v>
      </c>
      <c r="S44" s="3386">
        <f t="shared" si="12"/>
        <v>100</v>
      </c>
      <c r="T44" s="3385" t="s">
        <v>3351</v>
      </c>
      <c r="U44" s="3386">
        <f t="shared" si="13"/>
        <v>100</v>
      </c>
      <c r="V44" s="3385" t="s">
        <v>3351</v>
      </c>
      <c r="W44" s="3386">
        <f t="shared" si="14"/>
        <v>100</v>
      </c>
      <c r="X44" s="3387"/>
      <c r="Y44" s="3840"/>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40"/>
      <c r="Q45" s="3441">
        <f t="shared" si="11"/>
        <v>111</v>
      </c>
      <c r="R45" s="3442" t="s">
        <v>3351</v>
      </c>
      <c r="S45" s="3443">
        <f t="shared" si="12"/>
        <v>100</v>
      </c>
      <c r="T45" s="3442" t="s">
        <v>3351</v>
      </c>
      <c r="U45" s="3443">
        <f t="shared" si="13"/>
        <v>100</v>
      </c>
      <c r="V45" s="3442" t="s">
        <v>3351</v>
      </c>
      <c r="W45" s="3443">
        <f t="shared" si="14"/>
        <v>100</v>
      </c>
      <c r="X45" s="3368"/>
      <c r="Y45" s="3840"/>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41"/>
      <c r="Q46" s="3441">
        <f t="shared" si="11"/>
        <v>111</v>
      </c>
      <c r="R46" s="3442" t="s">
        <v>3351</v>
      </c>
      <c r="S46" s="3443">
        <f t="shared" si="12"/>
        <v>100</v>
      </c>
      <c r="T46" s="3442" t="s">
        <v>3351</v>
      </c>
      <c r="U46" s="3443">
        <f t="shared" si="13"/>
        <v>100</v>
      </c>
      <c r="V46" s="3442" t="s">
        <v>3351</v>
      </c>
      <c r="W46" s="3443">
        <f t="shared" si="14"/>
        <v>100</v>
      </c>
      <c r="X46" s="3368"/>
      <c r="Y46" s="3841"/>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35" t="str">
        <f>A47</f>
        <v>成交单价（元/平方米）</v>
      </c>
      <c r="Q47" s="3835"/>
      <c r="R47" s="3842">
        <f>E47</f>
        <v>13000</v>
      </c>
      <c r="S47" s="3842"/>
      <c r="T47" s="3842">
        <f>G47</f>
        <v>13500</v>
      </c>
      <c r="U47" s="3842"/>
      <c r="V47" s="3842">
        <f>I47</f>
        <v>15000</v>
      </c>
      <c r="W47" s="3842"/>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35" t="str">
        <f>A48</f>
        <v>比较价格（元/平方米）</v>
      </c>
      <c r="Q48" s="3835"/>
      <c r="R48" s="3842" t="e">
        <f>IF(F1="售价",ROUND(PRODUCT(R47,AA7:AA46),0),ROUND(PRODUCT(R47,AA7:AA46),1))</f>
        <v>#REF!</v>
      </c>
      <c r="S48" s="3842"/>
      <c r="T48" s="3842" t="e">
        <f>IF(F1="售价",ROUND(PRODUCT(T47,AB7:AB46),0),ROUND(PRODUCT(T47,AB7:AB46),1))</f>
        <v>#REF!</v>
      </c>
      <c r="U48" s="3842"/>
      <c r="V48" s="3842" t="e">
        <f>IF(F1="售价",ROUND(PRODUCT(V47,AC7:AC46),0),ROUND(PRODUCT(V47,AC7:AC46),1))</f>
        <v>#REF!</v>
      </c>
      <c r="W48" s="3842"/>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43" t="str">
        <f>A49</f>
        <v>估价对象XX用房的比较价格（楼面单价，元/平方米）</v>
      </c>
      <c r="Q49" s="3844"/>
      <c r="R49" s="3845" t="e">
        <f>IF(F1="售价",ROUND(AVERAGE(R48:V48),0),ROUND(AVERAGE(R48:V48),1))</f>
        <v>#REF!</v>
      </c>
      <c r="S49" s="3845"/>
      <c r="T49" s="3845"/>
      <c r="U49" s="3845"/>
      <c r="V49" s="3845"/>
      <c r="W49" s="3845"/>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2019-07-26T08:26:01Z</dcterms:modified>
</cp:coreProperties>
</file>